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cted-my.sharepoint.com/personal/mackenzie_seaman_impact-initiatives_org/Documents/"/>
    </mc:Choice>
  </mc:AlternateContent>
  <xr:revisionPtr revIDLastSave="973" documentId="8_{1880F041-A996-4DDA-85F2-D9DE8EF05F14}" xr6:coauthVersionLast="47" xr6:coauthVersionMax="47" xr10:uidLastSave="{714E1436-B4F8-447F-9574-97781746BC1F}"/>
  <bookViews>
    <workbookView xWindow="-108" yWindow="-108" windowWidth="23256" windowHeight="12576" xr2:uid="{00000000-000D-0000-FFFF-FFFF00000000}"/>
  </bookViews>
  <sheets>
    <sheet name="READ_ME" sheetId="2" r:id="rId1"/>
    <sheet name="Table of Contents" sheetId="3" r:id="rId2"/>
    <sheet name="Data" sheetId="7" r:id="rId3"/>
  </sheets>
  <definedNames>
    <definedName name="_xlnm._FilterDatabase" localSheetId="2" hidden="1">Data!$A$2:$Z$9914</definedName>
    <definedName name="Slicer_Disaggregation">#N/A</definedName>
    <definedName name="Slicer_Indicator">#N/A</definedName>
    <definedName name="Slicer_Secto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0" i="3" l="1"/>
  <c r="C1397" i="3"/>
  <c r="C1119" i="3"/>
  <c r="C1258" i="3"/>
  <c r="C7" i="3"/>
  <c r="C424" i="3"/>
  <c r="C1678" i="3"/>
  <c r="C146" i="3"/>
  <c r="C285" i="3"/>
  <c r="C563" i="3"/>
  <c r="C702" i="3"/>
  <c r="C1817" i="3"/>
  <c r="C1537" i="3"/>
  <c r="C842" i="3"/>
  <c r="C981" i="3"/>
  <c r="C1398" i="3"/>
  <c r="C1120" i="3"/>
  <c r="C1259" i="3"/>
  <c r="C8" i="3"/>
  <c r="C425" i="3"/>
  <c r="C1679" i="3"/>
  <c r="C147" i="3"/>
  <c r="C286" i="3"/>
  <c r="C564" i="3"/>
  <c r="C703" i="3"/>
  <c r="C1818" i="3"/>
  <c r="C1538" i="3"/>
  <c r="C843" i="3"/>
  <c r="C982" i="3"/>
  <c r="C1399" i="3"/>
  <c r="C1121" i="3"/>
  <c r="C1260" i="3"/>
  <c r="C565" i="3"/>
  <c r="C287" i="3"/>
  <c r="C1680" i="3"/>
  <c r="C9" i="3"/>
  <c r="C148" i="3"/>
  <c r="C426" i="3"/>
  <c r="C704" i="3"/>
  <c r="C1819" i="3"/>
  <c r="C1539" i="3"/>
  <c r="C844" i="3"/>
  <c r="C983" i="3"/>
  <c r="C1400" i="3"/>
  <c r="C1122" i="3"/>
  <c r="C1261" i="3"/>
  <c r="C566" i="3"/>
  <c r="C288" i="3"/>
  <c r="C1681" i="3"/>
  <c r="C10" i="3"/>
  <c r="C149" i="3"/>
  <c r="C427" i="3"/>
  <c r="C705" i="3"/>
  <c r="C1820" i="3"/>
  <c r="C1540" i="3"/>
  <c r="C845" i="3"/>
  <c r="C984" i="3"/>
  <c r="C1401" i="3"/>
  <c r="C1123" i="3"/>
  <c r="C1262" i="3"/>
  <c r="C11" i="3"/>
  <c r="C428" i="3"/>
  <c r="C1682" i="3"/>
  <c r="C150" i="3"/>
  <c r="C289" i="3"/>
  <c r="C567" i="3"/>
  <c r="C706" i="3"/>
  <c r="C1821" i="3"/>
  <c r="C1541" i="3"/>
  <c r="C846" i="3"/>
  <c r="C985" i="3"/>
  <c r="C1402" i="3"/>
  <c r="C1124" i="3"/>
  <c r="C1263" i="3"/>
  <c r="C568" i="3"/>
  <c r="C290" i="3"/>
  <c r="C1683" i="3"/>
  <c r="C12" i="3"/>
  <c r="C151" i="3"/>
  <c r="C429" i="3"/>
  <c r="C707" i="3"/>
  <c r="C1822" i="3"/>
  <c r="C1542" i="3"/>
  <c r="C847" i="3"/>
  <c r="C987" i="3"/>
  <c r="C1404" i="3"/>
  <c r="C1126" i="3"/>
  <c r="C1265" i="3"/>
  <c r="C14" i="3"/>
  <c r="C431" i="3"/>
  <c r="C1685" i="3"/>
  <c r="C153" i="3"/>
  <c r="C292" i="3"/>
  <c r="C570" i="3"/>
  <c r="C709" i="3"/>
  <c r="C1824" i="3"/>
  <c r="C1544" i="3"/>
  <c r="C849" i="3"/>
  <c r="C988" i="3"/>
  <c r="C1405" i="3"/>
  <c r="C1127" i="3"/>
  <c r="C1266" i="3"/>
  <c r="C571" i="3"/>
  <c r="C293" i="3"/>
  <c r="C1686" i="3"/>
  <c r="C15" i="3"/>
  <c r="C154" i="3"/>
  <c r="C432" i="3"/>
  <c r="C710" i="3"/>
  <c r="C1825" i="3"/>
  <c r="C1545" i="3"/>
  <c r="C850" i="3"/>
  <c r="C989" i="3"/>
  <c r="C1406" i="3"/>
  <c r="C1128" i="3"/>
  <c r="C1267" i="3"/>
  <c r="C572" i="3"/>
  <c r="C294" i="3"/>
  <c r="C1687" i="3"/>
  <c r="C16" i="3"/>
  <c r="C155" i="3"/>
  <c r="C433" i="3"/>
  <c r="C711" i="3"/>
  <c r="C1826" i="3"/>
  <c r="C1546" i="3"/>
  <c r="C851" i="3"/>
  <c r="C990" i="3"/>
  <c r="C1407" i="3"/>
  <c r="C1129" i="3"/>
  <c r="C1268" i="3"/>
  <c r="C17" i="3"/>
  <c r="C434" i="3"/>
  <c r="C1688" i="3"/>
  <c r="C156" i="3"/>
  <c r="C295" i="3"/>
  <c r="C573" i="3"/>
  <c r="C712" i="3"/>
  <c r="C1827" i="3"/>
  <c r="C1547" i="3"/>
  <c r="C852" i="3"/>
  <c r="C991" i="3"/>
  <c r="C1408" i="3"/>
  <c r="C1130" i="3"/>
  <c r="C1269" i="3"/>
  <c r="C574" i="3"/>
  <c r="C296" i="3"/>
  <c r="C1689" i="3"/>
  <c r="C18" i="3"/>
  <c r="C157" i="3"/>
  <c r="C435" i="3"/>
  <c r="C713" i="3"/>
  <c r="C1828" i="3"/>
  <c r="C1548" i="3"/>
  <c r="C853" i="3"/>
  <c r="C992" i="3"/>
  <c r="C1409" i="3"/>
  <c r="C1131" i="3"/>
  <c r="C1270" i="3"/>
  <c r="C19" i="3"/>
  <c r="C436" i="3"/>
  <c r="C1690" i="3"/>
  <c r="C158" i="3"/>
  <c r="C297" i="3"/>
  <c r="C575" i="3"/>
  <c r="C714" i="3"/>
  <c r="C1829" i="3"/>
  <c r="C1549" i="3"/>
  <c r="C854" i="3"/>
  <c r="C993" i="3"/>
  <c r="C1410" i="3"/>
  <c r="C1132" i="3"/>
  <c r="C1271" i="3"/>
  <c r="C576" i="3"/>
  <c r="C298" i="3"/>
  <c r="C1691" i="3"/>
  <c r="C20" i="3"/>
  <c r="C159" i="3"/>
  <c r="C437" i="3"/>
  <c r="C715" i="3"/>
  <c r="C1830" i="3"/>
  <c r="C1550" i="3"/>
  <c r="C855" i="3"/>
  <c r="C994" i="3"/>
  <c r="C1411" i="3"/>
  <c r="C1133" i="3"/>
  <c r="C1272" i="3"/>
  <c r="C21" i="3"/>
  <c r="C438" i="3"/>
  <c r="C1692" i="3"/>
  <c r="C160" i="3"/>
  <c r="C299" i="3"/>
  <c r="C577" i="3"/>
  <c r="C716" i="3"/>
  <c r="C1831" i="3"/>
  <c r="C1551" i="3"/>
  <c r="C856" i="3"/>
  <c r="C995" i="3"/>
  <c r="C1412" i="3"/>
  <c r="C1134" i="3"/>
  <c r="C1273" i="3"/>
  <c r="C578" i="3"/>
  <c r="C300" i="3"/>
  <c r="C1693" i="3"/>
  <c r="C22" i="3"/>
  <c r="C161" i="3"/>
  <c r="C439" i="3"/>
  <c r="C717" i="3"/>
  <c r="C1832" i="3"/>
  <c r="C1552" i="3"/>
  <c r="C857" i="3"/>
  <c r="C996" i="3"/>
  <c r="C1413" i="3"/>
  <c r="C1135" i="3"/>
  <c r="C1274" i="3"/>
  <c r="C23" i="3"/>
  <c r="C440" i="3"/>
  <c r="C1694" i="3"/>
  <c r="C162" i="3"/>
  <c r="C301" i="3"/>
  <c r="C579" i="3"/>
  <c r="C718" i="3"/>
  <c r="C1833" i="3"/>
  <c r="C1553" i="3"/>
  <c r="C858" i="3"/>
  <c r="C997" i="3"/>
  <c r="C1414" i="3"/>
  <c r="C1136" i="3"/>
  <c r="C1275" i="3"/>
  <c r="C580" i="3"/>
  <c r="C302" i="3"/>
  <c r="C1695" i="3"/>
  <c r="C24" i="3"/>
  <c r="C163" i="3"/>
  <c r="C441" i="3"/>
  <c r="C719" i="3"/>
  <c r="C1834" i="3"/>
  <c r="C1554" i="3"/>
  <c r="C859" i="3"/>
  <c r="C998" i="3"/>
  <c r="C1415" i="3"/>
  <c r="C1137" i="3"/>
  <c r="C1276" i="3"/>
  <c r="C581" i="3"/>
  <c r="C303" i="3"/>
  <c r="C1696" i="3"/>
  <c r="C25" i="3"/>
  <c r="C164" i="3"/>
  <c r="C442" i="3"/>
  <c r="C720" i="3"/>
  <c r="C1835" i="3"/>
  <c r="C1555" i="3"/>
  <c r="C860" i="3"/>
  <c r="C999" i="3"/>
  <c r="C1416" i="3"/>
  <c r="C1138" i="3"/>
  <c r="C1277" i="3"/>
  <c r="C26" i="3"/>
  <c r="C443" i="3"/>
  <c r="C1697" i="3"/>
  <c r="C165" i="3"/>
  <c r="C304" i="3"/>
  <c r="C582" i="3"/>
  <c r="C721" i="3"/>
  <c r="C1836" i="3"/>
  <c r="C1556" i="3"/>
  <c r="C861" i="3"/>
  <c r="C1000" i="3"/>
  <c r="C1417" i="3"/>
  <c r="C1139" i="3"/>
  <c r="C1278" i="3"/>
  <c r="C27" i="3"/>
  <c r="C444" i="3"/>
  <c r="C1698" i="3"/>
  <c r="C166" i="3"/>
  <c r="C305" i="3"/>
  <c r="C583" i="3"/>
  <c r="C722" i="3"/>
  <c r="C1837" i="3"/>
  <c r="C1557" i="3"/>
  <c r="C862" i="3"/>
  <c r="C1001" i="3"/>
  <c r="C1418" i="3"/>
  <c r="C1140" i="3"/>
  <c r="C1279" i="3"/>
  <c r="C584" i="3"/>
  <c r="C306" i="3"/>
  <c r="C1699" i="3"/>
  <c r="C28" i="3"/>
  <c r="C167" i="3"/>
  <c r="C445" i="3"/>
  <c r="C723" i="3"/>
  <c r="C1838" i="3"/>
  <c r="C1558" i="3"/>
  <c r="C863" i="3"/>
  <c r="C1108" i="3"/>
  <c r="C1525" i="3"/>
  <c r="C1247" i="3"/>
  <c r="C1386" i="3"/>
  <c r="C691" i="3"/>
  <c r="C413" i="3"/>
  <c r="C1806" i="3"/>
  <c r="C135" i="3"/>
  <c r="C274" i="3"/>
  <c r="C552" i="3"/>
  <c r="C830" i="3"/>
  <c r="C1945" i="3"/>
  <c r="C1668" i="3"/>
  <c r="C970" i="3"/>
  <c r="C1109" i="3"/>
  <c r="C1526" i="3"/>
  <c r="C1248" i="3"/>
  <c r="C1387" i="3"/>
  <c r="C692" i="3"/>
  <c r="C414" i="3"/>
  <c r="C1807" i="3"/>
  <c r="C136" i="3"/>
  <c r="C275" i="3"/>
  <c r="C553" i="3"/>
  <c r="C831" i="3"/>
  <c r="C1946" i="3"/>
  <c r="C1669" i="3"/>
  <c r="C971" i="3"/>
  <c r="C1110" i="3"/>
  <c r="C1527" i="3"/>
  <c r="C1249" i="3"/>
  <c r="C1388" i="3"/>
  <c r="C693" i="3"/>
  <c r="C415" i="3"/>
  <c r="C1808" i="3"/>
  <c r="C137" i="3"/>
  <c r="C276" i="3"/>
  <c r="C554" i="3"/>
  <c r="C832" i="3"/>
  <c r="C1947" i="3"/>
  <c r="C1670" i="3"/>
  <c r="C972" i="3"/>
  <c r="C1111" i="3"/>
  <c r="C1528" i="3"/>
  <c r="C1250" i="3"/>
  <c r="C1389" i="3"/>
  <c r="C694" i="3"/>
  <c r="C416" i="3"/>
  <c r="C1809" i="3"/>
  <c r="C138" i="3"/>
  <c r="C277" i="3"/>
  <c r="C555" i="3"/>
  <c r="C833" i="3"/>
  <c r="C1948" i="3"/>
  <c r="C1671" i="3"/>
  <c r="C973" i="3"/>
  <c r="C1112" i="3"/>
  <c r="C1529" i="3"/>
  <c r="C1251" i="3"/>
  <c r="C1390" i="3"/>
  <c r="C695" i="3"/>
  <c r="C417" i="3"/>
  <c r="C1810" i="3"/>
  <c r="C139" i="3"/>
  <c r="C278" i="3"/>
  <c r="C556" i="3"/>
  <c r="C834" i="3"/>
  <c r="C1949" i="3"/>
  <c r="C1672" i="3"/>
  <c r="C974" i="3"/>
  <c r="C1113" i="3"/>
  <c r="C1530" i="3"/>
  <c r="C1252" i="3"/>
  <c r="C1391" i="3"/>
  <c r="C696" i="3"/>
  <c r="C418" i="3"/>
  <c r="C1811" i="3"/>
  <c r="C140" i="3"/>
  <c r="C279" i="3"/>
  <c r="C557" i="3"/>
  <c r="C835" i="3"/>
  <c r="C1950" i="3"/>
  <c r="C1673" i="3"/>
  <c r="C975" i="3"/>
  <c r="C1114" i="3"/>
  <c r="C1531" i="3"/>
  <c r="C1253" i="3"/>
  <c r="C1392" i="3"/>
  <c r="C697" i="3"/>
  <c r="C419" i="3"/>
  <c r="C1812" i="3"/>
  <c r="C141" i="3"/>
  <c r="C280" i="3"/>
  <c r="C558" i="3"/>
  <c r="C836" i="3"/>
  <c r="C1951" i="3"/>
  <c r="C1674" i="3"/>
  <c r="C976" i="3"/>
  <c r="C1115" i="3"/>
  <c r="C1532" i="3"/>
  <c r="C1254" i="3"/>
  <c r="C1393" i="3"/>
  <c r="C698" i="3"/>
  <c r="C420" i="3"/>
  <c r="C1813" i="3"/>
  <c r="C142" i="3"/>
  <c r="C281" i="3"/>
  <c r="C559" i="3"/>
  <c r="C837" i="3"/>
  <c r="C1952" i="3"/>
  <c r="C1675" i="3"/>
  <c r="C977" i="3"/>
  <c r="C1116" i="3"/>
  <c r="C1533" i="3"/>
  <c r="C1255" i="3"/>
  <c r="C1394" i="3"/>
  <c r="C699" i="3"/>
  <c r="C421" i="3"/>
  <c r="C1814" i="3"/>
  <c r="C143" i="3"/>
  <c r="C282" i="3"/>
  <c r="C560" i="3"/>
  <c r="C838" i="3"/>
  <c r="C1953" i="3"/>
  <c r="C1676" i="3"/>
  <c r="C978" i="3"/>
  <c r="C1117" i="3"/>
  <c r="C1534" i="3"/>
  <c r="C1256" i="3"/>
  <c r="C1395" i="3"/>
  <c r="C700" i="3"/>
  <c r="C422" i="3"/>
  <c r="C1815" i="3"/>
  <c r="C144" i="3"/>
  <c r="C283" i="3"/>
  <c r="C561" i="3"/>
  <c r="C839" i="3"/>
  <c r="C1954" i="3"/>
  <c r="C1677" i="3"/>
  <c r="C979" i="3"/>
  <c r="C986" i="3"/>
  <c r="C1403" i="3"/>
  <c r="C1125" i="3"/>
  <c r="C1264" i="3"/>
  <c r="C13" i="3"/>
  <c r="C430" i="3"/>
  <c r="C1684" i="3"/>
  <c r="C152" i="3"/>
  <c r="C291" i="3"/>
  <c r="C569" i="3"/>
  <c r="C708" i="3"/>
  <c r="C1823" i="3"/>
  <c r="C1543" i="3"/>
  <c r="C848" i="3"/>
  <c r="C1002" i="3"/>
  <c r="C1419" i="3"/>
  <c r="C1141" i="3"/>
  <c r="C1280" i="3"/>
  <c r="C585" i="3"/>
  <c r="C307" i="3"/>
  <c r="C1700" i="3"/>
  <c r="C29" i="3"/>
  <c r="C168" i="3"/>
  <c r="C446" i="3"/>
  <c r="C724" i="3"/>
  <c r="C1839" i="3"/>
  <c r="C1559" i="3"/>
  <c r="C1560" i="3"/>
  <c r="C1561" i="3"/>
  <c r="C1562" i="3"/>
  <c r="C864" i="3"/>
  <c r="C1003" i="3"/>
  <c r="C1420" i="3"/>
  <c r="C1142" i="3"/>
  <c r="C1281" i="3"/>
  <c r="C586" i="3"/>
  <c r="C308" i="3"/>
  <c r="C1701" i="3"/>
  <c r="C30" i="3"/>
  <c r="C169" i="3"/>
  <c r="C447" i="3"/>
  <c r="C725" i="3"/>
  <c r="C1840" i="3"/>
  <c r="C1563" i="3"/>
  <c r="C865" i="3"/>
  <c r="C1004" i="3"/>
  <c r="C1421" i="3"/>
  <c r="C1143" i="3"/>
  <c r="C1282" i="3"/>
  <c r="C587" i="3"/>
  <c r="C309" i="3"/>
  <c r="C1702" i="3"/>
  <c r="C31" i="3"/>
  <c r="C170" i="3"/>
  <c r="C448" i="3"/>
  <c r="C726" i="3"/>
  <c r="C1841" i="3"/>
  <c r="C1564" i="3"/>
  <c r="C866" i="3"/>
  <c r="C1005" i="3"/>
  <c r="C1422" i="3"/>
  <c r="C1144" i="3"/>
  <c r="C1283" i="3"/>
  <c r="C588" i="3"/>
  <c r="C310" i="3"/>
  <c r="C1703" i="3"/>
  <c r="C32" i="3"/>
  <c r="C171" i="3"/>
  <c r="C449" i="3"/>
  <c r="C727" i="3"/>
  <c r="C1842" i="3"/>
  <c r="C1565" i="3"/>
  <c r="C867" i="3"/>
  <c r="C1006" i="3"/>
  <c r="C1423" i="3"/>
  <c r="C1145" i="3"/>
  <c r="C1284" i="3"/>
  <c r="C589" i="3"/>
  <c r="C311" i="3"/>
  <c r="C1704" i="3"/>
  <c r="C33" i="3"/>
  <c r="C172" i="3"/>
  <c r="C450" i="3"/>
  <c r="C728" i="3"/>
  <c r="C1843" i="3"/>
  <c r="C1566" i="3"/>
  <c r="C868" i="3"/>
  <c r="C1007" i="3"/>
  <c r="C1424" i="3"/>
  <c r="C1146" i="3"/>
  <c r="C1285" i="3"/>
  <c r="C590" i="3"/>
  <c r="C312" i="3"/>
  <c r="C1705" i="3"/>
  <c r="C34" i="3"/>
  <c r="C173" i="3"/>
  <c r="C451" i="3"/>
  <c r="C729" i="3"/>
  <c r="C1844" i="3"/>
  <c r="C1567" i="3"/>
  <c r="C869" i="3"/>
  <c r="C1008" i="3"/>
  <c r="C1425" i="3"/>
  <c r="C1147" i="3"/>
  <c r="C1286" i="3"/>
  <c r="C35" i="3"/>
  <c r="C452" i="3"/>
  <c r="C1706" i="3"/>
  <c r="C174" i="3"/>
  <c r="C313" i="3"/>
  <c r="C591" i="3"/>
  <c r="C730" i="3"/>
  <c r="C1845" i="3"/>
  <c r="C1568" i="3"/>
  <c r="C870" i="3"/>
  <c r="C1009" i="3"/>
  <c r="C1426" i="3"/>
  <c r="C1148" i="3"/>
  <c r="C1287" i="3"/>
  <c r="C36" i="3"/>
  <c r="C453" i="3"/>
  <c r="C1707" i="3"/>
  <c r="C175" i="3"/>
  <c r="C314" i="3"/>
  <c r="C592" i="3"/>
  <c r="C731" i="3"/>
  <c r="C1846" i="3"/>
  <c r="C1569" i="3"/>
  <c r="C871" i="3"/>
  <c r="C1010" i="3"/>
  <c r="C1427" i="3"/>
  <c r="C1149" i="3"/>
  <c r="C1288" i="3"/>
  <c r="C37" i="3"/>
  <c r="C454" i="3"/>
  <c r="C1708" i="3"/>
  <c r="C176" i="3"/>
  <c r="C315" i="3"/>
  <c r="C593" i="3"/>
  <c r="C732" i="3"/>
  <c r="C1847" i="3"/>
  <c r="C1570" i="3"/>
  <c r="C872" i="3"/>
  <c r="C1011" i="3"/>
  <c r="C1428" i="3"/>
  <c r="C1150" i="3"/>
  <c r="C1289" i="3"/>
  <c r="C38" i="3"/>
  <c r="C455" i="3"/>
  <c r="C1709" i="3"/>
  <c r="C177" i="3"/>
  <c r="C316" i="3"/>
  <c r="C594" i="3"/>
  <c r="C733" i="3"/>
  <c r="C1848" i="3"/>
  <c r="C1571" i="3"/>
  <c r="C873" i="3"/>
  <c r="C1012" i="3"/>
  <c r="C1429" i="3"/>
  <c r="C1151" i="3"/>
  <c r="C1290" i="3"/>
  <c r="C39" i="3"/>
  <c r="C456" i="3"/>
  <c r="C1710" i="3"/>
  <c r="C178" i="3"/>
  <c r="C317" i="3"/>
  <c r="C595" i="3"/>
  <c r="C734" i="3"/>
  <c r="C1849" i="3"/>
  <c r="C1572" i="3"/>
  <c r="C874" i="3"/>
  <c r="C1013" i="3"/>
  <c r="C1430" i="3"/>
  <c r="C1152" i="3"/>
  <c r="C1291" i="3"/>
  <c r="C40" i="3"/>
  <c r="C457" i="3"/>
  <c r="C1711" i="3"/>
  <c r="C179" i="3"/>
  <c r="C318" i="3"/>
  <c r="C596" i="3"/>
  <c r="C735" i="3"/>
  <c r="C1850" i="3"/>
  <c r="C1573" i="3"/>
  <c r="C875" i="3"/>
  <c r="C1014" i="3"/>
  <c r="C1431" i="3"/>
  <c r="C1153" i="3"/>
  <c r="C1292" i="3"/>
  <c r="C41" i="3"/>
  <c r="C458" i="3"/>
  <c r="C1712" i="3"/>
  <c r="C180" i="3"/>
  <c r="C319" i="3"/>
  <c r="C597" i="3"/>
  <c r="C736" i="3"/>
  <c r="C1851" i="3"/>
  <c r="C1574" i="3"/>
  <c r="C876" i="3"/>
  <c r="C1015" i="3"/>
  <c r="C1432" i="3"/>
  <c r="C1154" i="3"/>
  <c r="C1293" i="3"/>
  <c r="C42" i="3"/>
  <c r="C459" i="3"/>
  <c r="C1713" i="3"/>
  <c r="C181" i="3"/>
  <c r="C320" i="3"/>
  <c r="C598" i="3"/>
  <c r="C737" i="3"/>
  <c r="C1852" i="3"/>
  <c r="C1575" i="3"/>
  <c r="C877" i="3"/>
  <c r="C1016" i="3"/>
  <c r="C1433" i="3"/>
  <c r="C1155" i="3"/>
  <c r="C1294" i="3"/>
  <c r="C43" i="3"/>
  <c r="C460" i="3"/>
  <c r="C1714" i="3"/>
  <c r="C182" i="3"/>
  <c r="C321" i="3"/>
  <c r="C599" i="3"/>
  <c r="C738" i="3"/>
  <c r="C1853" i="3"/>
  <c r="C1576" i="3"/>
  <c r="C878" i="3"/>
  <c r="C1017" i="3"/>
  <c r="C1434" i="3"/>
  <c r="C1156" i="3"/>
  <c r="C1295" i="3"/>
  <c r="C44" i="3"/>
  <c r="C461" i="3"/>
  <c r="C1715" i="3"/>
  <c r="C183" i="3"/>
  <c r="C322" i="3"/>
  <c r="C600" i="3"/>
  <c r="C739" i="3"/>
  <c r="C1854" i="3"/>
  <c r="C1577" i="3"/>
  <c r="C879" i="3"/>
  <c r="C1018" i="3"/>
  <c r="C1435" i="3"/>
  <c r="C1157" i="3"/>
  <c r="C1296" i="3"/>
  <c r="C45" i="3"/>
  <c r="C462" i="3"/>
  <c r="C1716" i="3"/>
  <c r="C184" i="3"/>
  <c r="C323" i="3"/>
  <c r="C601" i="3"/>
  <c r="C740" i="3"/>
  <c r="C1855" i="3"/>
  <c r="C1578" i="3"/>
  <c r="C880" i="3"/>
  <c r="C1019" i="3"/>
  <c r="C1436" i="3"/>
  <c r="C1158" i="3"/>
  <c r="C1297" i="3"/>
  <c r="C46" i="3"/>
  <c r="C463" i="3"/>
  <c r="C1717" i="3"/>
  <c r="C185" i="3"/>
  <c r="C324" i="3"/>
  <c r="C602" i="3"/>
  <c r="C741" i="3"/>
  <c r="C1856" i="3"/>
  <c r="C1579" i="3"/>
  <c r="C881" i="3"/>
  <c r="C1020" i="3"/>
  <c r="C1437" i="3"/>
  <c r="C1159" i="3"/>
  <c r="C1298" i="3"/>
  <c r="C47" i="3"/>
  <c r="C464" i="3"/>
  <c r="C1718" i="3"/>
  <c r="C186" i="3"/>
  <c r="C325" i="3"/>
  <c r="C603" i="3"/>
  <c r="C742" i="3"/>
  <c r="C1857" i="3"/>
  <c r="C1580" i="3"/>
  <c r="C882" i="3"/>
  <c r="C1021" i="3"/>
  <c r="C1438" i="3"/>
  <c r="C1160" i="3"/>
  <c r="C1299" i="3"/>
  <c r="C48" i="3"/>
  <c r="C465" i="3"/>
  <c r="C1719" i="3"/>
  <c r="C187" i="3"/>
  <c r="C326" i="3"/>
  <c r="C604" i="3"/>
  <c r="C743" i="3"/>
  <c r="C1858" i="3"/>
  <c r="C1581" i="3"/>
  <c r="C883" i="3"/>
  <c r="C1022" i="3"/>
  <c r="C1439" i="3"/>
  <c r="C1161" i="3"/>
  <c r="C1300" i="3"/>
  <c r="C49" i="3"/>
  <c r="C466" i="3"/>
  <c r="C1720" i="3"/>
  <c r="C188" i="3"/>
  <c r="C327" i="3"/>
  <c r="C605" i="3"/>
  <c r="C744" i="3"/>
  <c r="C1859" i="3"/>
  <c r="C1582" i="3"/>
  <c r="C884" i="3"/>
  <c r="C1023" i="3"/>
  <c r="C1440" i="3"/>
  <c r="C1162" i="3"/>
  <c r="C1301" i="3"/>
  <c r="C50" i="3"/>
  <c r="C467" i="3"/>
  <c r="C1721" i="3"/>
  <c r="C189" i="3"/>
  <c r="C328" i="3"/>
  <c r="C606" i="3"/>
  <c r="C745" i="3"/>
  <c r="C1860" i="3"/>
  <c r="C1583" i="3"/>
  <c r="C885" i="3"/>
  <c r="C1024" i="3"/>
  <c r="C1441" i="3"/>
  <c r="C1163" i="3"/>
  <c r="C1302" i="3"/>
  <c r="C51" i="3"/>
  <c r="C468" i="3"/>
  <c r="C1722" i="3"/>
  <c r="C190" i="3"/>
  <c r="C329" i="3"/>
  <c r="C607" i="3"/>
  <c r="C746" i="3"/>
  <c r="C1861" i="3"/>
  <c r="C1584" i="3"/>
  <c r="C886" i="3"/>
  <c r="C1025" i="3"/>
  <c r="C1442" i="3"/>
  <c r="C1164" i="3"/>
  <c r="C1303" i="3"/>
  <c r="C52" i="3"/>
  <c r="C469" i="3"/>
  <c r="C1723" i="3"/>
  <c r="C191" i="3"/>
  <c r="C330" i="3"/>
  <c r="C608" i="3"/>
  <c r="C747" i="3"/>
  <c r="C1862" i="3"/>
  <c r="C1585" i="3"/>
  <c r="C887" i="3"/>
  <c r="C1026" i="3"/>
  <c r="C1443" i="3"/>
  <c r="C1165" i="3"/>
  <c r="C1304" i="3"/>
  <c r="C53" i="3"/>
  <c r="C470" i="3"/>
  <c r="C1724" i="3"/>
  <c r="C192" i="3"/>
  <c r="C331" i="3"/>
  <c r="C609" i="3"/>
  <c r="C748" i="3"/>
  <c r="C1863" i="3"/>
  <c r="C1586" i="3"/>
  <c r="C888" i="3"/>
  <c r="C1027" i="3"/>
  <c r="C1444" i="3"/>
  <c r="C1166" i="3"/>
  <c r="C1305" i="3"/>
  <c r="C54" i="3"/>
  <c r="C471" i="3"/>
  <c r="C1725" i="3"/>
  <c r="C193" i="3"/>
  <c r="C332" i="3"/>
  <c r="C610" i="3"/>
  <c r="C749" i="3"/>
  <c r="C1864" i="3"/>
  <c r="C1587" i="3"/>
  <c r="C889" i="3"/>
  <c r="C1028" i="3"/>
  <c r="C1445" i="3"/>
  <c r="C1167" i="3"/>
  <c r="C1306" i="3"/>
  <c r="C55" i="3"/>
  <c r="C472" i="3"/>
  <c r="C1726" i="3"/>
  <c r="C194" i="3"/>
  <c r="C333" i="3"/>
  <c r="C611" i="3"/>
  <c r="C750" i="3"/>
  <c r="C1865" i="3"/>
  <c r="C1588" i="3"/>
  <c r="C890" i="3"/>
  <c r="C1029" i="3"/>
  <c r="C1446" i="3"/>
  <c r="C1168" i="3"/>
  <c r="C1307" i="3"/>
  <c r="C612" i="3"/>
  <c r="C334" i="3"/>
  <c r="C1727" i="3"/>
  <c r="C56" i="3"/>
  <c r="C195" i="3"/>
  <c r="C473" i="3"/>
  <c r="C751" i="3"/>
  <c r="C1866" i="3"/>
  <c r="C1589" i="3"/>
  <c r="C891" i="3"/>
  <c r="C1030" i="3"/>
  <c r="C1447" i="3"/>
  <c r="C1169" i="3"/>
  <c r="C1308" i="3"/>
  <c r="C613" i="3"/>
  <c r="C335" i="3"/>
  <c r="C1728" i="3"/>
  <c r="C57" i="3"/>
  <c r="C196" i="3"/>
  <c r="C474" i="3"/>
  <c r="C752" i="3"/>
  <c r="C1867" i="3"/>
  <c r="C1590" i="3"/>
  <c r="C892" i="3"/>
  <c r="C1031" i="3"/>
  <c r="C1448" i="3"/>
  <c r="C1170" i="3"/>
  <c r="C1309" i="3"/>
  <c r="C614" i="3"/>
  <c r="C336" i="3"/>
  <c r="C1729" i="3"/>
  <c r="C58" i="3"/>
  <c r="C197" i="3"/>
  <c r="C475" i="3"/>
  <c r="C753" i="3"/>
  <c r="C1868" i="3"/>
  <c r="C1591" i="3"/>
  <c r="C893" i="3"/>
  <c r="C1032" i="3"/>
  <c r="C1449" i="3"/>
  <c r="C1171" i="3"/>
  <c r="C1310" i="3"/>
  <c r="C615" i="3"/>
  <c r="C337" i="3"/>
  <c r="C1730" i="3"/>
  <c r="C59" i="3"/>
  <c r="C198" i="3"/>
  <c r="C476" i="3"/>
  <c r="C754" i="3"/>
  <c r="C1869" i="3"/>
  <c r="C1592" i="3"/>
  <c r="C894" i="3"/>
  <c r="C1033" i="3"/>
  <c r="C1450" i="3"/>
  <c r="C1172" i="3"/>
  <c r="C1311" i="3"/>
  <c r="C616" i="3"/>
  <c r="C338" i="3"/>
  <c r="C1731" i="3"/>
  <c r="C60" i="3"/>
  <c r="C199" i="3"/>
  <c r="C477" i="3"/>
  <c r="C755" i="3"/>
  <c r="C1870" i="3"/>
  <c r="C1593" i="3"/>
  <c r="C895" i="3"/>
  <c r="C1034" i="3"/>
  <c r="C1451" i="3"/>
  <c r="C1173" i="3"/>
  <c r="C1312" i="3"/>
  <c r="C617" i="3"/>
  <c r="C339" i="3"/>
  <c r="C1732" i="3"/>
  <c r="C61" i="3"/>
  <c r="C200" i="3"/>
  <c r="C478" i="3"/>
  <c r="C756" i="3"/>
  <c r="C1871" i="3"/>
  <c r="C1594" i="3"/>
  <c r="C896" i="3"/>
  <c r="C1035" i="3"/>
  <c r="C1452" i="3"/>
  <c r="C1174" i="3"/>
  <c r="C1313" i="3"/>
  <c r="C618" i="3"/>
  <c r="C340" i="3"/>
  <c r="C1733" i="3"/>
  <c r="C62" i="3"/>
  <c r="C201" i="3"/>
  <c r="C479" i="3"/>
  <c r="C757" i="3"/>
  <c r="C1872" i="3"/>
  <c r="C1595" i="3"/>
  <c r="C897" i="3"/>
  <c r="C1036" i="3"/>
  <c r="C1453" i="3"/>
  <c r="C1175" i="3"/>
  <c r="C1314" i="3"/>
  <c r="C619" i="3"/>
  <c r="C341" i="3"/>
  <c r="C1734" i="3"/>
  <c r="C63" i="3"/>
  <c r="C202" i="3"/>
  <c r="C480" i="3"/>
  <c r="C758" i="3"/>
  <c r="C1873" i="3"/>
  <c r="C1596" i="3"/>
  <c r="C898" i="3"/>
  <c r="C1037" i="3"/>
  <c r="C1454" i="3"/>
  <c r="C1176" i="3"/>
  <c r="C1315" i="3"/>
  <c r="C620" i="3"/>
  <c r="C342" i="3"/>
  <c r="C1735" i="3"/>
  <c r="C64" i="3"/>
  <c r="C203" i="3"/>
  <c r="C481" i="3"/>
  <c r="C759" i="3"/>
  <c r="C1874" i="3"/>
  <c r="C1597" i="3"/>
  <c r="C899" i="3"/>
  <c r="C1038" i="3"/>
  <c r="C1455" i="3"/>
  <c r="C1177" i="3"/>
  <c r="C1316" i="3"/>
  <c r="C621" i="3"/>
  <c r="C343" i="3"/>
  <c r="C1736" i="3"/>
  <c r="C65" i="3"/>
  <c r="C204" i="3"/>
  <c r="C482" i="3"/>
  <c r="C760" i="3"/>
  <c r="C1875" i="3"/>
  <c r="C1598" i="3"/>
  <c r="C900" i="3"/>
  <c r="C1039" i="3"/>
  <c r="C1456" i="3"/>
  <c r="C1178" i="3"/>
  <c r="C1317" i="3"/>
  <c r="C622" i="3"/>
  <c r="C344" i="3"/>
  <c r="C1737" i="3"/>
  <c r="C66" i="3"/>
  <c r="C205" i="3"/>
  <c r="C483" i="3"/>
  <c r="C761" i="3"/>
  <c r="C1876" i="3"/>
  <c r="C1599" i="3"/>
  <c r="C901" i="3"/>
  <c r="C1040" i="3"/>
  <c r="C1457" i="3"/>
  <c r="C1179" i="3"/>
  <c r="C1318" i="3"/>
  <c r="C623" i="3"/>
  <c r="C345" i="3"/>
  <c r="C1738" i="3"/>
  <c r="C67" i="3"/>
  <c r="C206" i="3"/>
  <c r="C484" i="3"/>
  <c r="C762" i="3"/>
  <c r="C1877" i="3"/>
  <c r="C1600" i="3"/>
  <c r="C902" i="3"/>
  <c r="C1041" i="3"/>
  <c r="C1458" i="3"/>
  <c r="C1180" i="3"/>
  <c r="C1319" i="3"/>
  <c r="C624" i="3"/>
  <c r="C346" i="3"/>
  <c r="C1739" i="3"/>
  <c r="C68" i="3"/>
  <c r="C207" i="3"/>
  <c r="C485" i="3"/>
  <c r="C763" i="3"/>
  <c r="C1878" i="3"/>
  <c r="C1601" i="3"/>
  <c r="C903" i="3"/>
  <c r="C1042" i="3"/>
  <c r="C1459" i="3"/>
  <c r="C1181" i="3"/>
  <c r="C1320" i="3"/>
  <c r="C625" i="3"/>
  <c r="C347" i="3"/>
  <c r="C1740" i="3"/>
  <c r="C69" i="3"/>
  <c r="C208" i="3"/>
  <c r="C486" i="3"/>
  <c r="C764" i="3"/>
  <c r="C1879" i="3"/>
  <c r="C1602" i="3"/>
  <c r="C904" i="3"/>
  <c r="C1043" i="3"/>
  <c r="C1460" i="3"/>
  <c r="C1182" i="3"/>
  <c r="C1321" i="3"/>
  <c r="C626" i="3"/>
  <c r="C348" i="3"/>
  <c r="C1741" i="3"/>
  <c r="C70" i="3"/>
  <c r="C209" i="3"/>
  <c r="C487" i="3"/>
  <c r="C765" i="3"/>
  <c r="C1880" i="3"/>
  <c r="C1603" i="3"/>
  <c r="C905" i="3"/>
  <c r="C1044" i="3"/>
  <c r="C1461" i="3"/>
  <c r="C1183" i="3"/>
  <c r="C1322" i="3"/>
  <c r="C627" i="3"/>
  <c r="C349" i="3"/>
  <c r="C1742" i="3"/>
  <c r="C71" i="3"/>
  <c r="C210" i="3"/>
  <c r="C488" i="3"/>
  <c r="C766" i="3"/>
  <c r="C1881" i="3"/>
  <c r="C1604" i="3"/>
  <c r="C906" i="3"/>
  <c r="C1045" i="3"/>
  <c r="C1462" i="3"/>
  <c r="C1184" i="3"/>
  <c r="C1323" i="3"/>
  <c r="C628" i="3"/>
  <c r="C350" i="3"/>
  <c r="C1743" i="3"/>
  <c r="C72" i="3"/>
  <c r="C211" i="3"/>
  <c r="C489" i="3"/>
  <c r="C767" i="3"/>
  <c r="C1882" i="3"/>
  <c r="C1605" i="3"/>
  <c r="C907" i="3"/>
  <c r="C1046" i="3"/>
  <c r="C1463" i="3"/>
  <c r="C1185" i="3"/>
  <c r="C1324" i="3"/>
  <c r="C629" i="3"/>
  <c r="C351" i="3"/>
  <c r="C1744" i="3"/>
  <c r="C73" i="3"/>
  <c r="C212" i="3"/>
  <c r="C490" i="3"/>
  <c r="C768" i="3"/>
  <c r="C1883" i="3"/>
  <c r="C1606" i="3"/>
  <c r="C908" i="3"/>
  <c r="C1047" i="3"/>
  <c r="C1464" i="3"/>
  <c r="C1186" i="3"/>
  <c r="C1325" i="3"/>
  <c r="C630" i="3"/>
  <c r="C352" i="3"/>
  <c r="C1745" i="3"/>
  <c r="C74" i="3"/>
  <c r="C213" i="3"/>
  <c r="C491" i="3"/>
  <c r="C769" i="3"/>
  <c r="C1884" i="3"/>
  <c r="C1607" i="3"/>
  <c r="C909" i="3"/>
  <c r="C1048" i="3"/>
  <c r="C1465" i="3"/>
  <c r="C1187" i="3"/>
  <c r="C1326" i="3"/>
  <c r="C631" i="3"/>
  <c r="C353" i="3"/>
  <c r="C1746" i="3"/>
  <c r="C75" i="3"/>
  <c r="C214" i="3"/>
  <c r="C492" i="3"/>
  <c r="C770" i="3"/>
  <c r="C1885" i="3"/>
  <c r="C1608" i="3"/>
  <c r="C910" i="3"/>
  <c r="C1049" i="3"/>
  <c r="C1466" i="3"/>
  <c r="C1188" i="3"/>
  <c r="C1327" i="3"/>
  <c r="C632" i="3"/>
  <c r="C354" i="3"/>
  <c r="C1747" i="3"/>
  <c r="C76" i="3"/>
  <c r="C215" i="3"/>
  <c r="C493" i="3"/>
  <c r="C771" i="3"/>
  <c r="C1886" i="3"/>
  <c r="C1609" i="3"/>
  <c r="C911" i="3"/>
  <c r="C1050" i="3"/>
  <c r="C1467" i="3"/>
  <c r="C1189" i="3"/>
  <c r="C1328" i="3"/>
  <c r="C633" i="3"/>
  <c r="C355" i="3"/>
  <c r="C1748" i="3"/>
  <c r="C77" i="3"/>
  <c r="C216" i="3"/>
  <c r="C494" i="3"/>
  <c r="C772" i="3"/>
  <c r="C1887" i="3"/>
  <c r="C1610" i="3"/>
  <c r="C912" i="3"/>
  <c r="C1051" i="3"/>
  <c r="C1468" i="3"/>
  <c r="C1190" i="3"/>
  <c r="C1329" i="3"/>
  <c r="C634" i="3"/>
  <c r="C356" i="3"/>
  <c r="C1749" i="3"/>
  <c r="C78" i="3"/>
  <c r="C217" i="3"/>
  <c r="C495" i="3"/>
  <c r="C773" i="3"/>
  <c r="C1888" i="3"/>
  <c r="C1611" i="3"/>
  <c r="C913" i="3"/>
  <c r="C1052" i="3"/>
  <c r="C1469" i="3"/>
  <c r="C1191" i="3"/>
  <c r="C1330" i="3"/>
  <c r="C635" i="3"/>
  <c r="C357" i="3"/>
  <c r="C1750" i="3"/>
  <c r="C79" i="3"/>
  <c r="C218" i="3"/>
  <c r="C496" i="3"/>
  <c r="C774" i="3"/>
  <c r="C1889" i="3"/>
  <c r="C1612" i="3"/>
  <c r="C914" i="3"/>
  <c r="C1053" i="3"/>
  <c r="C1470" i="3"/>
  <c r="C1192" i="3"/>
  <c r="C1331" i="3"/>
  <c r="C636" i="3"/>
  <c r="C358" i="3"/>
  <c r="C1751" i="3"/>
  <c r="C80" i="3"/>
  <c r="C219" i="3"/>
  <c r="C497" i="3"/>
  <c r="C775" i="3"/>
  <c r="C1890" i="3"/>
  <c r="C1613" i="3"/>
  <c r="C915" i="3"/>
  <c r="C1054" i="3"/>
  <c r="C1471" i="3"/>
  <c r="C1193" i="3"/>
  <c r="C1332" i="3"/>
  <c r="C637" i="3"/>
  <c r="C359" i="3"/>
  <c r="C1752" i="3"/>
  <c r="C81" i="3"/>
  <c r="C220" i="3"/>
  <c r="C498" i="3"/>
  <c r="C776" i="3"/>
  <c r="C1891" i="3"/>
  <c r="C1614" i="3"/>
  <c r="C916" i="3"/>
  <c r="C1055" i="3"/>
  <c r="C1472" i="3"/>
  <c r="C1194" i="3"/>
  <c r="C1333" i="3"/>
  <c r="C638" i="3"/>
  <c r="C360" i="3"/>
  <c r="C1753" i="3"/>
  <c r="C82" i="3"/>
  <c r="C221" i="3"/>
  <c r="C499" i="3"/>
  <c r="C777" i="3"/>
  <c r="C1892" i="3"/>
  <c r="C1615" i="3"/>
  <c r="C917" i="3"/>
  <c r="C1056" i="3"/>
  <c r="C1473" i="3"/>
  <c r="C1195" i="3"/>
  <c r="C1334" i="3"/>
  <c r="C639" i="3"/>
  <c r="C361" i="3"/>
  <c r="C1754" i="3"/>
  <c r="C83" i="3"/>
  <c r="C222" i="3"/>
  <c r="C500" i="3"/>
  <c r="C778" i="3"/>
  <c r="C1893" i="3"/>
  <c r="C1616" i="3"/>
  <c r="C918" i="3"/>
  <c r="C1057" i="3"/>
  <c r="C1474" i="3"/>
  <c r="C1196" i="3"/>
  <c r="C1335" i="3"/>
  <c r="C640" i="3"/>
  <c r="C362" i="3"/>
  <c r="C1755" i="3"/>
  <c r="C84" i="3"/>
  <c r="C223" i="3"/>
  <c r="C501" i="3"/>
  <c r="C779" i="3"/>
  <c r="C1894" i="3"/>
  <c r="C1617" i="3"/>
  <c r="C919" i="3"/>
  <c r="C1058" i="3"/>
  <c r="C1475" i="3"/>
  <c r="C1197" i="3"/>
  <c r="C1336" i="3"/>
  <c r="C641" i="3"/>
  <c r="C363" i="3"/>
  <c r="C1756" i="3"/>
  <c r="C85" i="3"/>
  <c r="C224" i="3"/>
  <c r="C502" i="3"/>
  <c r="C780" i="3"/>
  <c r="C1895" i="3"/>
  <c r="C1618" i="3"/>
  <c r="C920" i="3"/>
  <c r="C1059" i="3"/>
  <c r="C1476" i="3"/>
  <c r="C1198" i="3"/>
  <c r="C1337" i="3"/>
  <c r="C642" i="3"/>
  <c r="C364" i="3"/>
  <c r="C1757" i="3"/>
  <c r="C86" i="3"/>
  <c r="C225" i="3"/>
  <c r="C503" i="3"/>
  <c r="C781" i="3"/>
  <c r="C1896" i="3"/>
  <c r="C1619" i="3"/>
  <c r="C921" i="3"/>
  <c r="C1060" i="3"/>
  <c r="C1477" i="3"/>
  <c r="C1199" i="3"/>
  <c r="C1338" i="3"/>
  <c r="C643" i="3"/>
  <c r="C365" i="3"/>
  <c r="C1758" i="3"/>
  <c r="C87" i="3"/>
  <c r="C226" i="3"/>
  <c r="C504" i="3"/>
  <c r="C782" i="3"/>
  <c r="C1897" i="3"/>
  <c r="C1620" i="3"/>
  <c r="C922" i="3"/>
  <c r="C1061" i="3"/>
  <c r="C1478" i="3"/>
  <c r="C1200" i="3"/>
  <c r="C1339" i="3"/>
  <c r="C644" i="3"/>
  <c r="C366" i="3"/>
  <c r="C1759" i="3"/>
  <c r="C88" i="3"/>
  <c r="C227" i="3"/>
  <c r="C505" i="3"/>
  <c r="C783" i="3"/>
  <c r="C1898" i="3"/>
  <c r="C1621" i="3"/>
  <c r="C923" i="3"/>
  <c r="C1062" i="3"/>
  <c r="C1479" i="3"/>
  <c r="C1201" i="3"/>
  <c r="C1340" i="3"/>
  <c r="C645" i="3"/>
  <c r="C367" i="3"/>
  <c r="C1760" i="3"/>
  <c r="C89" i="3"/>
  <c r="C228" i="3"/>
  <c r="C506" i="3"/>
  <c r="C784" i="3"/>
  <c r="C1899" i="3"/>
  <c r="C1622" i="3"/>
  <c r="C924" i="3"/>
  <c r="C1063" i="3"/>
  <c r="C1480" i="3"/>
  <c r="C1202" i="3"/>
  <c r="C1341" i="3"/>
  <c r="C646" i="3"/>
  <c r="C368" i="3"/>
  <c r="C1761" i="3"/>
  <c r="C90" i="3"/>
  <c r="C229" i="3"/>
  <c r="C507" i="3"/>
  <c r="C785" i="3"/>
  <c r="C1900" i="3"/>
  <c r="C1623" i="3"/>
  <c r="C925" i="3"/>
  <c r="C1064" i="3"/>
  <c r="C1481" i="3"/>
  <c r="C1203" i="3"/>
  <c r="C1342" i="3"/>
  <c r="C647" i="3"/>
  <c r="C369" i="3"/>
  <c r="C1762" i="3"/>
  <c r="C91" i="3"/>
  <c r="C230" i="3"/>
  <c r="C508" i="3"/>
  <c r="C786" i="3"/>
  <c r="C1901" i="3"/>
  <c r="C1624" i="3"/>
  <c r="C926" i="3"/>
  <c r="C1065" i="3"/>
  <c r="C1482" i="3"/>
  <c r="C1204" i="3"/>
  <c r="C1343" i="3"/>
  <c r="C648" i="3"/>
  <c r="C370" i="3"/>
  <c r="C1763" i="3"/>
  <c r="C92" i="3"/>
  <c r="C231" i="3"/>
  <c r="C509" i="3"/>
  <c r="C787" i="3"/>
  <c r="C1902" i="3"/>
  <c r="C1625" i="3"/>
  <c r="C927" i="3"/>
  <c r="C1066" i="3"/>
  <c r="C1483" i="3"/>
  <c r="C1205" i="3"/>
  <c r="C1344" i="3"/>
  <c r="C649" i="3"/>
  <c r="C371" i="3"/>
  <c r="C1764" i="3"/>
  <c r="C93" i="3"/>
  <c r="C232" i="3"/>
  <c r="C510" i="3"/>
  <c r="C788" i="3"/>
  <c r="C1903" i="3"/>
  <c r="C1626" i="3"/>
  <c r="C928" i="3"/>
  <c r="C1067" i="3"/>
  <c r="C1484" i="3"/>
  <c r="C1206" i="3"/>
  <c r="C1345" i="3"/>
  <c r="C650" i="3"/>
  <c r="C372" i="3"/>
  <c r="C1765" i="3"/>
  <c r="C94" i="3"/>
  <c r="C233" i="3"/>
  <c r="C511" i="3"/>
  <c r="C789" i="3"/>
  <c r="C1904" i="3"/>
  <c r="C1627" i="3"/>
  <c r="C929" i="3"/>
  <c r="C1068" i="3"/>
  <c r="C1485" i="3"/>
  <c r="C1207" i="3"/>
  <c r="C1346" i="3"/>
  <c r="C651" i="3"/>
  <c r="C373" i="3"/>
  <c r="C1766" i="3"/>
  <c r="C95" i="3"/>
  <c r="C234" i="3"/>
  <c r="C512" i="3"/>
  <c r="C790" i="3"/>
  <c r="C1905" i="3"/>
  <c r="C1628" i="3"/>
  <c r="C930" i="3"/>
  <c r="C1069" i="3"/>
  <c r="C1486" i="3"/>
  <c r="C1208" i="3"/>
  <c r="C1347" i="3"/>
  <c r="C652" i="3"/>
  <c r="C374" i="3"/>
  <c r="C1767" i="3"/>
  <c r="C96" i="3"/>
  <c r="C235" i="3"/>
  <c r="C513" i="3"/>
  <c r="C791" i="3"/>
  <c r="C1906" i="3"/>
  <c r="C1629" i="3"/>
  <c r="C931" i="3"/>
  <c r="C1070" i="3"/>
  <c r="C1487" i="3"/>
  <c r="C1209" i="3"/>
  <c r="C1348" i="3"/>
  <c r="C653" i="3"/>
  <c r="C375" i="3"/>
  <c r="C1768" i="3"/>
  <c r="C97" i="3"/>
  <c r="C236" i="3"/>
  <c r="C514" i="3"/>
  <c r="C792" i="3"/>
  <c r="C1907" i="3"/>
  <c r="C1630" i="3"/>
  <c r="C932" i="3"/>
  <c r="C1071" i="3"/>
  <c r="C1488" i="3"/>
  <c r="C1210" i="3"/>
  <c r="C1349" i="3"/>
  <c r="C654" i="3"/>
  <c r="C376" i="3"/>
  <c r="C1769" i="3"/>
  <c r="C98" i="3"/>
  <c r="C237" i="3"/>
  <c r="C515" i="3"/>
  <c r="C793" i="3"/>
  <c r="C1908" i="3"/>
  <c r="C1631" i="3"/>
  <c r="C933" i="3"/>
  <c r="C1072" i="3"/>
  <c r="C1489" i="3"/>
  <c r="C1211" i="3"/>
  <c r="C1350" i="3"/>
  <c r="C655" i="3"/>
  <c r="C377" i="3"/>
  <c r="C1770" i="3"/>
  <c r="C99" i="3"/>
  <c r="C238" i="3"/>
  <c r="C516" i="3"/>
  <c r="C794" i="3"/>
  <c r="C1909" i="3"/>
  <c r="C1632" i="3"/>
  <c r="C934" i="3"/>
  <c r="C1073" i="3"/>
  <c r="C1490" i="3"/>
  <c r="C1212" i="3"/>
  <c r="C1351" i="3"/>
  <c r="C100" i="3"/>
  <c r="C517" i="3"/>
  <c r="C1771" i="3"/>
  <c r="C239" i="3"/>
  <c r="C378" i="3"/>
  <c r="C656" i="3"/>
  <c r="C795" i="3"/>
  <c r="C1910" i="3"/>
  <c r="C1633" i="3"/>
  <c r="C935" i="3"/>
  <c r="C1074" i="3"/>
  <c r="C1491" i="3"/>
  <c r="C1213" i="3"/>
  <c r="C1352" i="3"/>
  <c r="C657" i="3"/>
  <c r="C379" i="3"/>
  <c r="C1772" i="3"/>
  <c r="C101" i="3"/>
  <c r="C240" i="3"/>
  <c r="C518" i="3"/>
  <c r="C796" i="3"/>
  <c r="C1911" i="3"/>
  <c r="C1634" i="3"/>
  <c r="C936" i="3"/>
  <c r="C1075" i="3"/>
  <c r="C1492" i="3"/>
  <c r="C1214" i="3"/>
  <c r="C1353" i="3"/>
  <c r="C102" i="3"/>
  <c r="C519" i="3"/>
  <c r="C1773" i="3"/>
  <c r="C241" i="3"/>
  <c r="C380" i="3"/>
  <c r="C658" i="3"/>
  <c r="C797" i="3"/>
  <c r="C1912" i="3"/>
  <c r="C1635" i="3"/>
  <c r="C937" i="3"/>
  <c r="C1076" i="3"/>
  <c r="C1493" i="3"/>
  <c r="C1215" i="3"/>
  <c r="C1354" i="3"/>
  <c r="C659" i="3"/>
  <c r="C381" i="3"/>
  <c r="C1774" i="3"/>
  <c r="C103" i="3"/>
  <c r="C242" i="3"/>
  <c r="C520" i="3"/>
  <c r="C798" i="3"/>
  <c r="C1913" i="3"/>
  <c r="C1636" i="3"/>
  <c r="C938" i="3"/>
  <c r="C1077" i="3"/>
  <c r="C1494" i="3"/>
  <c r="C1216" i="3"/>
  <c r="C1355" i="3"/>
  <c r="C660" i="3"/>
  <c r="C382" i="3"/>
  <c r="C1775" i="3"/>
  <c r="C104" i="3"/>
  <c r="C243" i="3"/>
  <c r="C521" i="3"/>
  <c r="C799" i="3"/>
  <c r="C1914" i="3"/>
  <c r="C1637" i="3"/>
  <c r="C939" i="3"/>
  <c r="C1078" i="3"/>
  <c r="C1495" i="3"/>
  <c r="C1217" i="3"/>
  <c r="C1356" i="3"/>
  <c r="C661" i="3"/>
  <c r="C383" i="3"/>
  <c r="C1776" i="3"/>
  <c r="C105" i="3"/>
  <c r="C244" i="3"/>
  <c r="C522" i="3"/>
  <c r="C800" i="3"/>
  <c r="C1915" i="3"/>
  <c r="C1638" i="3"/>
  <c r="C940" i="3"/>
  <c r="C1079" i="3"/>
  <c r="C1496" i="3"/>
  <c r="C1218" i="3"/>
  <c r="C1357" i="3"/>
  <c r="C662" i="3"/>
  <c r="C384" i="3"/>
  <c r="C1777" i="3"/>
  <c r="C106" i="3"/>
  <c r="C245" i="3"/>
  <c r="C523" i="3"/>
  <c r="C801" i="3"/>
  <c r="C1916" i="3"/>
  <c r="C1639" i="3"/>
  <c r="C941" i="3"/>
  <c r="C1080" i="3"/>
  <c r="C1497" i="3"/>
  <c r="C1219" i="3"/>
  <c r="C1358" i="3"/>
  <c r="C663" i="3"/>
  <c r="C385" i="3"/>
  <c r="C1778" i="3"/>
  <c r="C107" i="3"/>
  <c r="C246" i="3"/>
  <c r="C524" i="3"/>
  <c r="C802" i="3"/>
  <c r="C1917" i="3"/>
  <c r="C1640" i="3"/>
  <c r="C942" i="3"/>
  <c r="C1081" i="3"/>
  <c r="C1498" i="3"/>
  <c r="C1220" i="3"/>
  <c r="C1359" i="3"/>
  <c r="C664" i="3"/>
  <c r="C386" i="3"/>
  <c r="C1779" i="3"/>
  <c r="C108" i="3"/>
  <c r="C247" i="3"/>
  <c r="C525" i="3"/>
  <c r="C803" i="3"/>
  <c r="C1918" i="3"/>
  <c r="C1641" i="3"/>
  <c r="C943" i="3"/>
  <c r="C1082" i="3"/>
  <c r="C1499" i="3"/>
  <c r="C1221" i="3"/>
  <c r="C1360" i="3"/>
  <c r="C109" i="3"/>
  <c r="C526" i="3"/>
  <c r="C1780" i="3"/>
  <c r="C248" i="3"/>
  <c r="C387" i="3"/>
  <c r="C665" i="3"/>
  <c r="C804" i="3"/>
  <c r="C1919" i="3"/>
  <c r="C1642" i="3"/>
  <c r="C944" i="3"/>
  <c r="C1083" i="3"/>
  <c r="C1500" i="3"/>
  <c r="C1222" i="3"/>
  <c r="C1361" i="3"/>
  <c r="C110" i="3"/>
  <c r="C527" i="3"/>
  <c r="C1781" i="3"/>
  <c r="C249" i="3"/>
  <c r="C388" i="3"/>
  <c r="C666" i="3"/>
  <c r="C805" i="3"/>
  <c r="C1920" i="3"/>
  <c r="C1643" i="3"/>
  <c r="C945" i="3"/>
  <c r="C1084" i="3"/>
  <c r="C1501" i="3"/>
  <c r="C1223" i="3"/>
  <c r="C1362" i="3"/>
  <c r="C111" i="3"/>
  <c r="C528" i="3"/>
  <c r="C1782" i="3"/>
  <c r="C250" i="3"/>
  <c r="C389" i="3"/>
  <c r="C667" i="3"/>
  <c r="C806" i="3"/>
  <c r="C1921" i="3"/>
  <c r="C1644" i="3"/>
  <c r="C946" i="3"/>
  <c r="C1085" i="3"/>
  <c r="C1502" i="3"/>
  <c r="C1224" i="3"/>
  <c r="C1363" i="3"/>
  <c r="C112" i="3"/>
  <c r="C529" i="3"/>
  <c r="C1783" i="3"/>
  <c r="C251" i="3"/>
  <c r="C390" i="3"/>
  <c r="C668" i="3"/>
  <c r="C807" i="3"/>
  <c r="C1922" i="3"/>
  <c r="C1645" i="3"/>
  <c r="C947" i="3"/>
  <c r="C1086" i="3"/>
  <c r="C1503" i="3"/>
  <c r="C1225" i="3"/>
  <c r="C1364" i="3"/>
  <c r="C113" i="3"/>
  <c r="C530" i="3"/>
  <c r="C1784" i="3"/>
  <c r="C252" i="3"/>
  <c r="C391" i="3"/>
  <c r="C669" i="3"/>
  <c r="C808" i="3"/>
  <c r="C1923" i="3"/>
  <c r="C1646" i="3"/>
  <c r="C948" i="3"/>
  <c r="C1087" i="3"/>
  <c r="C1504" i="3"/>
  <c r="C1226" i="3"/>
  <c r="C1365" i="3"/>
  <c r="C114" i="3"/>
  <c r="C531" i="3"/>
  <c r="C1785" i="3"/>
  <c r="C253" i="3"/>
  <c r="C392" i="3"/>
  <c r="C670" i="3"/>
  <c r="C809" i="3"/>
  <c r="C1924" i="3"/>
  <c r="C1647" i="3"/>
  <c r="C949" i="3"/>
  <c r="C1088" i="3"/>
  <c r="C1505" i="3"/>
  <c r="C1227" i="3"/>
  <c r="C1366" i="3"/>
  <c r="C115" i="3"/>
  <c r="C532" i="3"/>
  <c r="C1786" i="3"/>
  <c r="C254" i="3"/>
  <c r="C393" i="3"/>
  <c r="C671" i="3"/>
  <c r="C810" i="3"/>
  <c r="C1925" i="3"/>
  <c r="C1648" i="3"/>
  <c r="C950" i="3"/>
  <c r="C1089" i="3"/>
  <c r="C1506" i="3"/>
  <c r="C1228" i="3"/>
  <c r="C1367" i="3"/>
  <c r="C116" i="3"/>
  <c r="C533" i="3"/>
  <c r="C1787" i="3"/>
  <c r="C255" i="3"/>
  <c r="C394" i="3"/>
  <c r="C672" i="3"/>
  <c r="C811" i="3"/>
  <c r="C1926" i="3"/>
  <c r="C1649" i="3"/>
  <c r="C951" i="3"/>
  <c r="C1090" i="3"/>
  <c r="C1507" i="3"/>
  <c r="C1229" i="3"/>
  <c r="C1368" i="3"/>
  <c r="C117" i="3"/>
  <c r="C534" i="3"/>
  <c r="C1788" i="3"/>
  <c r="C256" i="3"/>
  <c r="C395" i="3"/>
  <c r="C673" i="3"/>
  <c r="C812" i="3"/>
  <c r="C1927" i="3"/>
  <c r="C1650" i="3"/>
  <c r="C952" i="3"/>
  <c r="C1091" i="3"/>
  <c r="C1508" i="3"/>
  <c r="C1230" i="3"/>
  <c r="C1369" i="3"/>
  <c r="C118" i="3"/>
  <c r="C535" i="3"/>
  <c r="C1789" i="3"/>
  <c r="C257" i="3"/>
  <c r="C396" i="3"/>
  <c r="C674" i="3"/>
  <c r="C813" i="3"/>
  <c r="C1928" i="3"/>
  <c r="C1651" i="3"/>
  <c r="C953" i="3"/>
  <c r="C1092" i="3"/>
  <c r="C1509" i="3"/>
  <c r="C1231" i="3"/>
  <c r="C1370" i="3"/>
  <c r="C119" i="3"/>
  <c r="C536" i="3"/>
  <c r="C1790" i="3"/>
  <c r="C258" i="3"/>
  <c r="C397" i="3"/>
  <c r="C675" i="3"/>
  <c r="C814" i="3"/>
  <c r="C1929" i="3"/>
  <c r="C1652" i="3"/>
  <c r="C954" i="3"/>
  <c r="C1093" i="3"/>
  <c r="C1510" i="3"/>
  <c r="C1232" i="3"/>
  <c r="C1371" i="3"/>
  <c r="C120" i="3"/>
  <c r="C537" i="3"/>
  <c r="C1791" i="3"/>
  <c r="C259" i="3"/>
  <c r="C398" i="3"/>
  <c r="C676" i="3"/>
  <c r="C815" i="3"/>
  <c r="C1930" i="3"/>
  <c r="C1653" i="3"/>
  <c r="C955" i="3"/>
  <c r="C1094" i="3"/>
  <c r="C1511" i="3"/>
  <c r="C1233" i="3"/>
  <c r="C1372" i="3"/>
  <c r="C121" i="3"/>
  <c r="C538" i="3"/>
  <c r="C1792" i="3"/>
  <c r="C260" i="3"/>
  <c r="C399" i="3"/>
  <c r="C677" i="3"/>
  <c r="C816" i="3"/>
  <c r="C1931" i="3"/>
  <c r="C1654" i="3"/>
  <c r="C956" i="3"/>
  <c r="C1095" i="3"/>
  <c r="C1512" i="3"/>
  <c r="C1234" i="3"/>
  <c r="C1373" i="3"/>
  <c r="C122" i="3"/>
  <c r="C539" i="3"/>
  <c r="C1793" i="3"/>
  <c r="C261" i="3"/>
  <c r="C400" i="3"/>
  <c r="C678" i="3"/>
  <c r="C817" i="3"/>
  <c r="C1932" i="3"/>
  <c r="C1655" i="3"/>
  <c r="C957" i="3"/>
  <c r="C1096" i="3"/>
  <c r="C1513" i="3"/>
  <c r="C1235" i="3"/>
  <c r="C1374" i="3"/>
  <c r="C123" i="3"/>
  <c r="C540" i="3"/>
  <c r="C1794" i="3"/>
  <c r="C262" i="3"/>
  <c r="C401" i="3"/>
  <c r="C679" i="3"/>
  <c r="C818" i="3"/>
  <c r="C1933" i="3"/>
  <c r="C1656" i="3"/>
  <c r="C958" i="3"/>
  <c r="C1097" i="3"/>
  <c r="C1514" i="3"/>
  <c r="C1236" i="3"/>
  <c r="C1375" i="3"/>
  <c r="C124" i="3"/>
  <c r="C541" i="3"/>
  <c r="C1795" i="3"/>
  <c r="C263" i="3"/>
  <c r="C402" i="3"/>
  <c r="C680" i="3"/>
  <c r="C819" i="3"/>
  <c r="C1934" i="3"/>
  <c r="C1657" i="3"/>
  <c r="C959" i="3"/>
  <c r="C1098" i="3"/>
  <c r="C1515" i="3"/>
  <c r="C1237" i="3"/>
  <c r="C1376" i="3"/>
  <c r="C125" i="3"/>
  <c r="C542" i="3"/>
  <c r="C1796" i="3"/>
  <c r="C264" i="3"/>
  <c r="C403" i="3"/>
  <c r="C681" i="3"/>
  <c r="C820" i="3"/>
  <c r="C1935" i="3"/>
  <c r="C1658" i="3"/>
  <c r="C960" i="3"/>
  <c r="C1099" i="3"/>
  <c r="C1516" i="3"/>
  <c r="C1238" i="3"/>
  <c r="C1377" i="3"/>
  <c r="C126" i="3"/>
  <c r="C543" i="3"/>
  <c r="C1797" i="3"/>
  <c r="C265" i="3"/>
  <c r="C404" i="3"/>
  <c r="C682" i="3"/>
  <c r="C821" i="3"/>
  <c r="C1936" i="3"/>
  <c r="C1659" i="3"/>
  <c r="C961" i="3"/>
  <c r="C1100" i="3"/>
  <c r="C1517" i="3"/>
  <c r="C1239" i="3"/>
  <c r="C1378" i="3"/>
  <c r="C127" i="3"/>
  <c r="C544" i="3"/>
  <c r="C1798" i="3"/>
  <c r="C266" i="3"/>
  <c r="C405" i="3"/>
  <c r="C683" i="3"/>
  <c r="C822" i="3"/>
  <c r="C1937" i="3"/>
  <c r="C1660" i="3"/>
  <c r="C962" i="3"/>
  <c r="C1101" i="3"/>
  <c r="C1518" i="3"/>
  <c r="C1240" i="3"/>
  <c r="C1379" i="3"/>
  <c r="C128" i="3"/>
  <c r="C545" i="3"/>
  <c r="C1799" i="3"/>
  <c r="C267" i="3"/>
  <c r="C406" i="3"/>
  <c r="C684" i="3"/>
  <c r="C823" i="3"/>
  <c r="C1938" i="3"/>
  <c r="C1661" i="3"/>
  <c r="C963" i="3"/>
  <c r="C1102" i="3"/>
  <c r="C1519" i="3"/>
  <c r="C1241" i="3"/>
  <c r="C1380" i="3"/>
  <c r="C685" i="3"/>
  <c r="C407" i="3"/>
  <c r="C1800" i="3"/>
  <c r="C129" i="3"/>
  <c r="C268" i="3"/>
  <c r="C546" i="3"/>
  <c r="C824" i="3"/>
  <c r="C1939" i="3"/>
  <c r="C1662" i="3"/>
  <c r="C964" i="3"/>
  <c r="C1103" i="3"/>
  <c r="C1520" i="3"/>
  <c r="C1242" i="3"/>
  <c r="C1381" i="3"/>
  <c r="C686" i="3"/>
  <c r="C408" i="3"/>
  <c r="C1801" i="3"/>
  <c r="C130" i="3"/>
  <c r="C269" i="3"/>
  <c r="C547" i="3"/>
  <c r="C825" i="3"/>
  <c r="C1940" i="3"/>
  <c r="C1663" i="3"/>
  <c r="C965" i="3"/>
  <c r="C1104" i="3"/>
  <c r="C1521" i="3"/>
  <c r="C1243" i="3"/>
  <c r="C1382" i="3"/>
  <c r="C687" i="3"/>
  <c r="C409" i="3"/>
  <c r="C1802" i="3"/>
  <c r="C131" i="3"/>
  <c r="C270" i="3"/>
  <c r="C548" i="3"/>
  <c r="C826" i="3"/>
  <c r="C1941" i="3"/>
  <c r="C1664" i="3"/>
  <c r="C966" i="3"/>
  <c r="C1105" i="3"/>
  <c r="C1522" i="3"/>
  <c r="C1244" i="3"/>
  <c r="C1383" i="3"/>
  <c r="C688" i="3"/>
  <c r="C410" i="3"/>
  <c r="C1803" i="3"/>
  <c r="C132" i="3"/>
  <c r="C271" i="3"/>
  <c r="C549" i="3"/>
  <c r="C827" i="3"/>
  <c r="C1942" i="3"/>
  <c r="C1665" i="3"/>
  <c r="C967" i="3"/>
  <c r="C1106" i="3"/>
  <c r="C1523" i="3"/>
  <c r="C1245" i="3"/>
  <c r="C1384" i="3"/>
  <c r="C689" i="3"/>
  <c r="C411" i="3"/>
  <c r="C1804" i="3"/>
  <c r="C133" i="3"/>
  <c r="C272" i="3"/>
  <c r="C550" i="3"/>
  <c r="C828" i="3"/>
  <c r="C1943" i="3"/>
  <c r="C1666" i="3"/>
  <c r="C968" i="3"/>
  <c r="C1107" i="3"/>
  <c r="C1524" i="3"/>
  <c r="C1246" i="3"/>
  <c r="C1385" i="3"/>
  <c r="C690" i="3"/>
  <c r="C412" i="3"/>
  <c r="C1805" i="3"/>
  <c r="C134" i="3"/>
  <c r="C273" i="3"/>
  <c r="C551" i="3"/>
  <c r="C829" i="3"/>
  <c r="C1944" i="3"/>
  <c r="C1667" i="3"/>
  <c r="C969" i="3"/>
  <c r="C1955" i="3"/>
  <c r="C840" i="3"/>
  <c r="C562" i="3"/>
  <c r="C284" i="3"/>
  <c r="C145" i="3"/>
  <c r="C1816" i="3"/>
  <c r="C423" i="3"/>
  <c r="C701" i="3"/>
  <c r="C1396" i="3"/>
  <c r="C1257" i="3"/>
  <c r="C1535" i="3"/>
  <c r="C1118" i="3"/>
  <c r="C841" i="3"/>
  <c r="C1536" i="3"/>
</calcChain>
</file>

<file path=xl/sharedStrings.xml><?xml version="1.0" encoding="utf-8"?>
<sst xmlns="http://schemas.openxmlformats.org/spreadsheetml/2006/main" count="30362" uniqueCount="2122">
  <si>
    <t>REACH Ukraine | MPCA Assessment 2024-2025 | Baseline and Endline Frequency Tables</t>
  </si>
  <si>
    <t>Items</t>
  </si>
  <si>
    <t>Description</t>
  </si>
  <si>
    <t xml:space="preserve">Background &amp; Rationale </t>
  </si>
  <si>
    <t xml:space="preserve">Vulnerable households in humanitarian contexts often face financial and non-financial barriers that prevent them from ensuring that their basic needs are adequately met. However, even under such challenging circumstances, vulnerable households form appropriate purchasing patterns, i.e. how they consume the goods they require to meet their basic needs, which correspond to their  lived experiences, and thus needs. This ultimately results in prioritizing the household needs which are most urgent and require addressing. Nonetheless, these purchasing patterns are distorted by extreme vulnerability. As a result, they often have to resort to coping strategies to ensure their survival. 
Similar to vulnerability, in a humanitarian response, the modality of assistance provided can significantly alter the respective purchasing patterns of recipient households. Sectoral assistance, especially in-kind assistance, addresses a sector-specific part of a household's needs, thus meeting important needs of the household, but potentially creating even greater imbalances in purchasing patterns. Multi-purpose cash assistance (MPCA) is particularly designed to support vulnerable households. The provision of MPCA aims to meet the most important household needs but in a manner so that purchasing patterns are equalized. MPCA thus provides a more comprehensive to household vulnerability without running the risk of further mutating household purchasing patterns already distorted by household vulnerability. The purpose of MPCA is in particular to alleviate the financial barriers which make it difficult for vulnerable households to meet their basic needs. As MPCA is used to improve households’ ability to meet their basic needs, sectoral outcomes are meant to be achieved by disbursement of MPCA. A sectoral outcome is a specific result or change in a humanitarian sector that a humanitarian response aims to achieve. In the case of MPCA, the change in sectoral outcomes shows the extent to which the provision of MPCA contributes to improving the situation in the relevant humanitarian sector. However, uniquely MPCA by its nature, and compared to other humanitarian aid modalities, such as in-kind assistance, does not address a single narrow sectoral need of a vulnerable household, but rather provides opportunities to meet any need within the limits of the funds provided, regardless of the sector(s) to which that need is categorized. 
Despite clear envisioned outcomes for each sector in the Ukraine humanitarian response, evidence is lacking regarding the extent to which MPCA contributes to achieving these. The expectation that MPCA can lead to attaining desired outcomes across all sectors has thus not been supported by evidence. Given the prevalence and importance of MPCA in the humanitarian response in Ukraine, it is crucial for the response as a whole to understand the degree to which MPCA can be relied upon to achieve sectoral outcomes. 
In light of this, IMPACT evaluated the suitability of MPCA to achieve targeted outcomes for the different humanitarian sectors in Ukraine, as well as identify areas in which sector-specific complementary activities are additionally needed to strengthen sectoral outcomes. 
The evaluation aimed at addressing the following research questions: 
• Based on global secondary data sources, which humanitarian sectoral outcomes are most effectively and frequently addressed by multipurpose cash assistance? 
• To what extent does receiving MPCA impact the purchasing patterns of beneficiary households and influence the level of need satisfaction within specific humanitarian sectors? 
• What are the differences in achieving sectoral needs between different population groups through the use of MPCA, considering factors such as displacement status, family composition, and other household characteristics? 
• How suitable is MPCA in achieving targeted outcomes for different humanitarian sectors in Ukraine, and what areas require sector-specific complementary activities to strengthen sectoral outcomes? </t>
  </si>
  <si>
    <t>Donors</t>
  </si>
  <si>
    <t>Ukraine Humanitarian Fund</t>
  </si>
  <si>
    <t>Partners</t>
  </si>
  <si>
    <t>Cash Working Group (CWG) Ukraine and Kyiv International Institute of Sociology (KIIS)</t>
  </si>
  <si>
    <t>Data Collection Period</t>
  </si>
  <si>
    <t>Baseline data collection: October - November 2024. Endline data collection: January 2025</t>
  </si>
  <si>
    <t>Methodology</t>
  </si>
  <si>
    <t xml:space="preserve">To monitor the ongoing impact of MPCA on households, IMPACT conducted two rounds of data collection, baseline and endline, among households that were selected to receive MPCA. Selected households were receiving MPCA for the first time from ACTED, a CWG Ukraine partner,  and who collected the data on behalf of IMPACT. IMPACT collected data in in October and November 2024, before households received MPCA, to form a baseline against which IMPACT could analyze the impact of MPCA on sectoral outcomes. IMPACT subsequently conducted  a second round of data collection, forming the endline, in January 2025, roughly three months after MPCA was received by the surveyed households. The baseline and endline data collections were conducted remotely via telephone interviews. The overall objective of this study is to provide evidence on the impact of MPCA on sectoral outcomes.  
Each of the two data collection rounds, namely the baseline and endline data collections, had distinct sampling requirements. Since the study aims to assess the impact of the MPCA on meeting household needs with a focus on achieving humanitarian sectoral outcomes, it was necessary to collect data from the same households at both stages. In the baseline data collection round, a random sample of households was collected by randomly sampling from. a list of households to receive MPCA for the first time, received from ACTED, a CWG Ukraine member. In total, 195 households were selected to ensure that the required number of interviews were achieved in case of refusal or ineligibility of the household. Data collection for the baseline phase was conducted around two phases of the MPCA process: 1) just after households had passed the eligibility check and were selected for disbursement of MPCA and 2) just before the MPCA was disbursed.  
In the endline data collection stage, the same households as in the first stage were interviewed, totaling 130 households. Data collection in the endline phase was conducted between two and three months after the disbursement of the MPCA.  
During the survey, households were asked about their overall income and expenditure situation and MPCA effects, both expected (baseline) and having occurred (endline), on the fulfillment of households` needs.  </t>
  </si>
  <si>
    <t>Geographic scope</t>
  </si>
  <si>
    <t xml:space="preserve">The data was collected in the regions of perceived greatest need, namely the East and South of Ukraine. Eligible households were selected from Shevchenkivska and Chkalovska Hromadas in Kharkivska Oblast and Muzykivska Hromada in Khersonska Oblast. </t>
  </si>
  <si>
    <t>Limitations</t>
  </si>
  <si>
    <t xml:space="preserve">The data collection was based on contacts of MPCA recipients from one humanitarian organization – ACTED. Further, interviews were done in only two oblasts. As a result, the study is not comprehensive for MPCA in the Whole of Ukraine and may also be biased towards households which are more likely to receive MPCA from ACTED according to their scoring system and manner of ascertaining eligibility. Due to the rather limited number of interviews, there is a possibility that not all possible categories of vulnerable households eligible for provision of MPCA were interviewed, as well, limiting the insights that can be provided for certain vulnerable categories. Finally, as the baseline and endline were conducted in a relatively short time frame the effect of seasonality cannot be fully explored. Therefore, the results of the study should also be taken within the context of the data collection period (winter). </t>
  </si>
  <si>
    <t>Product Navigation and Disaggregations</t>
  </si>
  <si>
    <r>
      <rPr>
        <sz val="12"/>
        <color rgb="FF000000"/>
        <rFont val="Arial Narrow"/>
      </rPr>
      <t xml:space="preserve">This REACH product presents </t>
    </r>
    <r>
      <rPr>
        <b/>
        <sz val="12"/>
        <color rgb="FF000000"/>
        <rFont val="Arial Narrow"/>
      </rPr>
      <t xml:space="preserve">frequency tables of the MPCA Assessment 2024-2025. </t>
    </r>
    <r>
      <rPr>
        <sz val="12"/>
        <color rgb="FF000000"/>
        <rFont val="Arial Narrow"/>
      </rPr>
      <t xml:space="preserve">The frequency tables are grouped by Baseline and Endline, Indicator, and Disaggregations, and can be navigated using the relevant links in the "Table of Content" tab. Households participating in the data collection were assigned to these disaggregation categories by the REACH study partner ACTED as they corresponded to the overall and scoring criteria ACTED deploys to determine eligibility for ACTED-disbursed MCPA. Thus, REACH did not collect information to categorize respondent households accordingly nor to verify that the categorization of such households by ACTED were correct. The disaggregation categories were as follows:
</t>
    </r>
    <r>
      <rPr>
        <b/>
        <sz val="12"/>
        <color rgb="FF000000"/>
        <rFont val="Arial Narrow"/>
      </rPr>
      <t xml:space="preserve">
</t>
    </r>
    <r>
      <rPr>
        <sz val="12"/>
        <color rgb="FF000000"/>
        <rFont val="Arial Narrow"/>
      </rPr>
      <t>•</t>
    </r>
    <r>
      <rPr>
        <b/>
        <sz val="12"/>
        <color rgb="FF000000"/>
        <rFont val="Arial Narrow"/>
      </rPr>
      <t xml:space="preserve">	 Households with 3 or more children under 18 years of age
•	 Households with children under 1 year of age
•	 Households with pregnant women
•	 Households with people with disabilities of group 1 or 2:</t>
    </r>
    <r>
      <rPr>
        <sz val="12"/>
        <color rgb="FF000000"/>
        <rFont val="Arial Narrow"/>
      </rPr>
      <t xml:space="preserve"> Group 1 or Group 2 disability categories are from the official categorization of disability by the Government of Ukraine. 
</t>
    </r>
    <r>
      <rPr>
        <b/>
        <sz val="12"/>
        <color rgb="FF000000"/>
        <rFont val="Arial Narrow"/>
      </rPr>
      <t>•	 Households with people with severe chronic diseases</t>
    </r>
    <r>
      <rPr>
        <sz val="12"/>
        <color rgb="FF000000"/>
        <rFont val="Arial Narrow"/>
      </rPr>
      <t xml:space="preserve">.
</t>
    </r>
    <r>
      <rPr>
        <b/>
        <sz val="12"/>
        <color rgb="FF000000"/>
        <rFont val="Arial Narrow"/>
      </rPr>
      <t xml:space="preserve">•	 Households where all adult household members are 60 y.o.+ 
•	 Households headed by women
•	 Single headed households with chlid(ren) or older person(s) (60 y.o.+)
•	 Households displaced from the territory of active hostilities and not receiving IDP payments
• Households evacuated from the territory of active hostilities within the last 30 days
• Households partially or fully damaged 
• Households whose members were injured or killed as a result of hostilities
• Total eligibility score: </t>
    </r>
    <r>
      <rPr>
        <sz val="12"/>
        <color rgb="FF000000"/>
        <rFont val="Arial Narrow"/>
      </rPr>
      <t>ACTED categorizes households according to four quartiles of vulnerability with Q4 being the most vulnerable households and Q1 being the least. Further information on this categorization is provided in the MPCA report.</t>
    </r>
  </si>
  <si>
    <t>Contacts</t>
  </si>
  <si>
    <t>Ievgen Volkovskyi ievgen.volkovskyi@reach-initiative.org</t>
  </si>
  <si>
    <t>Andrii Mynko andrii.mynko@reach-initiative.org</t>
  </si>
  <si>
    <t>Sheets</t>
  </si>
  <si>
    <t>Sheet 1 - READ_ME</t>
  </si>
  <si>
    <t>Project description</t>
  </si>
  <si>
    <t>Sheet 2 - Table of Contents</t>
  </si>
  <si>
    <r>
      <t xml:space="preserve">The Table of Contents displays the links to relevant </t>
    </r>
    <r>
      <rPr>
        <b/>
        <sz val="12"/>
        <rFont val="Arial Narrow"/>
        <family val="2"/>
      </rPr>
      <t xml:space="preserve">Frequency Tables. </t>
    </r>
    <r>
      <rPr>
        <sz val="12"/>
        <rFont val="Arial Narrow"/>
        <family val="2"/>
      </rPr>
      <t xml:space="preserve">To filter the tables of interest, select the (i) sector, (ii) indicator of interest, (iii) disaggregation using the slicers above the table. Click the indicator name to access the data. </t>
    </r>
  </si>
  <si>
    <t>Sheet 3 - Data</t>
  </si>
  <si>
    <t xml:space="preserve">Data contains the relevant frequency tables. </t>
  </si>
  <si>
    <t>REACH Ukraine | MPCA Assessment 2024-2025 | Table of Contents for Frequency Tables</t>
  </si>
  <si>
    <t>TO FILTER RELEVANT FREQUENCY TABLES:</t>
  </si>
  <si>
    <r>
      <t xml:space="preserve">STEP 1: SELECT </t>
    </r>
    <r>
      <rPr>
        <b/>
        <sz val="14"/>
        <color rgb="FFFF2F2F"/>
        <rFont val="Aptos Narrow"/>
        <family val="2"/>
        <scheme val="minor"/>
      </rPr>
      <t>BASELINE</t>
    </r>
    <r>
      <rPr>
        <b/>
        <sz val="14"/>
        <color theme="1"/>
        <rFont val="Aptos Narrow"/>
        <family val="2"/>
        <scheme val="minor"/>
      </rPr>
      <t xml:space="preserve"> OR </t>
    </r>
    <r>
      <rPr>
        <b/>
        <sz val="14"/>
        <color rgb="FFFF2F2F"/>
        <rFont val="Aptos Narrow"/>
        <family val="2"/>
        <scheme val="minor"/>
      </rPr>
      <t>ENDLINE</t>
    </r>
  </si>
  <si>
    <r>
      <t xml:space="preserve">STEP 2: SELECT THE </t>
    </r>
    <r>
      <rPr>
        <b/>
        <sz val="14"/>
        <color rgb="FFFF0000"/>
        <rFont val="Aptos Narrow"/>
        <family val="2"/>
        <scheme val="minor"/>
      </rPr>
      <t>INDICATOR OF INTEREST</t>
    </r>
  </si>
  <si>
    <r>
      <t xml:space="preserve">STEP 3: SELECT THE </t>
    </r>
    <r>
      <rPr>
        <b/>
        <sz val="14"/>
        <color rgb="FFFF0000"/>
        <rFont val="Aptos Narrow"/>
        <family val="2"/>
        <scheme val="minor"/>
      </rPr>
      <t xml:space="preserve">DISAGGREGATION </t>
    </r>
    <r>
      <rPr>
        <b/>
        <sz val="14"/>
        <rFont val="Aptos Narrow"/>
        <family val="2"/>
        <scheme val="minor"/>
      </rPr>
      <t>OF INTEREST</t>
    </r>
  </si>
  <si>
    <r>
      <rPr>
        <u/>
        <sz val="12"/>
        <color theme="1"/>
        <rFont val="Aptos Narrow"/>
        <family val="2"/>
        <scheme val="minor"/>
      </rPr>
      <t>Applicable</t>
    </r>
    <r>
      <rPr>
        <sz val="12"/>
        <color theme="1"/>
        <rFont val="Aptos Narrow"/>
        <family val="2"/>
        <scheme val="minor"/>
      </rPr>
      <t xml:space="preserve"> indicators by sector will appear in darker red in the slicer </t>
    </r>
  </si>
  <si>
    <r>
      <rPr>
        <u/>
        <sz val="12"/>
        <color theme="1"/>
        <rFont val="Aptos Narrow"/>
        <family val="2"/>
        <scheme val="minor"/>
      </rPr>
      <t>Applicable</t>
    </r>
    <r>
      <rPr>
        <sz val="12"/>
        <color theme="1"/>
        <rFont val="Aptos Narrow"/>
        <family val="2"/>
        <scheme val="minor"/>
      </rPr>
      <t xml:space="preserve"> disaggregations by indicator will appear in darker red in the slicer </t>
    </r>
  </si>
  <si>
    <t>Baseline or Endline</t>
  </si>
  <si>
    <t>Indicator and link to Frequency Tables</t>
  </si>
  <si>
    <t>Disaggregation</t>
  </si>
  <si>
    <t>ID</t>
  </si>
  <si>
    <t>Baseline assessment</t>
  </si>
  <si>
    <t>Households where all adult members are 60 y.o.+</t>
  </si>
  <si>
    <t>Endline assessment</t>
  </si>
  <si>
    <t>Households displaced from the territory of active hostilities and not receiving IDP payments</t>
  </si>
  <si>
    <t>Households evacuated from the territory of active hostilities within the last 30 days</t>
  </si>
  <si>
    <t>Households headed by women</t>
  </si>
  <si>
    <t>Households partially or fully damaged</t>
  </si>
  <si>
    <t>Households whose members were injured or killed as a result of hostilities</t>
  </si>
  <si>
    <t>Households with 3 or more children under 18 years of age</t>
  </si>
  <si>
    <t>Households with children under 1 year of age</t>
  </si>
  <si>
    <t>Households with people with disabilities of group 1 or 2</t>
  </si>
  <si>
    <t>Households with people with severe chronic diseases</t>
  </si>
  <si>
    <t>Households with pregnant women</t>
  </si>
  <si>
    <t>Overall</t>
  </si>
  <si>
    <t>Single headed households with chlid(ren) or older person(s) (60 y.o.+)</t>
  </si>
  <si>
    <t>Total eligibility score</t>
  </si>
  <si>
    <t>Total combined income of all members of a household (excluding any humanitarian monetary assistance) for the last month in UAH [BASELINE] on the admin of overall</t>
  </si>
  <si>
    <t>Admin category</t>
  </si>
  <si>
    <t>Mean</t>
  </si>
  <si>
    <t>Median</t>
  </si>
  <si>
    <t>Min.</t>
  </si>
  <si>
    <t>Max.</t>
  </si>
  <si>
    <t>General count</t>
  </si>
  <si>
    <t>Full count</t>
  </si>
  <si>
    <t xml:space="preserve"> Overall</t>
  </si>
  <si>
    <t>Total combined income of all members of a household (excluding any humanitarian monetary assistance) for the last month in UAH [BASELINE] broken down by households with 3 or more children under 18 years of age on the admin of overall</t>
  </si>
  <si>
    <t>Disaggregations category</t>
  </si>
  <si>
    <t>Absence of disaggregation factor</t>
  </si>
  <si>
    <t>Presence of disaggregation factor</t>
  </si>
  <si>
    <t>Total combined income of all members of a household (excluding any humanitarian monetary assistance) for the last month in UAH [BASELINE] broken down by households with children under 1 year of age on the admin of overall</t>
  </si>
  <si>
    <t>Total combined income of all members of a household (excluding any humanitarian monetary assistance) for the last month in UAH [BASELINE] broken down by households with pregnant women on the admin of overall</t>
  </si>
  <si>
    <t>Total combined income of all members of a household (excluding any humanitarian monetary assistance) for the last month in UAH [BASELINE] broken down by households with people with disabilities of group 1 or 2 on the admin of overall</t>
  </si>
  <si>
    <t>Total combined income of all members of a household (excluding any humanitarian monetary assistance) for the last month in UAH [BASELINE] broken down by households with people with severe chronic diseases on the admin of overall</t>
  </si>
  <si>
    <t>Total combined income of all members of a household (excluding any humanitarian monetary assistance) for the last month in UAH [BASELINE] broken down by households where all adult members are 60 y.o.+ on the admin of overall</t>
  </si>
  <si>
    <t>Total combined income of all members of a household (excluding any humanitarian monetary assistance) for the last month in UAH [BASELINE] broken down by households headed by women on the admin of overall</t>
  </si>
  <si>
    <t>Total combined income of all members of a household (excluding any humanitarian monetary assistance) for the last month in UAH [BASELINE] broken down by single headed households with child(ren) or older person(s) (60 y.o.+) on the admin of overall</t>
  </si>
  <si>
    <t>Total combined income of all members of a household (excluding any humanitarian monetary assistance) for the last month in UAH [BASELINE] broken down by households displaced from the territory of active hostilities and not receiving idp payments on the admin of overall</t>
  </si>
  <si>
    <t>Total combined income of all members of a household (excluding any humanitarian monetary assistance) for the last month in UAH [BASELINE] broken down by households evacuated from the territory of active hostilities within the last 30 days on the admin of overall</t>
  </si>
  <si>
    <t>Total combined income of all members of a household (excluding any humanitarian monetary assistance) for the last month in UAH [BASELINE] broken down by households partially or fully damaged on the admin of overall</t>
  </si>
  <si>
    <t>Total combined income of all members of a household (excluding any humanitarian monetary assistance) for the last month in UAH [BASELINE] broken down by households whose members were injured or killed as a result of hostilities on the admin of overall</t>
  </si>
  <si>
    <t>Total combined income of all members of a household (excluding any humanitarian monetary assistance) for the last month in UAH [BASELINE] broken down by total eligibility quantiled on the admin of overall</t>
  </si>
  <si>
    <t>Q1</t>
  </si>
  <si>
    <t>Q2</t>
  </si>
  <si>
    <t>Q3</t>
  </si>
  <si>
    <t>Q4</t>
  </si>
  <si>
    <t>Total combined income of all members of a household (excluding any humanitarian monetary assistance) for the last month per HH member in UAH [BASELINE] on the admin of overall</t>
  </si>
  <si>
    <t>Total combined income of all members of a household (excluding any humanitarian monetary assistance) for the last month per HH member in UAH [BASELINE] broken down by households with 3 or more children under 18 years of age on the admin of overall</t>
  </si>
  <si>
    <t>Total combined income of all members of a household (excluding any humanitarian monetary assistance) for the last month per HH member in UAH [BASELINE] broken down by households with children under 1 year of age on the admin of overall</t>
  </si>
  <si>
    <t>Total combined income of all members of a household (excluding any humanitarian monetary assistance) for the last month per HH member in UAH [BASELINE] broken down by households with pregnant women on the admin of overall</t>
  </si>
  <si>
    <t>Total combined income of all members of a household (excluding any humanitarian monetary assistance) for the last month per HH member in UAH [BASELINE] broken down by households with people with disabilities of group 1 or 2 on the admin of overall</t>
  </si>
  <si>
    <t>Total combined income of all members of a household (excluding any humanitarian monetary assistance) for the last month per HH member in UAH [BASELINE] broken down by households with people with severe chronic diseases on the admin of overall</t>
  </si>
  <si>
    <t>Total combined income of all members of a household (excluding any humanitarian monetary assistance) for the last month per HH member in UAH [BASELINE] broken down by households where all adult members are 60 y.o.+ on the admin of overall</t>
  </si>
  <si>
    <t>Total combined income of all members of a household (excluding any humanitarian monetary assistance) for the last month per HH member in UAH [BASELINE] broken down by households headed by women on the admin of overall</t>
  </si>
  <si>
    <t>Total combined income of all members of a household (excluding any humanitarian monetary assistance) for the last month per HH member in UAH [BASELINE] broken down by single headed households with child(ren) or older person(s) (60 y.o.+) on the admin of overall</t>
  </si>
  <si>
    <t>Total combined income of all members of a household (excluding any humanitarian monetary assistance) for the last month per HH member in UAH [BASELINE] broken down by households displaced from the territory of active hostilities and not receiving idp payments on the admin of overall</t>
  </si>
  <si>
    <t>Total combined income of all members of a household (excluding any humanitarian monetary assistance) for the last month per HH member in UAH [BASELINE] broken down by households evacuated from the territory of active hostilities within the last 30 days on the admin of overall</t>
  </si>
  <si>
    <t>Total combined income of all members of a household (excluding any humanitarian monetary assistance) for the last month per HH member in UAH [BASELINE] broken down by households partially or fully damaged on the admin of overall</t>
  </si>
  <si>
    <t>Total combined income of all members of a household (excluding any humanitarian monetary assistance) for the last month per HH member in UAH [BASELINE] broken down by households whose members were injured or killed as a result of hostilities on the admin of overall</t>
  </si>
  <si>
    <t>Total combined income of all members of a household (excluding any humanitarian monetary assistance) for the last month per HH member in UAH [BASELINE] broken down by total eligibility quantiled on the admin of overall</t>
  </si>
  <si>
    <t>Total combined income of all members of a household (excluding any humanitarian monetary assistance) for the last month in UAH [ENDLINE] on the admin of overall</t>
  </si>
  <si>
    <t>Total combined income of all members of a household (excluding any humanitarian monetary assistance) for the last month in UAH [ENDLINE] broken down by households with 3 or more children under 18 years of age on the admin of overall</t>
  </si>
  <si>
    <t>Total combined income of all members of a household (excluding any humanitarian monetary assistance) for the last month in UAH [ENDLINE] broken down by households with children under 1 year of age on the admin of overall</t>
  </si>
  <si>
    <t>Total combined income of all members of a household (excluding any humanitarian monetary assistance) for the last month in UAH [ENDLINE] broken down by households with pregnant women on the admin of overall</t>
  </si>
  <si>
    <t>Total combined income of all members of a household (excluding any humanitarian monetary assistance) for the last month in UAH [ENDLINE] broken down by households with people with disabilities of group 1 or 2 on the admin of overall</t>
  </si>
  <si>
    <t>Total combined income of all members of a household (excluding any humanitarian monetary assistance) for the last month in UAH [ENDLINE] broken down by households with people with severe chronic diseases on the admin of overall</t>
  </si>
  <si>
    <t>Total combined income of all members of a household (excluding any humanitarian monetary assistance) for the last month in UAH [ENDLINE] broken down by households where all adult members are 60 y.o.+ on the admin of overall</t>
  </si>
  <si>
    <t>Total combined income of all members of a household (excluding any humanitarian monetary assistance) for the last month in UAH [ENDLINE] broken down by households headed by women on the admin of overall</t>
  </si>
  <si>
    <t>Total combined income of all members of a household (excluding any humanitarian monetary assistance) for the last month in UAH [ENDLINE] broken down by single headed households with child(ren) or older person(s) (60 y.o.+) on the admin of overall</t>
  </si>
  <si>
    <t>Total combined income of all members of a household (excluding any humanitarian monetary assistance) for the last month in UAH [ENDLINE] broken down by households displaced from the territory of active hostilities and not receiving idp payments on the admin of overall</t>
  </si>
  <si>
    <t>Total combined income of all members of a household (excluding any humanitarian monetary assistance) for the last month in UAH [ENDLINE] broken down by households evacuated from the territory of active hostilities within the last 30 days on the admin of overall</t>
  </si>
  <si>
    <t>Total combined income of all members of a household (excluding any humanitarian monetary assistance) for the last month in UAH [ENDLINE] broken down by households partially or fully damaged on the admin of overall</t>
  </si>
  <si>
    <t>Total combined income of all members of a household (excluding any humanitarian monetary assistance) for the last month in UAH [ENDLINE] broken down by households whose members were injured or killed as a result of hostilities on the admin of overall</t>
  </si>
  <si>
    <t>Total combined income of all members of a household (excluding any humanitarian monetary assistance) for the last month in UAH [ENDLINE] broken down by total eligibility quantiled on the admin of overall</t>
  </si>
  <si>
    <t>Total combined income of all members of a household (excluding any humanitarian monetary assistance) for the last month per HH member in UAH [ENDLINE] on the admin of overall</t>
  </si>
  <si>
    <t>Total combined income of all members of a household (excluding any humanitarian monetary assistance) for the last month per HH member in UAH [ENDLINE] broken down by households with 3 or more children under 18 years of age on the admin of overall</t>
  </si>
  <si>
    <t>Total combined income of all members of a household (excluding any humanitarian monetary assistance) for the last month per HH member in UAH [ENDLINE] broken down by households with children under 1 year of age on the admin of overall</t>
  </si>
  <si>
    <t>Total combined income of all members of a household (excluding any humanitarian monetary assistance) for the last month per HH member in UAH [ENDLINE] broken down by households with pregnant women on the admin of overall</t>
  </si>
  <si>
    <t>Total combined income of all members of a household (excluding any humanitarian monetary assistance) for the last month per HH member in UAH [ENDLINE] broken down by households with people with disabilities of group 1 or 2 on the admin of overall</t>
  </si>
  <si>
    <t>Total combined income of all members of a household (excluding any humanitarian monetary assistance) for the last month per HH member in UAH [ENDLINE] broken down by households with people with severe chronic diseases on the admin of overall</t>
  </si>
  <si>
    <t>Total combined income of all members of a household (excluding any humanitarian monetary assistance) for the last month per HH member in UAH [ENDLINE] broken down by households where all adult members are 60 y.o.+ on the admin of overall</t>
  </si>
  <si>
    <t>Total combined income of all members of a household (excluding any humanitarian monetary assistance) for the last month per HH member in UAH [ENDLINE] broken down by households headed by women on the admin of overall</t>
  </si>
  <si>
    <t>Total combined income of all members of a household (excluding any humanitarian monetary assistance) for the last month per HH member in UAH [ENDLINE] broken down by single headed households with child(ren) or older person(s) (60 y.o.+) on the admin of overall</t>
  </si>
  <si>
    <t>Total combined income of all members of a household (excluding any humanitarian monetary assistance) for the last month per HH member in UAH [ENDLINE] broken down by households displaced from the territory of active hostilities and not receiving idp payments on the admin of overall</t>
  </si>
  <si>
    <t>Total combined income of all members of a household (excluding any humanitarian monetary assistance) for the last month per HH member in UAH [ENDLINE] broken down by households evacuated from the territory of active hostilities within the last 30 days on the admin of overall</t>
  </si>
  <si>
    <t>Total combined income of all members of a household (excluding any humanitarian monetary assistance) for the last month per HH member in UAH [ENDLINE] broken down by households partially or fully damaged on the admin of overall</t>
  </si>
  <si>
    <t>Total combined income of all members of a household (excluding any humanitarian monetary assistance) for the last month per HH member in UAH [ENDLINE] broken down by households whose members were injured or killed as a result of hostilities on the admin of overall</t>
  </si>
  <si>
    <t>Total combined income of all members of a household (excluding any humanitarian monetary assistance) for the last month per HH member in UAH [ENDLINE] broken down by total eligibility quantiled on the admin of overall</t>
  </si>
  <si>
    <t>Sources of income or financial support  household received in the last month [BASELINE] on the admin of overall</t>
  </si>
  <si>
    <t>Casual or daily labour income</t>
  </si>
  <si>
    <t xml:space="preserve">Humanitarian in-kind aid </t>
  </si>
  <si>
    <t>IDP benefits from government</t>
  </si>
  <si>
    <t>Income from own business or regular trade</t>
  </si>
  <si>
    <t xml:space="preserve">Income from own production (e.g. agriculture, livestock, fishing, food processing, home manufacture, etc.) </t>
  </si>
  <si>
    <t xml:space="preserve">Income from rent </t>
  </si>
  <si>
    <t>Loans or support from family and friends within Ukraine</t>
  </si>
  <si>
    <t>My household did not receive any monetary income over the last 30 days</t>
  </si>
  <si>
    <t>Other (specify)</t>
  </si>
  <si>
    <t>Other government social benefits or assistance (e.g. disability pension, maternity benefits)</t>
  </si>
  <si>
    <t xml:space="preserve">Pension (age and prior military service) </t>
  </si>
  <si>
    <t xml:space="preserve">Salaried work, including from household members serving away from the home in the military </t>
  </si>
  <si>
    <t>Sources of income or financial support  household received in the last month [BASELINE] broken down by households with 3 or more children under 18 years of age on the admin of overall</t>
  </si>
  <si>
    <t>Sources of income or financial support  household received in the last month [BASELINE] broken down by households with children under 1 year of age on the admin of overall</t>
  </si>
  <si>
    <t>Sources of income or financial support  household received in the last month [BASELINE] broken down by households with pregnant women on the admin of overall</t>
  </si>
  <si>
    <t>Sources of income or financial support  household received in the last month [BASELINE] broken down by households with people with disabilities of group 1 or 2 on the admin of overall</t>
  </si>
  <si>
    <t>Sources of income or financial support  household received in the last month [BASELINE] broken down by households with people with severe chronic diseases on the admin of overall</t>
  </si>
  <si>
    <t>Sources of income or financial support  household received in the last month [BASELINE] broken down by households where all adult members are 60 y.o.+ on the admin of overall</t>
  </si>
  <si>
    <t>Sources of income or financial support  household received in the last month [BASELINE] broken down by households headed by women on the admin of overall</t>
  </si>
  <si>
    <t>Sources of income or financial support  household received in the last month [BASELINE] broken down by single headed households with child(ren) or older person(s) (60 y.o.+) on the admin of overall</t>
  </si>
  <si>
    <t>Sources of income or financial support  household received in the last month [BASELINE] broken down by households displaced from the territory of active hostilities and not receiving idp payments on the admin of overall</t>
  </si>
  <si>
    <t>Sources of income or financial support  household received in the last month [BASELINE] broken down by households evacuated from the territory of active hostilities within the last 30 days on the admin of overall</t>
  </si>
  <si>
    <t>Sources of income or financial support  household received in the last month [BASELINE] broken down by households partially or fully damaged on the admin of overall</t>
  </si>
  <si>
    <t>Sources of income or financial support  household received in the last month [BASELINE] broken down by households whose members were injured or killed as a result of hostilities on the admin of overall</t>
  </si>
  <si>
    <t>Sources of income or financial support  household received in the last month [BASELINE] broken down by total eligibility quantiled on the admin of overall</t>
  </si>
  <si>
    <t>Sources of income or financial support  household received in the last month other than multi-purpose cash assistance [ENDLINE] on the admin of overall</t>
  </si>
  <si>
    <t>Do not know</t>
  </si>
  <si>
    <t>Special-purpose cash from humanitarian organizations</t>
  </si>
  <si>
    <t>Sources of income or financial support  household received in the last month other than multi-purpose cash assistance [ENDLINE] broken down by households with 3 or more children under 18 years of age on the admin of overall</t>
  </si>
  <si>
    <t>Sources of income or financial support  household received in the last month other than multi-purpose cash assistance [ENDLINE] broken down by households with children under 1 year of age on the admin of overall</t>
  </si>
  <si>
    <t>Sources of income or financial support  household received in the last month other than multi-purpose cash assistance [ENDLINE] broken down by households with pregnant women on the admin of overall</t>
  </si>
  <si>
    <t>Sources of income or financial support  household received in the last month other than multi-purpose cash assistance [ENDLINE] broken down by households with people with disabilities of group 1 or 2 on the admin of overall</t>
  </si>
  <si>
    <t>Sources of income or financial support  household received in the last month other than multi-purpose cash assistance [ENDLINE] broken down by households with people with severe chronic diseases on the admin of overall</t>
  </si>
  <si>
    <t>Sources of income or financial support  household received in the last month other than multi-purpose cash assistance [ENDLINE] broken down by households where all adult members are 60 y.o.+ on the admin of overall</t>
  </si>
  <si>
    <t>Sources of income or financial support  household received in the last month other than multi-purpose cash assistance [ENDLINE] broken down by households headed by women on the admin of overall</t>
  </si>
  <si>
    <t>Sources of income or financial support  household received in the last month other than multi-purpose cash assistance [ENDLINE] broken down by single headed households with child(ren) or older person(s) (60 y.o.+) on the admin of overall</t>
  </si>
  <si>
    <t>Sources of income or financial support  household received in the last month other than multi-purpose cash assistance [ENDLINE] broken down by households displaced from the territory of active hostilities and not receiving idp payments on the admin of overall</t>
  </si>
  <si>
    <t>Sources of income or financial support  household received in the last month other than multi-purpose cash assistance [ENDLINE] broken down by households evacuated from the territory of active hostilities within the last 30 days on the admin of overall</t>
  </si>
  <si>
    <t>Sources of income or financial support  household received in the last month other than multi-purpose cash assistance [ENDLINE] broken down by households partially or fully damaged on the admin of overall</t>
  </si>
  <si>
    <t>Sources of income or financial support  household received in the last month other than multi-purpose cash assistance [ENDLINE] broken down by households whose members were injured or killed as a result of hostilities on the admin of overall</t>
  </si>
  <si>
    <t>Sources of income or financial support  household received in the last month other than multi-purpose cash assistance [ENDLINE] broken down by total eligibility quantiled on the admin of overall</t>
  </si>
  <si>
    <t>Total combined expenditures of all members of a household (excluding any humanitarian monetary assistance) for the last month in UAH [BASELINE] on the admin of overall</t>
  </si>
  <si>
    <t>Total combined expenditures of all members of a household (excluding any humanitarian monetary assistance) for the last month in UAH [BASELINE] broken down by households with 3 or more children under 18 years of age on the admin of overall</t>
  </si>
  <si>
    <t>Total combined expenditures of all members of a household (excluding any humanitarian monetary assistance) for the last month in UAH [BASELINE] broken down by households with children under 1 year of age on the admin of overall</t>
  </si>
  <si>
    <t>Total combined expenditures of all members of a household (excluding any humanitarian monetary assistance) for the last month in UAH [BASELINE] broken down by households with pregnant women on the admin of overall</t>
  </si>
  <si>
    <t>Total combined expenditures of all members of a household (excluding any humanitarian monetary assistance) for the last month in UAH [BASELINE] broken down by households with people with disabilities of group 1 or 2 on the admin of overall</t>
  </si>
  <si>
    <t>Total combined expenditures of all members of a household (excluding any humanitarian monetary assistance) for the last month in UAH [BASELINE] broken down by households with people with severe chronic diseases on the admin of overall</t>
  </si>
  <si>
    <t>Total combined expenditures of all members of a household (excluding any humanitarian monetary assistance) for the last month in UAH [BASELINE] broken down by households where all adult members are 60 y.o.+ on the admin of overall</t>
  </si>
  <si>
    <t>Total combined expenditures of all members of a household (excluding any humanitarian monetary assistance) for the last month in UAH [BASELINE] broken down by households headed by women on the admin of overall</t>
  </si>
  <si>
    <t>Total combined expenditures of all members of a household (excluding any humanitarian monetary assistance) for the last month in UAH [BASELINE] broken down by single headed households with child(ren) or older person(s) (60 y.o.+) on the admin of overall</t>
  </si>
  <si>
    <t>Total combined expenditures of all members of a household (excluding any humanitarian monetary assistance) for the last month in UAH [BASELINE] broken down by households displaced from the territory of active hostilities and not receiving idp payments on the admin of overall</t>
  </si>
  <si>
    <t>Total combined expenditures of all members of a household (excluding any humanitarian monetary assistance) for the last month in UAH [BASELINE] broken down by households evacuated from the territory of active hostilities within the last 30 days on the admin of overall</t>
  </si>
  <si>
    <t>Total combined expenditures of all members of a household (excluding any humanitarian monetary assistance) for the last month in UAH [BASELINE] broken down by households partially or fully damaged on the admin of overall</t>
  </si>
  <si>
    <t>Total combined expenditures of all members of a household (excluding any humanitarian monetary assistance) for the last month in UAH [BASELINE] broken down by households whose members were injured or killed as a result of hostilities on the admin of overall</t>
  </si>
  <si>
    <t>Total combined expenditures of all members of a household (excluding any humanitarian monetary assistance) for the last month in UAH [BASELINE] broken down by total eligibility quantiled on the admin of overall</t>
  </si>
  <si>
    <t>Total combined expenditures of all members of a household (excluding any humanitarian monetary assistance) for the last month per HH member in UAH [BASELINE] on the admin of overall</t>
  </si>
  <si>
    <t>Total combined expenditures of all members of a household (excluding any humanitarian monetary assistance) for the last month per HH member in UAH [BASELINE] broken down by households with 3 or more children under 18 years of age on the admin of overall</t>
  </si>
  <si>
    <t>Total combined expenditures of all members of a household (excluding any humanitarian monetary assistance) for the last month per HH member in UAH [BASELINE] broken down by households with children under 1 year of age on the admin of overall</t>
  </si>
  <si>
    <t>Total combined expenditures of all members of a household (excluding any humanitarian monetary assistance) for the last month per HH member in UAH [BASELINE] broken down by households with pregnant women on the admin of overall</t>
  </si>
  <si>
    <t>Total combined expenditures of all members of a household (excluding any humanitarian monetary assistance) for the last month per HH member in UAH [BASELINE] broken down by households with people with disabilities of group 1 or 2 on the admin of overall</t>
  </si>
  <si>
    <t>Total combined expenditures of all members of a household (excluding any humanitarian monetary assistance) for the last month per HH member in UAH [BASELINE] broken down by households with people with severe chronic diseases on the admin of overall</t>
  </si>
  <si>
    <t>Total combined expenditures of all members of a household (excluding any humanitarian monetary assistance) for the last month per HH member in UAH [BASELINE] broken down by households where all adult members are 60 y.o.+ on the admin of overall</t>
  </si>
  <si>
    <t>Total combined expenditures of all members of a household (excluding any humanitarian monetary assistance) for the last month per HH member in UAH [BASELINE] broken down by households headed by women on the admin of overall</t>
  </si>
  <si>
    <t>Total combined expenditures of all members of a household (excluding any humanitarian monetary assistance) for the last month per HH member in UAH [BASELINE] broken down by single headed households with child(ren) or older person(s) (60 y.o.+) on the admin of overall</t>
  </si>
  <si>
    <t>Total combined expenditures of all members of a household (excluding any humanitarian monetary assistance) for the last month per HH member in UAH [BASELINE] broken down by households displaced from the territory of active hostilities and not receiving idp payments on the admin of overall</t>
  </si>
  <si>
    <t>Total combined expenditures of all members of a household (excluding any humanitarian monetary assistance) for the last month per HH member in UAH [BASELINE] broken down by households evacuated from the territory of active hostilities within the last 30 days on the admin of overall</t>
  </si>
  <si>
    <t>Total combined expenditures of all members of a household (excluding any humanitarian monetary assistance) for the last month per HH member in UAH [BASELINE] broken down by households partially or fully damaged on the admin of overall</t>
  </si>
  <si>
    <t>Total combined expenditures of all members of a household (excluding any humanitarian monetary assistance) for the last month per HH member in UAH [BASELINE] broken down by households whose members were injured or killed as a result of hostilities on the admin of overall</t>
  </si>
  <si>
    <t>Total combined expenditures of all members of a household (excluding any humanitarian monetary assistance) for the last month per HH member in UAH [BASELINE] broken down by total eligibility quantiled on the admin of overall</t>
  </si>
  <si>
    <t>Total combined expenditures of all members of a household (excluding any humanitarian monetary assistance) for the last month in UAH [ENDLINE] on the admin of overall</t>
  </si>
  <si>
    <t>Total combined expenditures of all members of a household (excluding any humanitarian monetary assistance) for the last month in UAH [ENDLINE] broken down by households with 3 or more children under 18 years of age on the admin of overall</t>
  </si>
  <si>
    <t>Total combined expenditures of all members of a household (excluding any humanitarian monetary assistance) for the last month in UAH [ENDLINE] broken down by households with children under 1 year of age on the admin of overall</t>
  </si>
  <si>
    <t>Total combined expenditures of all members of a household (excluding any humanitarian monetary assistance) for the last month in UAH [ENDLINE] broken down by households with pregnant women on the admin of overall</t>
  </si>
  <si>
    <t>Total combined expenditures of all members of a household (excluding any humanitarian monetary assistance) for the last month in UAH [ENDLINE] broken down by households with people with disabilities of group 1 or 2 on the admin of overall</t>
  </si>
  <si>
    <t>Total combined expenditures of all members of a household (excluding any humanitarian monetary assistance) for the last month in UAH [ENDLINE] broken down by households with people with severe chronic diseases on the admin of overall</t>
  </si>
  <si>
    <t>Total combined expenditures of all members of a household (excluding any humanitarian monetary assistance) for the last month in UAH [ENDLINE] broken down by households where all adult members are 60 y.o.+ on the admin of overall</t>
  </si>
  <si>
    <t>Total combined expenditures of all members of a household (excluding any humanitarian monetary assistance) for the last month in UAH [ENDLINE] broken down by households headed by women on the admin of overall</t>
  </si>
  <si>
    <t>Total combined expenditures of all members of a household (excluding any humanitarian monetary assistance) for the last month in UAH [ENDLINE] broken down by single headed households with child(ren) or older person(s) (60 y.o.+) on the admin of overall</t>
  </si>
  <si>
    <t>Total combined expenditures of all members of a household (excluding any humanitarian monetary assistance) for the last month in UAH [ENDLINE] broken down by households displaced from the territory of active hostilities and not receiving idp payments on the admin of overall</t>
  </si>
  <si>
    <t>Total combined expenditures of all members of a household (excluding any humanitarian monetary assistance) for the last month in UAH [ENDLINE] broken down by households evacuated from the territory of active hostilities within the last 30 days on the admin of overall</t>
  </si>
  <si>
    <t>Total combined expenditures of all members of a household (excluding any humanitarian monetary assistance) for the last month in UAH [ENDLINE] broken down by households partially or fully damaged on the admin of overall</t>
  </si>
  <si>
    <t>Total combined expenditures of all members of a household (excluding any humanitarian monetary assistance) for the last month in UAH [ENDLINE] broken down by households whose members were injured or killed as a result of hostilities on the admin of overall</t>
  </si>
  <si>
    <t>Total combined expenditures of all members of a household (excluding any humanitarian monetary assistance) for the last month in UAH [ENDLINE] broken down by total eligibility quantiled on the admin of overall</t>
  </si>
  <si>
    <t>Total combined expenditures of all members of a household (excluding any humanitarian monetary assistance) for the last month per HH member in UAH [ENDLINE] on the admin of overall</t>
  </si>
  <si>
    <t>Total combined expenditures of all members of a household (excluding any humanitarian monetary assistance) for the last month per HH member in UAH [ENDLINE] broken down by households with 3 or more children under 18 years of age on the admin of overall</t>
  </si>
  <si>
    <t>Total combined expenditures of all members of a household (excluding any humanitarian monetary assistance) for the last month per HH member in UAH [ENDLINE] broken down by households with children under 1 year of age on the admin of overall</t>
  </si>
  <si>
    <t>Total combined expenditures of all members of a household (excluding any humanitarian monetary assistance) for the last month per HH member in UAH [ENDLINE] broken down by households with pregnant women on the admin of overall</t>
  </si>
  <si>
    <t>Total combined expenditures of all members of a household (excluding any humanitarian monetary assistance) for the last month per HH member in UAH [ENDLINE] broken down by households with people with disabilities of group 1 or 2 on the admin of overall</t>
  </si>
  <si>
    <t>Total combined expenditures of all members of a household (excluding any humanitarian monetary assistance) for the last month per HH member in UAH [ENDLINE] broken down by households with people with severe chronic diseases on the admin of overall</t>
  </si>
  <si>
    <t>Total combined expenditures of all members of a household (excluding any humanitarian monetary assistance) for the last month per HH member in UAH [ENDLINE] broken down by households where all adult members are 60 y.o.+ on the admin of overall</t>
  </si>
  <si>
    <t>Total combined expenditures of all members of a household (excluding any humanitarian monetary assistance) for the last month per HH member in UAH [ENDLINE] broken down by households headed by women on the admin of overall</t>
  </si>
  <si>
    <t>Total combined expenditures of all members of a household (excluding any humanitarian monetary assistance) for the last month per HH member in UAH [ENDLINE] broken down by single headed households with child(ren) or older person(s) (60 y.o.+) on the admin of overall</t>
  </si>
  <si>
    <t>Total combined expenditures of all members of a household (excluding any humanitarian monetary assistance) for the last month per HH member in UAH [ENDLINE] broken down by households displaced from the territory of active hostilities and not receiving idp payments on the admin of overall</t>
  </si>
  <si>
    <t>Total combined expenditures of all members of a household (excluding any humanitarian monetary assistance) for the last month per HH member in UAH [ENDLINE] broken down by households evacuated from the territory of active hostilities within the last 30 days on the admin of overall</t>
  </si>
  <si>
    <t>Total combined expenditures of all members of a household (excluding any humanitarian monetary assistance) for the last month per HH member in UAH [ENDLINE] broken down by households partially or fully damaged on the admin of overall</t>
  </si>
  <si>
    <t>Total combined expenditures of all members of a household (excluding any humanitarian monetary assistance) for the last month per HH member in UAH [ENDLINE] broken down by households whose members were injured or killed as a result of hostilities on the admin of overall</t>
  </si>
  <si>
    <t>Total combined expenditures of all members of a household (excluding any humanitarian monetary assistance) for the last month per HH member in UAH [ENDLINE] broken down by total eligibility quantiled on the admin of overall</t>
  </si>
  <si>
    <t>Household expenditures by category over the past 30 days [or month] in UAH [BASELINE] on the admin of overall</t>
  </si>
  <si>
    <t>Agricultural inputs (seeds, soil, etc)</t>
  </si>
  <si>
    <t>Assistive products (hearing aid, chairs, etc)</t>
  </si>
  <si>
    <t>Basic Shelter Maintenance (plumbing, electrical work, general upkeep)</t>
  </si>
  <si>
    <t>Clothing and shoes</t>
  </si>
  <si>
    <t>Domestic Cleaning items (sponges, dishwashing soap, etc)</t>
  </si>
  <si>
    <t>Drinking safe water</t>
  </si>
  <si>
    <t>Education materials (e.g. books)</t>
  </si>
  <si>
    <t>Food</t>
  </si>
  <si>
    <t>Heating (fuel)</t>
  </si>
  <si>
    <t>Household non-food items (Towel sets, blankets, kitchen set, jerrycan, bucket, bed linen sets, and reinforced/re-usable bags)</t>
  </si>
  <si>
    <t>Medication</t>
  </si>
  <si>
    <t>Mobile communication \ Internet communication</t>
  </si>
  <si>
    <t>Personal Hygiene items (toothpaste, soap, shampoo, toilet paper, menstrual pads, baby diapers)</t>
  </si>
  <si>
    <t>Prefer not to answer</t>
  </si>
  <si>
    <t>Rent</t>
  </si>
  <si>
    <t>Savings for future</t>
  </si>
  <si>
    <t>Shared with other people in need</t>
  </si>
  <si>
    <t>Transportation</t>
  </si>
  <si>
    <t>Utilities (electricity, gas, fuel for cooking)</t>
  </si>
  <si>
    <t>Water Supply (water used for purposes other than drinking)</t>
  </si>
  <si>
    <t>Household expenditures by category over the past 30 days [or month] in UAH [BASELINE] broken down by households with 3 or more children under 18 years of age on the admin of overall</t>
  </si>
  <si>
    <t>Household expenditures by category over the past 30 days [or month] in UAH [BASELINE] broken down by households with children under 1 year of age on the admin of overall</t>
  </si>
  <si>
    <t>Household expenditures by category over the past 30 days [or month] in UAH [BASELINE] broken down by households with pregnant women on the admin of overall</t>
  </si>
  <si>
    <t>Household expenditures by category over the past 30 days [or month] in UAH [BASELINE] broken down by households with people with disabilities of group 1 or 2 on the admin of overall</t>
  </si>
  <si>
    <t>Household expenditures by category over the past 30 days [or month] in UAH [BASELINE] broken down by households with people with severe chronic diseases on the admin of overall</t>
  </si>
  <si>
    <t>Household expenditures by category over the past 30 days [or month] in UAH [BASELINE] broken down by households where all adult members are 60 y.o.+ on the admin of overall</t>
  </si>
  <si>
    <t>Household expenditures by category over the past 30 days [or month] in UAH [BASELINE] broken down by households headed by women on the admin of overall</t>
  </si>
  <si>
    <t>Household expenditures by category over the past 30 days [or month] in UAH [BASELINE] broken down by single headed households with child(ren) or older person(s) (60 y.o.+) on the admin of overall</t>
  </si>
  <si>
    <t>Household expenditures by category over the past 30 days [or month] in UAH [BASELINE] broken down by households displaced from the territory of active hostilities and not receiving idp payments on the admin of overall</t>
  </si>
  <si>
    <t>Household expenditures by category over the past 30 days [or month] in UAH [BASELINE] broken down by households evacuated from the territory of active hostilities within the last 30 days on the admin of overall</t>
  </si>
  <si>
    <t>Household expenditures by category over the past 30 days [or month] in UAH [BASELINE] broken down by households partially or fully damaged on the admin of overall</t>
  </si>
  <si>
    <t>Household expenditures by category over the past 30 days [or month] in UAH [BASELINE] broken down by households whose members were injured or killed as a result of hostilities on the admin of overall</t>
  </si>
  <si>
    <t>Household expenditures by category over the past 30 days [or month] in UAH [BASELINE] broken down by total eligibility quantiled on the admin of overall</t>
  </si>
  <si>
    <t>Household expenditures by category over the past 30 days [or month] in UAH [ENDLINE] on the admin of overall</t>
  </si>
  <si>
    <t>Household expenditures by category over the past 30 days [or month] in UAH [ENDLINE] broken down by households with 3 or more children under 18 years of age on the admin of overall</t>
  </si>
  <si>
    <t>Household expenditures by category over the past 30 days [or month] in UAH [ENDLINE] broken down by households with children under 1 year of age on the admin of overall</t>
  </si>
  <si>
    <t>Household expenditures by category over the past 30 days [or month] in UAH [ENDLINE] broken down by households with pregnant women on the admin of overall</t>
  </si>
  <si>
    <t>Household expenditures by category over the past 30 days [or month] in UAH [ENDLINE] broken down by households with people with disabilities of group 1 or 2 on the admin of overall</t>
  </si>
  <si>
    <t>Household expenditures by category over the past 30 days [or month] in UAH [ENDLINE] broken down by households with people with severe chronic diseases on the admin of overall</t>
  </si>
  <si>
    <t>Household expenditures by category over the past 30 days [or month] in UAH [ENDLINE] broken down by households where all adult members are 60 y.o.+ on the admin of overall</t>
  </si>
  <si>
    <t>Household expenditures by category over the past 30 days [or month] in UAH [ENDLINE] broken down by households headed by women on the admin of overall</t>
  </si>
  <si>
    <t>Household expenditures by category over the past 30 days [or month] in UAH [ENDLINE] broken down by single headed households with child(ren) or older person(s) (60 y.o.+) on the admin of overall</t>
  </si>
  <si>
    <t>Household expenditures by category over the past 30 days [or month] in UAH [ENDLINE] broken down by households displaced from the territory of active hostilities and not receiving idp payments on the admin of overall</t>
  </si>
  <si>
    <t>Household expenditures by category over the past 30 days [or month] in UAH [ENDLINE] broken down by households evacuated from the territory of active hostilities within the last 30 days on the admin of overall</t>
  </si>
  <si>
    <t>Household expenditures by category over the past 30 days [or month] in UAH [ENDLINE] broken down by households partially or fully damaged on the admin of overall</t>
  </si>
  <si>
    <t>Household expenditures by category over the past 30 days [or month] in UAH [ENDLINE] broken down by households whose members were injured or killed as a result of hostilities on the admin of overall</t>
  </si>
  <si>
    <t>Household expenditures by category over the past 30 days [or month] in UAH [ENDLINE] broken down by total eligibility quantiled on the admin of overall</t>
  </si>
  <si>
    <t>Household's ability to meet basic needs (self-defined and prioritized) [BASELINE] on the admin of overall</t>
  </si>
  <si>
    <t xml:space="preserve">Almost none of the needs are covered (less 10%) </t>
  </si>
  <si>
    <t>Don't know / no answer</t>
  </si>
  <si>
    <t>Yes, all (100%)</t>
  </si>
  <si>
    <t>Yes, almost all (over 90%)</t>
  </si>
  <si>
    <t>Yes, half of the needs are covered (50%)</t>
  </si>
  <si>
    <t>Yes, most of the needs are covered (75%)</t>
  </si>
  <si>
    <t>Yes, some of the needs are covered (25%)</t>
  </si>
  <si>
    <t>Household's ability to meet basic needs (self-defined and prioritized) [BASELINE] broken down by households with 3 or more children under 18 years of age on the admin of overall</t>
  </si>
  <si>
    <t>Household's ability to meet basic needs (self-defined and prioritized) [BASELINE] broken down by households with children under 1 year of age on the admin of overall</t>
  </si>
  <si>
    <t>Household's ability to meet basic needs (self-defined and prioritized) [BASELINE] broken down by households with pregnant women on the admin of overall</t>
  </si>
  <si>
    <t>Household's ability to meet basic needs (self-defined and prioritized) [BASELINE] broken down by households with people with disabilities of group 1 or 2 on the admin of overall</t>
  </si>
  <si>
    <t>Household's ability to meet basic needs (self-defined and prioritized) [BASELINE] broken down by households with people with severe chronic diseases on the admin of overall</t>
  </si>
  <si>
    <t>Household's ability to meet basic needs (self-defined and prioritized) [BASELINE] broken down by households where all adult members are 60 y.o.+ on the admin of overall</t>
  </si>
  <si>
    <t>Household's ability to meet basic needs (self-defined and prioritized) [BASELINE] broken down by households headed by women on the admin of overall</t>
  </si>
  <si>
    <t>Household's ability to meet basic needs (self-defined and prioritized) [BASELINE] broken down by single headed households with child(ren) or older person(s) (60 y.o.+) on the admin of overall</t>
  </si>
  <si>
    <t>Household's ability to meet basic needs (self-defined and prioritized) [BASELINE] broken down by households displaced from the territory of active hostilities and not receiving idp payments on the admin of overall</t>
  </si>
  <si>
    <t>Household's ability to meet basic needs (self-defined and prioritized) [BASELINE] broken down by households evacuated from the territory of active hostilities within the last 30 days on the admin of overall</t>
  </si>
  <si>
    <t>Household's ability to meet basic needs (self-defined and prioritized) [BASELINE] broken down by households partially or fully damaged on the admin of overall</t>
  </si>
  <si>
    <t>Household's ability to meet basic needs (self-defined and prioritized) [BASELINE] broken down by households whose members were injured or killed as a result of hostilities on the admin of overall</t>
  </si>
  <si>
    <t>Household's ability to meet basic needs (self-defined and prioritized) [BASELINE] broken down by total eligibility quantiled on the admin of overall</t>
  </si>
  <si>
    <t>Household's ability to meet basic needs (self-defined and prioritized) [ENDLINE] on the admin of overall</t>
  </si>
  <si>
    <t>All</t>
  </si>
  <si>
    <t>almost_all</t>
  </si>
  <si>
    <t>Almost none</t>
  </si>
  <si>
    <t>half needs</t>
  </si>
  <si>
    <t>most_needs</t>
  </si>
  <si>
    <t>Some needs</t>
  </si>
  <si>
    <t>Household's ability to meet basic needs (self-defined and prioritized) [ENDLINE] broken down by households with 3 or more children under 18 years of age on the admin of overall</t>
  </si>
  <si>
    <t>Almost all</t>
  </si>
  <si>
    <t>Half needs</t>
  </si>
  <si>
    <t>Household's ability to meet basic needs (self-defined and prioritized) [ENDLINE] broken down by households with children under 1 year of age on the admin of overall</t>
  </si>
  <si>
    <t>Household's ability to meet basic needs (self-defined and prioritized) [ENDLINE] broken down by households with pregnant women on the admin of overall</t>
  </si>
  <si>
    <t>Household's ability to meet basic needs (self-defined and prioritized) [ENDLINE] broken down by households with people with disabilities of group 1 or 2 on the admin of overall</t>
  </si>
  <si>
    <t>Household's ability to meet basic needs (self-defined and prioritized) [ENDLINE] broken down by households with people with severe chronic diseases on the admin of overall</t>
  </si>
  <si>
    <t>Household's ability to meet basic needs (self-defined and prioritized) [ENDLINE] broken down by households where all adult members are 60 y.o.+ on the admin of overall</t>
  </si>
  <si>
    <t>Household's ability to meet basic needs (self-defined and prioritized) [ENDLINE] broken down by households headed by women on the admin of overall</t>
  </si>
  <si>
    <t>Household's ability to meet basic needs (self-defined and prioritized) [ENDLINE] broken down by single headed households with child(ren) or older person(s) (60 y.o.+) on the admin of overall</t>
  </si>
  <si>
    <t>Household's ability to meet basic needs (self-defined and prioritized) [ENDLINE] broken down by households displaced from the territory of active hostilities and not receiving idp payments on the admin of overall</t>
  </si>
  <si>
    <t>Household's ability to meet basic needs (self-defined and prioritized) [ENDLINE] broken down by households evacuated from the territory of active hostilities within the last 30 days on the admin of overall</t>
  </si>
  <si>
    <t>Household's ability to meet basic needs (self-defined and prioritized) [ENDLINE] broken down by households partially or fully damaged on the admin of overall</t>
  </si>
  <si>
    <t>Household's ability to meet basic needs (self-defined and prioritized) [ENDLINE] broken down by households whose members were injured or killed as a result of hostilities on the admin of overall</t>
  </si>
  <si>
    <t>Household's ability to meet basic needs (self-defined and prioritized) [ENDLINE] broken down by total eligibility quantiled on the admin of overall</t>
  </si>
  <si>
    <t>Basic needs the household is currently unable to fulfill (if not all are met) [BASELINE] on the admin of overall</t>
  </si>
  <si>
    <t>Basic needs the household is currently unable to fulfill (if not all are met) [BASELINE] broken down by households with 3 or more children under 18 years of age on the admin of overall</t>
  </si>
  <si>
    <t>Basic needs the household is currently unable to fulfill (if not all are met) [BASELINE] broken down by households with children under 1 year of age on the admin of overall</t>
  </si>
  <si>
    <t>Basic needs the household is currently unable to fulfill (if not all are met) [BASELINE] broken down by households with pregnant women on the admin of overall</t>
  </si>
  <si>
    <t>Basic needs the household is currently unable to fulfill (if not all are met) [BASELINE] broken down by households with people with disabilities of group 1 or 2 on the admin of overall</t>
  </si>
  <si>
    <t>Basic needs the household is currently unable to fulfill (if not all are met) [BASELINE] broken down by households with people with severe chronic diseases on the admin of overall</t>
  </si>
  <si>
    <t>Basic needs the household is currently unable to fulfill (if not all are met) [BASELINE] broken down by households where all adult members are 60 y.o.+ on the admin of overall</t>
  </si>
  <si>
    <t>Basic needs the household is currently unable to fulfill (if not all are met) [BASELINE] broken down by households headed by women on the admin of overall</t>
  </si>
  <si>
    <t>Basic needs the household is currently unable to fulfill (if not all are met) [BASELINE] broken down by single headed households with child(ren) or older person(s) (60 y.o.+) on the admin of overall</t>
  </si>
  <si>
    <t>Basic needs the household is currently unable to fulfill (if not all are met) [BASELINE] broken down by households displaced from the territory of active hostilities and not receiving idp payments on the admin of overall</t>
  </si>
  <si>
    <t>Basic needs the household is currently unable to fulfill (if not all are met) [BASELINE] broken down by households evacuated from the territory of active hostilities within the last 30 days on the admin of overall</t>
  </si>
  <si>
    <t>Basic needs the household is currently unable to fulfill (if not all are met) [BASELINE] broken down by households partially or fully damaged on the admin of overall</t>
  </si>
  <si>
    <t>Basic needs the household is currently unable to fulfill (if not all are met) [BASELINE] broken down by households whose members were injured or killed as a result of hostilities on the admin of overall</t>
  </si>
  <si>
    <t>Basic needs the household is currently unable to fulfill (if not all are met) [BASELINE] broken down by total eligibility quantiled on the admin of overall</t>
  </si>
  <si>
    <t>Basic needs the household is currently unable to fulfill (if not all are met) [ENDLINE] on the admin of overall</t>
  </si>
  <si>
    <t>Basic needs the household is currently unable to fulfill (if not all are met) [ENDLINE] broken down by households with 3 or more children under 18 years of age on the admin of overall</t>
  </si>
  <si>
    <t>Basic needs the household is currently unable to fulfill (if not all are met) [ENDLINE] broken down by households with children under 1 year of age on the admin of overall</t>
  </si>
  <si>
    <t>Basic needs the household is currently unable to fulfill (if not all are met) [ENDLINE] broken down by households with pregnant women on the admin of overall</t>
  </si>
  <si>
    <t>Basic needs the household is currently unable to fulfill (if not all are met) [ENDLINE] broken down by households with people with disabilities of group 1 or 2 on the admin of overall</t>
  </si>
  <si>
    <t>Basic needs the household is currently unable to fulfill (if not all are met) [ENDLINE] broken down by households with people with severe chronic diseases on the admin of overall</t>
  </si>
  <si>
    <t>Basic needs the household is currently unable to fulfill (if not all are met) [ENDLINE] broken down by households where all adult members are 60 y.o.+ on the admin of overall</t>
  </si>
  <si>
    <t>Basic needs the household is currently unable to fulfill (if not all are met) [ENDLINE] broken down by households headed by women on the admin of overall</t>
  </si>
  <si>
    <t>Basic needs the household is currently unable to fulfill (if not all are met) [ENDLINE] broken down by single headed households with child(ren) or older person(s) (60 y.o.+) on the admin of overall</t>
  </si>
  <si>
    <t>Basic needs the household is currently unable to fulfill (if not all are met) [ENDLINE] broken down by households displaced from the territory of active hostilities and not receiving idp payments on the admin of overall</t>
  </si>
  <si>
    <t>Basic needs the household is currently unable to fulfill (if not all are met) [ENDLINE] broken down by households evacuated from the territory of active hostilities within the last 30 days on the admin of overall</t>
  </si>
  <si>
    <t>Basic needs the household is currently unable to fulfill (if not all are met) [ENDLINE] broken down by households partially or fully damaged on the admin of overall</t>
  </si>
  <si>
    <t>Basic needs the household is currently unable to fulfill (if not all are met) [ENDLINE] broken down by households whose members were injured or killed as a result of hostilities on the admin of overall</t>
  </si>
  <si>
    <t>Basic needs the household is currently unable to fulfill (if not all are met) [ENDLINE] broken down by total eligibility quantiled on the admin of overall</t>
  </si>
  <si>
    <t>Coping strategies used in the last 30 days due to insufficient resources to meet basic needs [BASELINE] on the admin of overall</t>
  </si>
  <si>
    <t>Get an additional job</t>
  </si>
  <si>
    <t>Have to ask strangers for money</t>
  </si>
  <si>
    <t>No, had no need to use any coping strategy</t>
  </si>
  <si>
    <t>Purchase food on credit or borrowed food</t>
  </si>
  <si>
    <t>Reduce essential education expenditures</t>
  </si>
  <si>
    <t>Reduce essential health expenditures (including drugs, etc.)</t>
  </si>
  <si>
    <t>Sell household assets/goods (furniture/household appliances (e.g. TV, radio, washing machine, etc.) smart phone/jewellery,...)</t>
  </si>
  <si>
    <t>Sell productive assets or means of transport (e.g. sewing machine, bicycle, car, etc.)</t>
  </si>
  <si>
    <t>Spend savings or consumed stocks for a rainy day</t>
  </si>
  <si>
    <t>Use degrading sources of income, illegal work, or high risk jobs</t>
  </si>
  <si>
    <t>Coping strategies used in the last 30 days due to insufficient resources to meet basic needs [BASELINE] broken down by households with 3 or more children under 18 years of age on the admin of overall</t>
  </si>
  <si>
    <t>Coping strategies used in the last 30 days due to insufficient resources to meet basic needs [BASELINE] broken down by households with children under 1 year of age on the admin of overall</t>
  </si>
  <si>
    <t>Coping strategies used in the last 30 days due to insufficient resources to meet basic needs [BASELINE] broken down by households with pregnant women on the admin of overall</t>
  </si>
  <si>
    <t>Coping strategies used in the last 30 days due to insufficient resources to meet basic needs [BASELINE] broken down by households with people with disabilities of group 1 or 2 on the admin of overall</t>
  </si>
  <si>
    <t>Coping strategies used in the last 30 days due to insufficient resources to meet basic needs [BASELINE] broken down by households with people with severe chronic diseases on the admin of overall</t>
  </si>
  <si>
    <t>Coping strategies used in the last 30 days due to insufficient resources to meet basic needs [BASELINE] broken down by households where all adult members are 60 y.o.+ on the admin of overall</t>
  </si>
  <si>
    <t>Coping strategies used in the last 30 days due to insufficient resources to meet basic needs [BASELINE] broken down by households headed by women on the admin of overall</t>
  </si>
  <si>
    <t>Coping strategies used in the last 30 days due to insufficient resources to meet basic needs [BASELINE] broken down by single headed households with child(ren) or older person(s) (60 y.o.+) on the admin of overall</t>
  </si>
  <si>
    <t>Coping strategies used in the last 30 days due to insufficient resources to meet basic needs [BASELINE] broken down by households displaced from the territory of active hostilities and not receiving idp payments on the admin of overall</t>
  </si>
  <si>
    <t>Coping strategies used in the last 30 days due to insufficient resources to meet basic needs [BASELINE] broken down by households evacuated from the territory of active hostilities within the last 30 days on the admin of overall</t>
  </si>
  <si>
    <t>Coping strategies used in the last 30 days due to insufficient resources to meet basic needs [BASELINE] broken down by households partially or fully damaged on the admin of overall</t>
  </si>
  <si>
    <t>Coping strategies used in the last 30 days due to insufficient resources to meet basic needs [BASELINE] broken down by households whose members were injured or killed as a result of hostilities on the admin of overall</t>
  </si>
  <si>
    <t>Coping strategies used in the last 30 days due to insufficient resources to meet basic needs [BASELINE] broken down by total eligibility quantiled on the admin of overall</t>
  </si>
  <si>
    <t>Coping strategies used in the last 30 days due to insufficient resources to meet basic needs [ENDLINE] on the admin of overall</t>
  </si>
  <si>
    <t>Sell housing or land</t>
  </si>
  <si>
    <t>Coping strategies used in the last 30 days due to insufficient resources to meet basic needs [ENDLINE] broken down by households with 3 or more children under 18 years of age on the admin of overall</t>
  </si>
  <si>
    <t>Coping strategies used in the last 30 days due to insufficient resources to meet basic needs [ENDLINE] broken down by households with children under 1 year of age on the admin of overall</t>
  </si>
  <si>
    <t>Coping strategies used in the last 30 days due to insufficient resources to meet basic needs [ENDLINE] broken down by households with pregnant women on the admin of overall</t>
  </si>
  <si>
    <t>Coping strategies used in the last 30 days due to insufficient resources to meet basic needs [ENDLINE] broken down by households with people with disabilities of group 1 or 2 on the admin of overall</t>
  </si>
  <si>
    <t>Coping strategies used in the last 30 days due to insufficient resources to meet basic needs [ENDLINE] broken down by households with people with severe chronic diseases on the admin of overall</t>
  </si>
  <si>
    <t>Coping strategies used in the last 30 days due to insufficient resources to meet basic needs [ENDLINE] broken down by households where all adult members are 60 y.o.+ on the admin of overall</t>
  </si>
  <si>
    <t>Coping strategies used in the last 30 days due to insufficient resources to meet basic needs [ENDLINE] broken down by households headed by women on the admin of overall</t>
  </si>
  <si>
    <t>Coping strategies used in the last 30 days due to insufficient resources to meet basic needs [ENDLINE] broken down by single headed households with child(ren) or older person(s) (60 y.o.+) on the admin of overall</t>
  </si>
  <si>
    <t>Coping strategies used in the last 30 days due to insufficient resources to meet basic needs [ENDLINE] broken down by households displaced from the territory of active hostilities and not receiving idp payments on the admin of overall</t>
  </si>
  <si>
    <t>Coping strategies used in the last 30 days due to insufficient resources to meet basic needs [ENDLINE] broken down by households evacuated from the territory of active hostilities within the last 30 days on the admin of overall</t>
  </si>
  <si>
    <t>Coping strategies used in the last 30 days due to insufficient resources to meet basic needs [ENDLINE] broken down by households partially or fully damaged on the admin of overall</t>
  </si>
  <si>
    <t>Coping strategies used in the last 30 days due to insufficient resources to meet basic needs [ENDLINE] broken down by households whose members were injured or killed as a result of hostilities on the admin of overall</t>
  </si>
  <si>
    <t>Coping strategies used in the last 30 days due to insufficient resources to meet basic needs [ENDLINE] broken down by total eligibility quantiled on the admin of overall</t>
  </si>
  <si>
    <t>Coping strategies avoided in the past 3 months due to receipt of MPCA [ENDLINE] on the admin of overall</t>
  </si>
  <si>
    <t>MPCA helped to avoid having to reduce basic education expenses</t>
  </si>
  <si>
    <t>MPCA helped to avoid the need to ask strangers for money</t>
  </si>
  <si>
    <t>MPCA helped to avoid the need to buy food on credit or in debt</t>
  </si>
  <si>
    <t>MPCA helped to avoid the need to reduce basic health care expenses (including medicines, etc.)</t>
  </si>
  <si>
    <t>MPCA helped to avoid the need to sell household property/goods (furniture/household appliances (e.g., TV, radio, washing machine, etc.), smartphone/jewelry...)</t>
  </si>
  <si>
    <t>MPCA helped to avoid the need to sell housing or land</t>
  </si>
  <si>
    <t>MPCA helped to avoid the need to sell productive assets or vehicles (e.g., sewing machine, bicycle, car, etc.)</t>
  </si>
  <si>
    <t>MPCA helped to avoid the need to spend savings or consume stocks for a rainy day</t>
  </si>
  <si>
    <t>MPCA helped to avoid the need to take on additional work</t>
  </si>
  <si>
    <t>MPCA helped to avoid the need to use degrading sources of income, illegal or high-risk work</t>
  </si>
  <si>
    <t>No, I did not have to use any coping strategies</t>
  </si>
  <si>
    <t>Other (please specify)</t>
  </si>
  <si>
    <t>Coping strategies avoided in the past 3 months due to receipt of MPCA [ENDLINE] broken down by households with 3 or more children under 18 years of age on the admin of overall</t>
  </si>
  <si>
    <t>Coping strategies avoided in the past 3 months due to receipt of MPCA [ENDLINE] broken down by households with children under 1 year of age on the admin of overall</t>
  </si>
  <si>
    <t>Coping strategies avoided in the past 3 months due to receipt of MPCA [ENDLINE] broken down by households with pregnant women on the admin of overall</t>
  </si>
  <si>
    <t>Coping strategies avoided in the past 3 months due to receipt of MPCA [ENDLINE] broken down by households with people with disabilities of group 1 or 2 on the admin of overall</t>
  </si>
  <si>
    <t>Coping strategies avoided in the past 3 months due to receipt of MPCA [ENDLINE] broken down by households with people with severe chronic diseases on the admin of overall</t>
  </si>
  <si>
    <t>Coping strategies avoided in the past 3 months due to receipt of MPCA [ENDLINE] broken down by households where all adult members are 60 y.o.+ on the admin of overall</t>
  </si>
  <si>
    <t>Coping strategies avoided in the past 3 months due to receipt of MPCA [ENDLINE] broken down by households headed by women on the admin of overall</t>
  </si>
  <si>
    <t>Coping strategies avoided in the past 3 months due to receipt of MPCA [ENDLINE] broken down by single headed households with child(ren) or older person(s) (60 y.o.+) on the admin of overall</t>
  </si>
  <si>
    <t>Coping strategies avoided in the past 3 months due to receipt of MPCA [ENDLINE] broken down by households displaced from the territory of active hostilities and not receiving idp payments on the admin of overall</t>
  </si>
  <si>
    <t>Coping strategies avoided in the past 3 months due to receipt of MPCA [ENDLINE] broken down by households evacuated from the territory of active hostilities within the last 30 days on the admin of overall</t>
  </si>
  <si>
    <t>Coping strategies avoided in the past 3 months due to receipt of MPCA [ENDLINE] broken down by households partially or fully damaged on the admin of overall</t>
  </si>
  <si>
    <t>Coping strategies avoided in the past 3 months due to receipt of MPCA [ENDLINE] broken down by households whose members were injured or killed as a result of hostilities on the admin of overall</t>
  </si>
  <si>
    <t>Coping strategies avoided in the past 3 months due to receipt of MPCA [ENDLINE] broken down by total eligibility quantiled on the admin of overall</t>
  </si>
  <si>
    <t>Household perception of relevance of forthcoming MPCA (3,600 UAH for 3 months per member) [BASELINE] on the admin of overall</t>
  </si>
  <si>
    <t>No</t>
  </si>
  <si>
    <t>Partially</t>
  </si>
  <si>
    <t>Prefer not to asnwer</t>
  </si>
  <si>
    <t>Yes</t>
  </si>
  <si>
    <t>Household perception of relevance of forthcoming MPCA (3,600 UAH for 3 months per member) [BASELINE] broken down by households with 3 or more children under 18 years of age on the admin of overall</t>
  </si>
  <si>
    <t>Household perception of relevance of forthcoming MPCA (3,600 UAH for 3 months per member) [BASELINE] broken down by households with children under 1 year of age on the admin of overall</t>
  </si>
  <si>
    <t>Household perception of relevance of forthcoming MPCA (3,600 UAH for 3 months per member) [BASELINE] broken down by households with pregnant women on the admin of overall</t>
  </si>
  <si>
    <t>Household perception of relevance of forthcoming MPCA (3,600 UAH for 3 months per member) [BASELINE] broken down by households with people with disabilities of group 1 or 2 on the admin of overall</t>
  </si>
  <si>
    <t>Household perception of relevance of forthcoming MPCA (3,600 UAH for 3 months per member) [BASELINE] broken down by households with people with severe chronic diseases on the admin of overall</t>
  </si>
  <si>
    <t>Household perception of relevance of forthcoming MPCA (3,600 UAH for 3 months per member) [BASELINE] broken down by households where all adult members are 60 y.o.+ on the admin of overall</t>
  </si>
  <si>
    <t>Household perception of relevance of forthcoming MPCA (3,600 UAH for 3 months per member) [BASELINE] broken down by households headed by women on the admin of overall</t>
  </si>
  <si>
    <t>Household perception of relevance of forthcoming MPCA (3,600 UAH for 3 months per member) [BASELINE] broken down by single headed households with child(ren) or older person(s) (60 y.o.+) on the admin of overall</t>
  </si>
  <si>
    <t>Household perception of relevance of forthcoming MPCA (3,600 UAH for 3 months per member) [BASELINE] broken down by households displaced from the territory of active hostilities and not receiving idp payments on the admin of overall</t>
  </si>
  <si>
    <t>Household perception of relevance of forthcoming MPCA (3,600 UAH for 3 months per member) [BASELINE] broken down by households evacuated from the territory of active hostilities within the last 30 days on the admin of overall</t>
  </si>
  <si>
    <t>Household perception of relevance of forthcoming MPCA (3,600 UAH for 3 months per member) [BASELINE] broken down by households partially or fully damaged on the admin of overall</t>
  </si>
  <si>
    <t>Household perception of relevance of forthcoming MPCA (3,600 UAH for 3 months per member) [BASELINE] broken down by households whose members were injured or killed as a result of hostilities on the admin of overall</t>
  </si>
  <si>
    <t>Household perception of relevance of forthcoming MPCA (3,600 UAH for 3 months per member) [BASELINE] broken down by total eligibility quantiled on the admin of overall</t>
  </si>
  <si>
    <t>Estimated percentage of household needs met by upcoming MPCA (if partially appropriate) [BASELINE] on the admin of overall</t>
  </si>
  <si>
    <t>Estimated percentage of household needs met by upcoming MPCA (if partially appropriate) [BASELINE] broken down by households with 3 or more children under 18 years of age on the admin of overall</t>
  </si>
  <si>
    <t>Estimated percentage of household needs met by upcoming MPCA (if partially appropriate) [BASELINE] broken down by households with children under 1 year of age on the admin of overall</t>
  </si>
  <si>
    <t>Estimated percentage of household needs met by upcoming MPCA (if partially appropriate) [BASELINE] broken down by households with pregnant women on the admin of overall</t>
  </si>
  <si>
    <t>Estimated percentage of household needs met by upcoming MPCA (if partially appropriate) [BASELINE] broken down by households with people with disabilities of group 1 or 2 on the admin of overall</t>
  </si>
  <si>
    <t>Estimated percentage of household needs met by upcoming MPCA (if partially appropriate) [BASELINE] broken down by households with people with severe chronic diseases on the admin of overall</t>
  </si>
  <si>
    <t>Estimated percentage of household needs met by upcoming MPCA (if partially appropriate) [BASELINE] broken down by households where all adult members are 60 y.o.+ on the admin of overall</t>
  </si>
  <si>
    <t>Estimated percentage of household needs met by upcoming MPCA (if partially appropriate) [BASELINE] broken down by households headed by women on the admin of overall</t>
  </si>
  <si>
    <t>Estimated percentage of household needs met by upcoming MPCA (if partially appropriate) [BASELINE] broken down by single headed households with child(ren) or older person(s) (60 y.o.+) on the admin of overall</t>
  </si>
  <si>
    <t>Estimated percentage of household needs met by upcoming MPCA (if partially appropriate) [BASELINE] broken down by households displaced from the territory of active hostilities and not receiving idp payments on the admin of overall</t>
  </si>
  <si>
    <t>Estimated percentage of household needs met by upcoming MPCA (if partially appropriate) [BASELINE] broken down by households evacuated from the territory of active hostilities within the last 30 days on the admin of overall</t>
  </si>
  <si>
    <t>Estimated percentage of household needs met by upcoming MPCA (if partially appropriate) [BASELINE] broken down by households partially or fully damaged on the admin of overall</t>
  </si>
  <si>
    <t>Estimated percentage of household needs met by upcoming MPCA (if partially appropriate) [BASELINE] broken down by households whose members were injured or killed as a result of hostilities on the admin of overall</t>
  </si>
  <si>
    <t>Estimated percentage of household needs met by upcoming MPCA (if partially appropriate) [BASELINE] broken down by total eligibility quantiled on the admin of overall</t>
  </si>
  <si>
    <t>Household opinion on adequacy of received MPCA (3,600 UAH for 3 months per member) [ENDLINE] on the admin of overall</t>
  </si>
  <si>
    <t>Household opinion on adequacy of received MPCA (3,600 UAH for 3 months per member) [ENDLINE] broken down by households with 3 or more children under 18 years of age on the admin of overall</t>
  </si>
  <si>
    <t>Household opinion on adequacy of received MPCA (3,600 UAH for 3 months per member) [ENDLINE] broken down by households with children under 1 year of age on the admin of overall</t>
  </si>
  <si>
    <t>Household opinion on adequacy of received MPCA (3,600 UAH for 3 months per member) [ENDLINE] broken down by households with pregnant women on the admin of overall</t>
  </si>
  <si>
    <t>Household opinion on adequacy of received MPCA (3,600 UAH for 3 months per member) [ENDLINE] broken down by households with people with disabilities of group 1 or 2 on the admin of overall</t>
  </si>
  <si>
    <t>Household opinion on adequacy of received MPCA (3,600 UAH for 3 months per member) [ENDLINE] broken down by households with people with severe chronic diseases on the admin of overall</t>
  </si>
  <si>
    <t>Household opinion on adequacy of received MPCA (3,600 UAH for 3 months per member) [ENDLINE] broken down by households where all adult members are 60 y.o.+ on the admin of overall</t>
  </si>
  <si>
    <t>Household opinion on adequacy of received MPCA (3,600 UAH for 3 months per member) [ENDLINE] broken down by households headed by women on the admin of overall</t>
  </si>
  <si>
    <t>Household opinion on adequacy of received MPCA (3,600 UAH for 3 months per member) [ENDLINE] broken down by single headed households with child(ren) or older person(s) (60 y.o.+) on the admin of overall</t>
  </si>
  <si>
    <t>Household opinion on adequacy of received MPCA (3,600 UAH for 3 months per member) [ENDLINE] broken down by households displaced from the territory of active hostilities and not receiving idp payments on the admin of overall</t>
  </si>
  <si>
    <t>Household opinion on adequacy of received MPCA (3,600 UAH for 3 months per member) [ENDLINE] broken down by households evacuated from the territory of active hostilities within the last 30 days on the admin of overall</t>
  </si>
  <si>
    <t>Household opinion on adequacy of received MPCA (3,600 UAH for 3 months per member) [ENDLINE] broken down by households partially or fully damaged on the admin of overall</t>
  </si>
  <si>
    <t>Household opinion on adequacy of received MPCA (3,600 UAH for 3 months per member) [ENDLINE] broken down by households whose members were injured or killed as a result of hostilities on the admin of overall</t>
  </si>
  <si>
    <t>Household opinion on adequacy of received MPCA (3,600 UAH for 3 months per member) [ENDLINE] broken down by total eligibility quantiled on the admin of overall</t>
  </si>
  <si>
    <t>Estimated percentage of household needs met by received MPCA (if partially appropriate) [ENDLINE] on the admin of overall</t>
  </si>
  <si>
    <t>Estimated percentage of household needs met by received MPCA (if partially appropriate) [ENDLINE] broken down by households with 3 or more children under 18 years of age on the admin of overall</t>
  </si>
  <si>
    <t>Estimated percentage of household needs met by received MPCA (if partially appropriate) [ENDLINE] broken down by households with children under 1 year of age on the admin of overall</t>
  </si>
  <si>
    <t>Estimated percentage of household needs met by received MPCA (if partially appropriate) [ENDLINE] broken down by households with pregnant women on the admin of overall</t>
  </si>
  <si>
    <t>Estimated percentage of household needs met by received MPCA (if partially appropriate) [ENDLINE] broken down by households with people with disabilities of group 1 or 2 on the admin of overall</t>
  </si>
  <si>
    <t>Estimated percentage of household needs met by received MPCA (if partially appropriate) [ENDLINE] broken down by households with people with severe chronic diseases on the admin of overall</t>
  </si>
  <si>
    <t>Estimated percentage of household needs met by received MPCA (if partially appropriate) [ENDLINE] broken down by households where all adult members are 60 y.o.+ on the admin of overall</t>
  </si>
  <si>
    <t>Estimated percentage of household needs met by received MPCA (if partially appropriate) [ENDLINE] broken down by households headed by women on the admin of overall</t>
  </si>
  <si>
    <t>Estimated percentage of household needs met by received MPCA (if partially appropriate) [ENDLINE] broken down by single headed households with child(ren) or older person(s) (60 y.o.+) on the admin of overall</t>
  </si>
  <si>
    <t>Estimated percentage of household needs met by received MPCA (if partially appropriate) [ENDLINE] broken down by households displaced from the territory of active hostilities and not receiving idp payments on the admin of overall</t>
  </si>
  <si>
    <t>Estimated percentage of household needs met by received MPCA (if partially appropriate) [ENDLINE] broken down by households evacuated from the territory of active hostilities within the last 30 days on the admin of overall</t>
  </si>
  <si>
    <t>Estimated percentage of household needs met by received MPCA (if partially appropriate) [ENDLINE] broken down by households partially or fully damaged on the admin of overall</t>
  </si>
  <si>
    <t>Estimated percentage of household needs met by received MPCA (if partially appropriate) [ENDLINE] broken down by households whose members were injured or killed as a result of hostilities on the admin of overall</t>
  </si>
  <si>
    <t>Estimated percentage of household needs met by received MPCA (if partially appropriate) [ENDLINE] broken down by total eligibility quantiled on the admin of overall</t>
  </si>
  <si>
    <t>Household satisfaction level with cash payment amount [ENDLINE] on the admin of overall</t>
  </si>
  <si>
    <t>dissatisfied</t>
  </si>
  <si>
    <t>dk_pna</t>
  </si>
  <si>
    <t>neutal</t>
  </si>
  <si>
    <t>satisfied</t>
  </si>
  <si>
    <t>very satisfied</t>
  </si>
  <si>
    <t>Household opinion on whether MPCA will be delivered at the right time [BASELINE] on the admin of overall</t>
  </si>
  <si>
    <t>Household opinion on whether MPCA was delivered at the right time [ENDLINE] on the admin of overall</t>
  </si>
  <si>
    <t>prefer_not_to_answer</t>
  </si>
  <si>
    <t>Whether the household has already spent the received MPCA [ENDLINE] on the admin of overall</t>
  </si>
  <si>
    <t>Whether the household has already spent the received MPCA [ENDLINE] broken down by households with 3 or more children under 18 years of age on the admin of overall</t>
  </si>
  <si>
    <t>Whether the household has already spent the received MPCA [ENDLINE] broken down by households with children under 1 year of age on the admin of overall</t>
  </si>
  <si>
    <t>Whether the household has already spent the received MPCA [ENDLINE] broken down by households with pregnant women on the admin of overall</t>
  </si>
  <si>
    <t>Whether the household has already spent the received MPCA [ENDLINE] broken down by households with people with disabilities of group 1 or 2 on the admin of overall</t>
  </si>
  <si>
    <t>Whether the household has already spent the received MPCA [ENDLINE] broken down by households with people with severe chronic diseases on the admin of overall</t>
  </si>
  <si>
    <t>Whether the household has already spent the received MPCA [ENDLINE] broken down by households where all adult members are 60 y.o.+ on the admin of overall</t>
  </si>
  <si>
    <t>Whether the household has already spent the received MPCA [ENDLINE] broken down by households headed by women on the admin of overall</t>
  </si>
  <si>
    <t>Whether the household has already spent the received MPCA [ENDLINE] broken down by single headed households with child(ren) or older person(s) (60 y.o.+) on the admin of overall</t>
  </si>
  <si>
    <t>Whether the household has already spent the received MPCA [ENDLINE] broken down by households displaced from the territory of active hostilities and not receiving idp payments on the admin of overall</t>
  </si>
  <si>
    <t>Whether the household has already spent the received MPCA [ENDLINE] broken down by households evacuated from the territory of active hostilities within the last 30 days on the admin of overall</t>
  </si>
  <si>
    <t>Whether the household has already spent the received MPCA [ENDLINE] broken down by households partially or fully damaged on the admin of overall</t>
  </si>
  <si>
    <t>Whether the household has already spent the received MPCA [ENDLINE] broken down by households whose members were injured or killed as a result of hostilities on the admin of overall</t>
  </si>
  <si>
    <t>Whether the household has already spent the received MPCA [ENDLINE] broken down by total eligibility quantiled on the admin of overall</t>
  </si>
  <si>
    <t>Number of weeks MPCA lasted if fully spent [ENDLINE] on the admin of overall</t>
  </si>
  <si>
    <t>Number of weeks MPCA lasted if fully spent [ENDLINE] broken down by households with 3 or more children under 18 years of age on the admin of overall</t>
  </si>
  <si>
    <t>Number of weeks MPCA lasted if fully spent [ENDLINE] broken down by households with children under 1 year of age on the admin of overall</t>
  </si>
  <si>
    <t>Number of weeks MPCA lasted if fully spent [ENDLINE] broken down by households with pregnant women on the admin of overall</t>
  </si>
  <si>
    <t>Number of weeks MPCA lasted if fully spent [ENDLINE] broken down by households with people with disabilities of group 1 or 2 on the admin of overall</t>
  </si>
  <si>
    <t>Number of weeks MPCA lasted if fully spent [ENDLINE] broken down by households with people with severe chronic diseases on the admin of overall</t>
  </si>
  <si>
    <t>Number of weeks MPCA lasted if fully spent [ENDLINE] broken down by households where all adult members are 60 y.o.+ on the admin of overall</t>
  </si>
  <si>
    <t>Number of weeks MPCA lasted if fully spent [ENDLINE] broken down by households headed by women on the admin of overall</t>
  </si>
  <si>
    <t>Number of weeks MPCA lasted if fully spent [ENDLINE] broken down by single headed households with child(ren) or older person(s) (60 y.o.+) on the admin of overall</t>
  </si>
  <si>
    <t>Number of weeks MPCA lasted if fully spent [ENDLINE] broken down by households displaced from the territory of active hostilities and not receiving idp payments on the admin of overall</t>
  </si>
  <si>
    <t>Number of weeks MPCA lasted if fully spent [ENDLINE] broken down by households evacuated from the territory of active hostilities within the last 30 days on the admin of overall</t>
  </si>
  <si>
    <t>Number of weeks MPCA lasted if fully spent [ENDLINE] broken down by households partially or fully damaged on the admin of overall</t>
  </si>
  <si>
    <t>Number of weeks MPCA lasted if fully spent [ENDLINE] broken down by households whose members were injured or killed as a result of hostilities on the admin of overall</t>
  </si>
  <si>
    <t>Number of weeks MPCA lasted if fully spent [ENDLINE] broken down by total eligibility quantiled on the admin of overall</t>
  </si>
  <si>
    <t>Percentage of MPCA spent to date (if partially used) [ENDLINE] on the admin of overall</t>
  </si>
  <si>
    <t>Percentage of MPCA spent to date (if partially used) [ENDLINE] broken down by households with 3 or more children under 18 years of age on the admin of overall</t>
  </si>
  <si>
    <t>Percentage of MPCA spent to date (if partially used) [ENDLINE] broken down by households with children under 1 year of age on the admin of overall</t>
  </si>
  <si>
    <t>Percentage of MPCA spent to date (if partially used) [ENDLINE] broken down by households with pregnant women on the admin of overall</t>
  </si>
  <si>
    <t>Percentage of MPCA spent to date (if partially used) [ENDLINE] broken down by households with people with disabilities of group 1 or 2 on the admin of overall</t>
  </si>
  <si>
    <t>Percentage of MPCA spent to date (if partially used) [ENDLINE] broken down by households with people with severe chronic diseases on the admin of overall</t>
  </si>
  <si>
    <t>Percentage of MPCA spent to date (if partially used) [ENDLINE] broken down by households where all adult members are 60 y.o.+ on the admin of overall</t>
  </si>
  <si>
    <t>Percentage of MPCA spent to date (if partially used) [ENDLINE] broken down by households headed by women on the admin of overall</t>
  </si>
  <si>
    <t>Percentage of MPCA spent to date (if partially used) [ENDLINE] broken down by single headed households with child(ren) or older person(s) (60 y.o.+) on the admin of overall</t>
  </si>
  <si>
    <t>Percentage of MPCA spent to date (if partially used) [ENDLINE] broken down by households displaced from the territory of active hostilities and not receiving idp payments on the admin of overall</t>
  </si>
  <si>
    <t>Percentage of MPCA spent to date (if partially used) [ENDLINE] broken down by households evacuated from the territory of active hostilities within the last 30 days on the admin of overall</t>
  </si>
  <si>
    <t>Percentage of MPCA spent to date (if partially used) [ENDLINE] broken down by households partially or fully damaged on the admin of overall</t>
  </si>
  <si>
    <t>Percentage of MPCA spent to date (if partially used) [ENDLINE] broken down by households whose members were injured or killed as a result of hostilities on the admin of overall</t>
  </si>
  <si>
    <t>Percentage of MPCA spent to date (if partially used) [ENDLINE] broken down by total eligibility quantiled on the admin of overall</t>
  </si>
  <si>
    <t>Extent to which received MPCA helped cover household needs during usage period [ENDLINE] on the admin of overall</t>
  </si>
  <si>
    <t>Extent to which received MPCA helped cover household needs during usage period [ENDLINE] broken down by households with 3 or more children under 18 years of age on the admin of overall</t>
  </si>
  <si>
    <t>Extent to which received MPCA helped cover household needs during usage period [ENDLINE] broken down by households with children under 1 year of age on the admin of overall</t>
  </si>
  <si>
    <t>Extent to which received MPCA helped cover household needs during usage period [ENDLINE] broken down by households with pregnant women on the admin of overall</t>
  </si>
  <si>
    <t>Extent to which received MPCA helped cover household needs during usage period [ENDLINE] broken down by households with people with disabilities of group 1 or 2 on the admin of overall</t>
  </si>
  <si>
    <t>Extent to which received MPCA helped cover household needs during usage period [ENDLINE] broken down by households with people with severe chronic diseases on the admin of overall</t>
  </si>
  <si>
    <t>Extent to which received MPCA helped cover household needs during usage period [ENDLINE] broken down by households where all adult members are 60 y.o.+ on the admin of overall</t>
  </si>
  <si>
    <t>Extent to which received MPCA helped cover household needs during usage period [ENDLINE] broken down by households headed by women on the admin of overall</t>
  </si>
  <si>
    <t>Extent to which received MPCA helped cover household needs during usage period [ENDLINE] broken down by single headed households with child(ren) or older person(s) (60 y.o.+) on the admin of overall</t>
  </si>
  <si>
    <t>Extent to which received MPCA helped cover household needs during usage period [ENDLINE] broken down by households displaced from the territory of active hostilities and not receiving idp payments on the admin of overall</t>
  </si>
  <si>
    <t>Extent to which received MPCA helped cover household needs during usage period [ENDLINE] broken down by households evacuated from the territory of active hostilities within the last 30 days on the admin of overall</t>
  </si>
  <si>
    <t>Extent to which received MPCA helped cover household needs during usage period [ENDLINE] broken down by households partially or fully damaged on the admin of overall</t>
  </si>
  <si>
    <t>Extent to which received MPCA helped cover household needs during usage period [ENDLINE] broken down by households whose members were injured or killed as a result of hostilities on the admin of overall</t>
  </si>
  <si>
    <t>Extent to which received MPCA helped cover household needs during usage period [ENDLINE] broken down by total eligibility quantiled on the admin of overall</t>
  </si>
  <si>
    <t>Percentage of needs covered by MPCA (if partially met) [ENDLINE] on the admin of overall</t>
  </si>
  <si>
    <t>Percentage of needs covered by MPCA (if partially met) [ENDLINE] broken down by households with 3 or more children under 18 years of age on the admin of overall</t>
  </si>
  <si>
    <t>Percentage of needs covered by MPCA (if partially met) [ENDLINE] broken down by households with children under 1 year of age on the admin of overall</t>
  </si>
  <si>
    <t>Percentage of needs covered by MPCA (if partially met) [ENDLINE] broken down by households with pregnant women on the admin of overall</t>
  </si>
  <si>
    <t>Percentage of needs covered by MPCA (if partially met) [ENDLINE] broken down by households with people with disabilities of group 1 or 2 on the admin of overall</t>
  </si>
  <si>
    <t>Percentage of needs covered by MPCA (if partially met) [ENDLINE] broken down by households with people with severe chronic diseases on the admin of overall</t>
  </si>
  <si>
    <t>Percentage of needs covered by MPCA (if partially met) [ENDLINE] broken down by households where all adult members are 60 y.o.+ on the admin of overall</t>
  </si>
  <si>
    <t>Percentage of needs covered by MPCA (if partially met) [ENDLINE] broken down by households headed by women on the admin of overall</t>
  </si>
  <si>
    <t>Percentage of needs covered by MPCA (if partially met) [ENDLINE] broken down by single headed households with child(ren) or older person(s) (60 y.o.+) on the admin of overall</t>
  </si>
  <si>
    <t>Percentage of needs covered by MPCA (if partially met) [ENDLINE] broken down by households displaced from the territory of active hostilities and not receiving idp payments on the admin of overall</t>
  </si>
  <si>
    <t>Percentage of needs covered by MPCA (if partially met) [ENDLINE] broken down by households evacuated from the territory of active hostilities within the last 30 days on the admin of overall</t>
  </si>
  <si>
    <t>Percentage of needs covered by MPCA (if partially met) [ENDLINE] broken down by households partially or fully damaged on the admin of overall</t>
  </si>
  <si>
    <t>Percentage of needs covered by MPCA (if partially met) [ENDLINE] broken down by households whose members were injured or killed as a result of hostilities on the admin of overall</t>
  </si>
  <si>
    <t>Percentage of needs covered by MPCA (if partially met) [ENDLINE] broken down by total eligibility quantiled on the admin of overall</t>
  </si>
  <si>
    <t>Priority needs requiring financial aid, with importance level [BASELINE] on the admin of overall</t>
  </si>
  <si>
    <t>Priority needs requiring financial aid, with importance level [BASELINE] broken down by households with 3 or more children under 18 years of age on the admin of overall</t>
  </si>
  <si>
    <t>Priority needs requiring financial aid, with importance level [BASELINE] broken down by households with children under 1 year of age on the admin of overall</t>
  </si>
  <si>
    <t>Priority needs requiring financial aid, with importance level [BASELINE] broken down by households with pregnant women on the admin of overall</t>
  </si>
  <si>
    <t>Priority needs requiring financial aid, with importance level [BASELINE] broken down by households with people with disabilities of group 1 or 2 on the admin of overall</t>
  </si>
  <si>
    <t>Priority needs requiring financial aid, with importance level [BASELINE] broken down by households with people with severe chronic diseases on the admin of overall</t>
  </si>
  <si>
    <t>Priority needs requiring financial aid, with importance level [BASELINE] broken down by households where all adult members are 60 y.o.+ on the admin of overall</t>
  </si>
  <si>
    <t>Priority needs requiring financial aid, with importance level [BASELINE] broken down by households headed by women on the admin of overall</t>
  </si>
  <si>
    <t>Priority needs requiring financial aid, with importance level [BASELINE] broken down by single headed households with child(ren) or older person(s) (60 y.o.+) on the admin of overall</t>
  </si>
  <si>
    <t>Priority needs requiring financial aid, with importance level [BASELINE] broken down by households displaced from the territory of active hostilities and not receiving idp payments on the admin of overall</t>
  </si>
  <si>
    <t>Priority needs requiring financial aid, with importance level [BASELINE] broken down by households evacuated from the territory of active hostilities within the last 30 days on the admin of overall</t>
  </si>
  <si>
    <t>Priority needs requiring financial aid, with importance level [BASELINE] broken down by households partially or fully damaged on the admin of overall</t>
  </si>
  <si>
    <t>Priority needs requiring financial aid, with importance level [BASELINE] broken down by households whose members were injured or killed as a result of hostilities on the admin of overall</t>
  </si>
  <si>
    <t>Priority needs requiring financial aid, with importance level [BASELINE] broken down by total eligibility quantiled on the admin of overall</t>
  </si>
  <si>
    <t>Importance rating (1 to 5 where 1 is highest priority) for 'Other' priority need requiring financial assistance [BASELINE] on the admin of overall</t>
  </si>
  <si>
    <t>Importance rating (1 to 5 where 1 is highest priority) for 'Other' priority need requiring financial assistance [BASELINE] broken down by households with 3 or more children under 18 years of age on the admin of overall</t>
  </si>
  <si>
    <t>Importance rating (1 to 5 where 1 is highest priority) for 'Other' priority need requiring financial assistance [BASELINE] broken down by households with children under 1 year of age on the admin of overall</t>
  </si>
  <si>
    <t>Importance rating (1 to 5 where 1 is highest priority) for 'Other' priority need requiring financial assistance [BASELINE] broken down by households with pregnant women on the admin of overall</t>
  </si>
  <si>
    <t>Importance rating (1 to 5 where 1 is highest priority) for 'Other' priority need requiring financial assistance [BASELINE] broken down by households with people with disabilities of group 1 or 2 on the admin of overall</t>
  </si>
  <si>
    <t>Importance rating (1 to 5 where 1 is highest priority) for 'Other' priority need requiring financial assistance [BASELINE] broken down by households with people with severe chronic diseases on the admin of overall</t>
  </si>
  <si>
    <t>Importance rating (1 to 5 where 1 is highest priority) for 'Other' priority need requiring financial assistance [BASELINE] broken down by households where all adult members are 60 y.o.+ on the admin of overall</t>
  </si>
  <si>
    <t>Importance rating (1 to 5 where 1 is highest priority) for 'Other' priority need requiring financial assistance [BASELINE] broken down by households headed by women on the admin of overall</t>
  </si>
  <si>
    <t>Importance rating (1 to 5 where 1 is highest priority) for 'Other' priority need requiring financial assistance [BASELINE] broken down by single headed households with child(ren) or older person(s) (60 y.o.+) on the admin of overall</t>
  </si>
  <si>
    <t>Importance rating (1 to 5 where 1 is highest priority) for 'Other' priority need requiring financial assistance [BASELINE] broken down by households displaced from the territory of active hostilities and not receiving idp payments on the admin of overall</t>
  </si>
  <si>
    <t>Importance rating (1 to 5 where 1 is highest priority) for 'Other' priority need requiring financial assistance [BASELINE] broken down by households evacuated from the territory of active hostilities within the last 30 days on the admin of overall</t>
  </si>
  <si>
    <t>Importance rating (1 to 5 where 1 is highest priority) for 'Other' priority need requiring financial assistance [BASELINE] broken down by households partially or fully damaged on the admin of overall</t>
  </si>
  <si>
    <t>Importance rating (1 to 5 where 1 is highest priority) for 'Other' priority need requiring financial assistance [BASELINE] broken down by households whose members were injured or killed as a result of hostilities on the admin of overall</t>
  </si>
  <si>
    <t>Importance rating (1 to 5 where 1 is highest priority) for 'Other' priority need requiring financial assistance [BASELINE] broken down by total eligibility quantiled on the admin of overall</t>
  </si>
  <si>
    <t>Importance rating (1 to 5 where 1 is highest priority) for 'Food' priority need requiring financial assistance [BASELINE] on the admin of overall</t>
  </si>
  <si>
    <t>Importance rating (1 to 5 where 1 is highest priority) for 'Food' priority need requiring financial assistance [BASELINE] broken down by households with 3 or more children under 18 years of age on the admin of overall</t>
  </si>
  <si>
    <t>Importance rating (1 to 5 where 1 is highest priority) for 'Food' priority need requiring financial assistance [BASELINE] broken down by households with children under 1 year of age on the admin of overall</t>
  </si>
  <si>
    <t>Importance rating (1 to 5 where 1 is highest priority) for 'Food' priority need requiring financial assistance [BASELINE] broken down by households with pregnant women on the admin of overall</t>
  </si>
  <si>
    <t>Importance rating (1 to 5 where 1 is highest priority) for 'Food' priority need requiring financial assistance [BASELINE] broken down by households with people with disabilities of group 1 or 2 on the admin of overall</t>
  </si>
  <si>
    <t>Importance rating (1 to 5 where 1 is highest priority) for 'Food' priority need requiring financial assistance [BASELINE] broken down by households with people with severe chronic diseases on the admin of overall</t>
  </si>
  <si>
    <t>Importance rating (1 to 5 where 1 is highest priority) for 'Food' priority need requiring financial assistance [BASELINE] broken down by households where all adult members are 60 y.o.+ on the admin of overall</t>
  </si>
  <si>
    <t>Importance rating (1 to 5 where 1 is highest priority) for 'Food' priority need requiring financial assistance [BASELINE] broken down by households headed by women on the admin of overall</t>
  </si>
  <si>
    <t>Importance rating (1 to 5 where 1 is highest priority) for 'Food' priority need requiring financial assistance [BASELINE] broken down by single headed households with child(ren) or older person(s) (60 y.o.+) on the admin of overall</t>
  </si>
  <si>
    <t>Importance rating (1 to 5 where 1 is highest priority) for 'Food' priority need requiring financial assistance [BASELINE] broken down by households displaced from the territory of active hostilities and not receiving idp payments on the admin of overall</t>
  </si>
  <si>
    <t>Importance rating (1 to 5 where 1 is highest priority) for 'Food' priority need requiring financial assistance [BASELINE] broken down by households evacuated from the territory of active hostilities within the last 30 days on the admin of overall</t>
  </si>
  <si>
    <t>Importance rating (1 to 5 where 1 is highest priority) for 'Food' priority need requiring financial assistance [BASELINE] broken down by households partially or fully damaged on the admin of overall</t>
  </si>
  <si>
    <t>Importance rating (1 to 5 where 1 is highest priority) for 'Food' priority need requiring financial assistance [BASELINE] broken down by households whose members were injured or killed as a result of hostilities on the admin of overall</t>
  </si>
  <si>
    <t>Importance rating (1 to 5 where 1 is highest priority) for 'Food' priority need requiring financial assistance [BASELINE] broken down by total eligibility quantiled on the admin of overall</t>
  </si>
  <si>
    <t>Importance rating (1 to 5 where 1 is highest priority) for 'Personal hygiene' priority need requiring financial assistance [BASELINE] on the admin of overall</t>
  </si>
  <si>
    <t>Importance rating (1 to 5 where 1 is highest priority) for 'Personal hygiene' priority need requiring financial assistance [BASELINE] broken down by households with 3 or more children under 18 years of age on the admin of overall</t>
  </si>
  <si>
    <t>Importance rating (1 to 5 where 1 is highest priority) for 'Personal hygiene' priority need requiring financial assistance [BASELINE] broken down by households with children under 1 year of age on the admin of overall</t>
  </si>
  <si>
    <t>Importance rating (1 to 5 where 1 is highest priority) for 'Personal hygiene' priority need requiring financial assistance [BASELINE] broken down by households with pregnant women on the admin of overall</t>
  </si>
  <si>
    <t>Importance rating (1 to 5 where 1 is highest priority) for 'Personal hygiene' priority need requiring financial assistance [BASELINE] broken down by households with people with disabilities of group 1 or 2 on the admin of overall</t>
  </si>
  <si>
    <t>Importance rating (1 to 5 where 1 is highest priority) for 'Personal hygiene' priority need requiring financial assistance [BASELINE] broken down by households with people with severe chronic diseases on the admin of overall</t>
  </si>
  <si>
    <t>Importance rating (1 to 5 where 1 is highest priority) for 'Personal hygiene' priority need requiring financial assistance [BASELINE] broken down by households where all adult members are 60 y.o.+ on the admin of overall</t>
  </si>
  <si>
    <t>Importance rating (1 to 5 where 1 is highest priority) for 'Personal hygiene' priority need requiring financial assistance [BASELINE] broken down by households headed by women on the admin of overall</t>
  </si>
  <si>
    <t>Importance rating (1 to 5 where 1 is highest priority) for 'Personal hygiene' priority need requiring financial assistance [BASELINE] broken down by single headed households with child(ren) or older person(s) (60 y.o.+) on the admin of overall</t>
  </si>
  <si>
    <t>Importance rating (1 to 5 where 1 is highest priority) for 'Personal hygiene' priority need requiring financial assistance [BASELINE] broken down by households displaced from the territory of active hostilities and not receiving idp payments on the admin of overall</t>
  </si>
  <si>
    <t>Importance rating (1 to 5 where 1 is highest priority) for 'Personal hygiene' priority need requiring financial assistance [BASELINE] broken down by households evacuated from the territory of active hostilities within the last 30 days on the admin of overall</t>
  </si>
  <si>
    <t>Importance rating (1 to 5 where 1 is highest priority) for 'Personal hygiene' priority need requiring financial assistance [BASELINE] broken down by households partially or fully damaged on the admin of overall</t>
  </si>
  <si>
    <t>Importance rating (1 to 5 where 1 is highest priority) for 'Personal hygiene' priority need requiring financial assistance [BASELINE] broken down by households whose members were injured or killed as a result of hostilities on the admin of overall</t>
  </si>
  <si>
    <t>Importance rating (1 to 5 where 1 is highest priority) for 'Personal hygiene' priority need requiring financial assistance [BASELINE] broken down by total eligibility quantiled on the admin of overall</t>
  </si>
  <si>
    <t>Importance rating (1 to 5 where 1 is highest priority) for 'Cleaning items' priority need requiring financial assistance [BASELINE] on the admin of overall</t>
  </si>
  <si>
    <t>Importance rating (1 to 5 where 1 is highest priority) for 'Cleaning items' priority need requiring financial assistance [BASELINE] broken down by households with 3 or more children under 18 years of age on the admin of overall</t>
  </si>
  <si>
    <t>Importance rating (1 to 5 where 1 is highest priority) for 'Cleaning items' priority need requiring financial assistance [BASELINE] broken down by households with children under 1 year of age on the admin of overall</t>
  </si>
  <si>
    <t>Importance rating (1 to 5 where 1 is highest priority) for 'Cleaning items' priority need requiring financial assistance [BASELINE] broken down by households with pregnant women on the admin of overall</t>
  </si>
  <si>
    <t>Importance rating (1 to 5 where 1 is highest priority) for 'Cleaning items' priority need requiring financial assistance [BASELINE] broken down by households with people with disabilities of group 1 or 2 on the admin of overall</t>
  </si>
  <si>
    <t>Importance rating (1 to 5 where 1 is highest priority) for 'Cleaning items' priority need requiring financial assistance [BASELINE] broken down by households with people with severe chronic diseases on the admin of overall</t>
  </si>
  <si>
    <t>Importance rating (1 to 5 where 1 is highest priority) for 'Cleaning items' priority need requiring financial assistance [BASELINE] broken down by households where all adult members are 60 y.o.+ on the admin of overall</t>
  </si>
  <si>
    <t>Importance rating (1 to 5 where 1 is highest priority) for 'Cleaning items' priority need requiring financial assistance [BASELINE] broken down by households headed by women on the admin of overall</t>
  </si>
  <si>
    <t>Importance rating (1 to 5 where 1 is highest priority) for 'Cleaning items' priority need requiring financial assistance [BASELINE] broken down by single headed households with child(ren) or older person(s) (60 y.o.+) on the admin of overall</t>
  </si>
  <si>
    <t>Importance rating (1 to 5 where 1 is highest priority) for 'Cleaning items' priority need requiring financial assistance [BASELINE] broken down by households displaced from the territory of active hostilities and not receiving idp payments on the admin of overall</t>
  </si>
  <si>
    <t>Importance rating (1 to 5 where 1 is highest priority) for 'Cleaning items' priority need requiring financial assistance [BASELINE] broken down by households evacuated from the territory of active hostilities within the last 30 days on the admin of overall</t>
  </si>
  <si>
    <t>Importance rating (1 to 5 where 1 is highest priority) for 'Cleaning items' priority need requiring financial assistance [BASELINE] broken down by households partially or fully damaged on the admin of overall</t>
  </si>
  <si>
    <t>Importance rating (1 to 5 where 1 is highest priority) for 'Cleaning items' priority need requiring financial assistance [BASELINE] broken down by households whose members were injured or killed as a result of hostilities on the admin of overall</t>
  </si>
  <si>
    <t>Importance rating (1 to 5 where 1 is highest priority) for 'Cleaning items' priority need requiring financial assistance [BASELINE] broken down by total eligibility quantiled on the admin of overall</t>
  </si>
  <si>
    <t>Importance rating (1 to 5 where 1 is highest priority) for 'Non-food items' priority need requiring financial assistance [BASELINE] on the admin of overall</t>
  </si>
  <si>
    <t>Importance rating (1 to 5 where 1 is highest priority) for 'Non-food items' priority need requiring financial assistance [BASELINE] broken down by households with 3 or more children under 18 years of age on the admin of overall</t>
  </si>
  <si>
    <t>Importance rating (1 to 5 where 1 is highest priority) for 'Non-food items' priority need requiring financial assistance [BASELINE] broken down by households with children under 1 year of age on the admin of overall</t>
  </si>
  <si>
    <t>Importance rating (1 to 5 where 1 is highest priority) for 'Non-food items' priority need requiring financial assistance [BASELINE] broken down by households with pregnant women on the admin of overall</t>
  </si>
  <si>
    <t>Importance rating (1 to 5 where 1 is highest priority) for 'Non-food items' priority need requiring financial assistance [BASELINE] broken down by households with people with disabilities of group 1 or 2 on the admin of overall</t>
  </si>
  <si>
    <t>Importance rating (1 to 5 where 1 is highest priority) for 'Non-food items' priority need requiring financial assistance [BASELINE] broken down by households with people with severe chronic diseases on the admin of overall</t>
  </si>
  <si>
    <t>Importance rating (1 to 5 where 1 is highest priority) for 'Non-food items' priority need requiring financial assistance [BASELINE] broken down by households where all adult members are 60 y.o.+ on the admin of overall</t>
  </si>
  <si>
    <t>Importance rating (1 to 5 where 1 is highest priority) for 'Non-food items' priority need requiring financial assistance [BASELINE] broken down by households headed by women on the admin of overall</t>
  </si>
  <si>
    <t>Importance rating (1 to 5 where 1 is highest priority) for 'Non-food items' priority need requiring financial assistance [BASELINE] broken down by single headed households with child(ren) or older person(s) (60 y.o.+) on the admin of overall</t>
  </si>
  <si>
    <t>Importance rating (1 to 5 where 1 is highest priority) for 'Non-food items' priority need requiring financial assistance [BASELINE] broken down by households displaced from the territory of active hostilities and not receiving idp payments on the admin of overall</t>
  </si>
  <si>
    <t>Importance rating (1 to 5 where 1 is highest priority) for 'Non-food items' priority need requiring financial assistance [BASELINE] broken down by households evacuated from the territory of active hostilities within the last 30 days on the admin of overall</t>
  </si>
  <si>
    <t>Importance rating (1 to 5 where 1 is highest priority) for 'Non-food items' priority need requiring financial assistance [BASELINE] broken down by households partially or fully damaged on the admin of overall</t>
  </si>
  <si>
    <t>Importance rating (1 to 5 where 1 is highest priority) for 'Non-food items' priority need requiring financial assistance [BASELINE] broken down by households whose members were injured or killed as a result of hostilities on the admin of overall</t>
  </si>
  <si>
    <t>Importance rating (1 to 5 where 1 is highest priority) for 'Non-food items' priority need requiring financial assistance [BASELINE] broken down by total eligibility quantiled on the admin of overall</t>
  </si>
  <si>
    <t>Importance rating (1 to 5 where 1 is highest priority) for 'Clothing and shoes' priority need requiring financial assistance [BASELINE] on the admin of overall</t>
  </si>
  <si>
    <t>Importance rating (1 to 5 where 1 is highest priority) for 'Clothing and shoes' priority need requiring financial assistance [BASELINE] broken down by households with 3 or more children under 18 years of age on the admin of overall</t>
  </si>
  <si>
    <t>Importance rating (1 to 5 where 1 is highest priority) for 'Clothing and shoes' priority need requiring financial assistance [BASELINE] broken down by households with children under 1 year of age on the admin of overall</t>
  </si>
  <si>
    <t>Importance rating (1 to 5 where 1 is highest priority) for 'Clothing and shoes' priority need requiring financial assistance [BASELINE] broken down by households with pregnant women on the admin of overall</t>
  </si>
  <si>
    <t>Importance rating (1 to 5 where 1 is highest priority) for 'Clothing and shoes' priority need requiring financial assistance [BASELINE] broken down by households with people with disabilities of group 1 or 2 on the admin of overall</t>
  </si>
  <si>
    <t>Importance rating (1 to 5 where 1 is highest priority) for 'Clothing and shoes' priority need requiring financial assistance [BASELINE] broken down by households with people with severe chronic diseases on the admin of overall</t>
  </si>
  <si>
    <t>Importance rating (1 to 5 where 1 is highest priority) for 'Clothing and shoes' priority need requiring financial assistance [BASELINE] broken down by households where all adult members are 60 y.o.+ on the admin of overall</t>
  </si>
  <si>
    <t>Importance rating (1 to 5 where 1 is highest priority) for 'Clothing and shoes' priority need requiring financial assistance [BASELINE] broken down by households headed by women on the admin of overall</t>
  </si>
  <si>
    <t>Importance rating (1 to 5 where 1 is highest priority) for 'Clothing and shoes' priority need requiring financial assistance [BASELINE] broken down by single headed households with child(ren) or older person(s) (60 y.o.+) on the admin of overall</t>
  </si>
  <si>
    <t>Importance rating (1 to 5 where 1 is highest priority) for 'Clothing and shoes' priority need requiring financial assistance [BASELINE] broken down by households displaced from the territory of active hostilities and not receiving idp payments on the admin of overall</t>
  </si>
  <si>
    <t>Importance rating (1 to 5 where 1 is highest priority) for 'Clothing and shoes' priority need requiring financial assistance [BASELINE] broken down by households evacuated from the territory of active hostilities within the last 30 days on the admin of overall</t>
  </si>
  <si>
    <t>Importance rating (1 to 5 where 1 is highest priority) for 'Clothing and shoes' priority need requiring financial assistance [BASELINE] broken down by households partially or fully damaged on the admin of overall</t>
  </si>
  <si>
    <t>Importance rating (1 to 5 where 1 is highest priority) for 'Clothing and shoes' priority need requiring financial assistance [BASELINE] broken down by households whose members were injured or killed as a result of hostilities on the admin of overall</t>
  </si>
  <si>
    <t>Importance rating (1 to 5 where 1 is highest priority) for 'Clothing and shoes' priority need requiring financial assistance [BASELINE] broken down by total eligibility quantiled on the admin of overall</t>
  </si>
  <si>
    <t>Importance rating (1 to 5 where 1 is highest priority) for 'Heating fuel' priority need requiring financial assistance [BASELINE] on the admin of overall</t>
  </si>
  <si>
    <t>Importance rating (1 to 5 where 1 is highest priority) for 'Heating fuel' priority need requiring financial assistance [BASELINE] broken down by households with 3 or more children under 18 years of age on the admin of overall</t>
  </si>
  <si>
    <t>Importance rating (1 to 5 where 1 is highest priority) for 'Heating fuel' priority need requiring financial assistance [BASELINE] broken down by households with children under 1 year of age on the admin of overall</t>
  </si>
  <si>
    <t>Importance rating (1 to 5 where 1 is highest priority) for 'Heating fuel' priority need requiring financial assistance [BASELINE] broken down by households with pregnant women on the admin of overall</t>
  </si>
  <si>
    <t>Importance rating (1 to 5 where 1 is highest priority) for 'Heating fuel' priority need requiring financial assistance [BASELINE] broken down by households with people with disabilities of group 1 or 2 on the admin of overall</t>
  </si>
  <si>
    <t>Importance rating (1 to 5 where 1 is highest priority) for 'Heating fuel' priority need requiring financial assistance [BASELINE] broken down by households with people with severe chronic diseases on the admin of overall</t>
  </si>
  <si>
    <t>Importance rating (1 to 5 where 1 is highest priority) for 'Heating fuel' priority need requiring financial assistance [BASELINE] broken down by households where all adult members are 60 y.o.+ on the admin of overall</t>
  </si>
  <si>
    <t>Importance rating (1 to 5 where 1 is highest priority) for 'Heating fuel' priority need requiring financial assistance [BASELINE] broken down by households headed by women on the admin of overall</t>
  </si>
  <si>
    <t>Importance rating (1 to 5 where 1 is highest priority) for 'Heating fuel' priority need requiring financial assistance [BASELINE] broken down by single headed households with child(ren) or older person(s) (60 y.o.+) on the admin of overall</t>
  </si>
  <si>
    <t>Importance rating (1 to 5 where 1 is highest priority) for 'Heating fuel' priority need requiring financial assistance [BASELINE] broken down by households displaced from the territory of active hostilities and not receiving idp payments on the admin of overall</t>
  </si>
  <si>
    <t>Importance rating (1 to 5 where 1 is highest priority) for 'Heating fuel' priority need requiring financial assistance [BASELINE] broken down by households evacuated from the territory of active hostilities within the last 30 days on the admin of overall</t>
  </si>
  <si>
    <t>Importance rating (1 to 5 where 1 is highest priority) for 'Heating fuel' priority need requiring financial assistance [BASELINE] broken down by households partially or fully damaged on the admin of overall</t>
  </si>
  <si>
    <t>Importance rating (1 to 5 where 1 is highest priority) for 'Heating fuel' priority need requiring financial assistance [BASELINE] broken down by households whose members were injured or killed as a result of hostilities on the admin of overall</t>
  </si>
  <si>
    <t>Importance rating (1 to 5 where 1 is highest priority) for 'Heating fuel' priority need requiring financial assistance [BASELINE] broken down by total eligibility quantiled on the admin of overall</t>
  </si>
  <si>
    <t>Importance rating (1 to 5 where 1 is highest priority) for 'Safe water' priority need requiring financial assistance [BASELINE] on the admin of overall</t>
  </si>
  <si>
    <t>Importance rating (1 to 5 where 1 is highest priority) for 'Safe water' priority need requiring financial assistance [BASELINE] broken down by households with 3 or more children under 18 years of age on the admin of overall</t>
  </si>
  <si>
    <t>Importance rating (1 to 5 where 1 is highest priority) for 'Safe water' priority need requiring financial assistance [BASELINE] broken down by households with children under 1 year of age on the admin of overall</t>
  </si>
  <si>
    <t>Importance rating (1 to 5 where 1 is highest priority) for 'Safe water' priority need requiring financial assistance [BASELINE] broken down by households with pregnant women on the admin of overall</t>
  </si>
  <si>
    <t>Importance rating (1 to 5 where 1 is highest priority) for 'Safe water' priority need requiring financial assistance [BASELINE] broken down by households with people with disabilities of group 1 or 2 on the admin of overall</t>
  </si>
  <si>
    <t>Importance rating (1 to 5 where 1 is highest priority) for 'Safe water' priority need requiring financial assistance [BASELINE] broken down by households with people with severe chronic diseases on the admin of overall</t>
  </si>
  <si>
    <t>Importance rating (1 to 5 where 1 is highest priority) for 'Safe water' priority need requiring financial assistance [BASELINE] broken down by households where all adult members are 60 y.o.+ on the admin of overall</t>
  </si>
  <si>
    <t>Importance rating (1 to 5 where 1 is highest priority) for 'Safe water' priority need requiring financial assistance [BASELINE] broken down by households headed by women on the admin of overall</t>
  </si>
  <si>
    <t>Importance rating (1 to 5 where 1 is highest priority) for 'Safe water' priority need requiring financial assistance [BASELINE] broken down by single headed households with child(ren) or older person(s) (60 y.o.+) on the admin of overall</t>
  </si>
  <si>
    <t>Importance rating (1 to 5 where 1 is highest priority) for 'Safe water' priority need requiring financial assistance [BASELINE] broken down by households displaced from the territory of active hostilities and not receiving idp payments on the admin of overall</t>
  </si>
  <si>
    <t>Importance rating (1 to 5 where 1 is highest priority) for 'Safe water' priority need requiring financial assistance [BASELINE] broken down by households evacuated from the territory of active hostilities within the last 30 days on the admin of overall</t>
  </si>
  <si>
    <t>Importance rating (1 to 5 where 1 is highest priority) for 'Safe water' priority need requiring financial assistance [BASELINE] broken down by households partially or fully damaged on the admin of overall</t>
  </si>
  <si>
    <t>Importance rating (1 to 5 where 1 is highest priority) for 'Safe water' priority need requiring financial assistance [BASELINE] broken down by households whose members were injured or killed as a result of hostilities on the admin of overall</t>
  </si>
  <si>
    <t>Importance rating (1 to 5 where 1 is highest priority) for 'Safe water' priority need requiring financial assistance [BASELINE] broken down by total eligibility quantiled on the admin of overall</t>
  </si>
  <si>
    <t>Importance rating (1 to 5 where 1 is highest priority) for 'Utilities' priority need requiring financial assistance [BASELINE] on the admin of overall</t>
  </si>
  <si>
    <t>Importance rating (1 to 5 where 1 is highest priority) for 'Utilities' priority need requiring financial assistance [BASELINE] broken down by households with 3 or more children under 18 years of age on the admin of overall</t>
  </si>
  <si>
    <t>Importance rating (1 to 5 where 1 is highest priority) for 'Utilities' priority need requiring financial assistance [BASELINE] broken down by households with children under 1 year of age on the admin of overall</t>
  </si>
  <si>
    <t>Importance rating (1 to 5 where 1 is highest priority) for 'Utilities' priority need requiring financial assistance [BASELINE] broken down by households with pregnant women on the admin of overall</t>
  </si>
  <si>
    <t>Importance rating (1 to 5 where 1 is highest priority) for 'Utilities' priority need requiring financial assistance [BASELINE] broken down by households with people with disabilities of group 1 or 2 on the admin of overall</t>
  </si>
  <si>
    <t>Importance rating (1 to 5 where 1 is highest priority) for 'Utilities' priority need requiring financial assistance [BASELINE] broken down by households with people with severe chronic diseases on the admin of overall</t>
  </si>
  <si>
    <t>Importance rating (1 to 5 where 1 is highest priority) for 'Utilities' priority need requiring financial assistance [BASELINE] broken down by households where all adult members are 60 y.o.+ on the admin of overall</t>
  </si>
  <si>
    <t>Importance rating (1 to 5 where 1 is highest priority) for 'Utilities' priority need requiring financial assistance [BASELINE] broken down by households headed by women on the admin of overall</t>
  </si>
  <si>
    <t>Importance rating (1 to 5 where 1 is highest priority) for 'Utilities' priority need requiring financial assistance [BASELINE] broken down by single headed households with child(ren) or older person(s) (60 y.o.+) on the admin of overall</t>
  </si>
  <si>
    <t>Importance rating (1 to 5 where 1 is highest priority) for 'Utilities' priority need requiring financial assistance [BASELINE] broken down by households displaced from the territory of active hostilities and not receiving idp payments on the admin of overall</t>
  </si>
  <si>
    <t>Importance rating (1 to 5 where 1 is highest priority) for 'Utilities' priority need requiring financial assistance [BASELINE] broken down by households evacuated from the territory of active hostilities within the last 30 days on the admin of overall</t>
  </si>
  <si>
    <t>Importance rating (1 to 5 where 1 is highest priority) for 'Utilities' priority need requiring financial assistance [BASELINE] broken down by households partially or fully damaged on the admin of overall</t>
  </si>
  <si>
    <t>Importance rating (1 to 5 where 1 is highest priority) for 'Utilities' priority need requiring financial assistance [BASELINE] broken down by households whose members were injured or killed as a result of hostilities on the admin of overall</t>
  </si>
  <si>
    <t>Importance rating (1 to 5 where 1 is highest priority) for 'Utilities' priority need requiring financial assistance [BASELINE] broken down by total eligibility quantiled on the admin of overall</t>
  </si>
  <si>
    <t>Importance rating (1 to 5 where 1 is highest priority) for 'Water supply' priority need requiring financial assistance [BASELINE] on the admin of overall</t>
  </si>
  <si>
    <t>Importance rating (1 to 5 where 1 is highest priority) for 'Water supply' priority need requiring financial assistance [BASELINE] broken down by households with 3 or more children under 18 years of age on the admin of overall</t>
  </si>
  <si>
    <t>Importance rating (1 to 5 where 1 is highest priority) for 'Water supply' priority need requiring financial assistance [BASELINE] broken down by households with children under 1 year of age on the admin of overall</t>
  </si>
  <si>
    <t>Importance rating (1 to 5 where 1 is highest priority) for 'Water supply' priority need requiring financial assistance [BASELINE] broken down by households with pregnant women on the admin of overall</t>
  </si>
  <si>
    <t>Importance rating (1 to 5 where 1 is highest priority) for 'Water supply' priority need requiring financial assistance [BASELINE] broken down by households with people with disabilities of group 1 or 2 on the admin of overall</t>
  </si>
  <si>
    <t>Importance rating (1 to 5 where 1 is highest priority) for 'Water supply' priority need requiring financial assistance [BASELINE] broken down by households with people with severe chronic diseases on the admin of overall</t>
  </si>
  <si>
    <t>Importance rating (1 to 5 where 1 is highest priority) for 'Water supply' priority need requiring financial assistance [BASELINE] broken down by households where all adult members are 60 y.o.+ on the admin of overall</t>
  </si>
  <si>
    <t>Importance rating (1 to 5 where 1 is highest priority) for 'Water supply' priority need requiring financial assistance [BASELINE] broken down by households headed by women on the admin of overall</t>
  </si>
  <si>
    <t>Importance rating (1 to 5 where 1 is highest priority) for 'Water supply' priority need requiring financial assistance [BASELINE] broken down by single headed households with child(ren) or older person(s) (60 y.o.+) on the admin of overall</t>
  </si>
  <si>
    <t>Importance rating (1 to 5 where 1 is highest priority) for 'Water supply' priority need requiring financial assistance [BASELINE] broken down by households displaced from the territory of active hostilities and not receiving idp payments on the admin of overall</t>
  </si>
  <si>
    <t>Importance rating (1 to 5 where 1 is highest priority) for 'Water supply' priority need requiring financial assistance [BASELINE] broken down by households evacuated from the territory of active hostilities within the last 30 days on the admin of overall</t>
  </si>
  <si>
    <t>Importance rating (1 to 5 where 1 is highest priority) for 'Water supply' priority need requiring financial assistance [BASELINE] broken down by households partially or fully damaged on the admin of overall</t>
  </si>
  <si>
    <t>Importance rating (1 to 5 where 1 is highest priority) for 'Water supply' priority need requiring financial assistance [BASELINE] broken down by households whose members were injured or killed as a result of hostilities on the admin of overall</t>
  </si>
  <si>
    <t>Importance rating (1 to 5 where 1 is highest priority) for 'Water supply' priority need requiring financial assistance [BASELINE] broken down by total eligibility quantiled on the admin of overall</t>
  </si>
  <si>
    <t>Importance rating (1 to 5 where 1 is highest priority) for 'Rent' priority need requiring financial assistance [BASELINE] on the admin of overall</t>
  </si>
  <si>
    <t>Importance rating (1 to 5 where 1 is highest priority) for 'Rent' priority need requiring financial assistance [BASELINE] broken down by households with 3 or more children under 18 years of age on the admin of overall</t>
  </si>
  <si>
    <t>Importance rating (1 to 5 where 1 is highest priority) for 'Rent' priority need requiring financial assistance [BASELINE] broken down by households with children under 1 year of age on the admin of overall</t>
  </si>
  <si>
    <t>Importance rating (1 to 5 where 1 is highest priority) for 'Rent' priority need requiring financial assistance [BASELINE] broken down by households with pregnant women on the admin of overall</t>
  </si>
  <si>
    <t>Importance rating (1 to 5 where 1 is highest priority) for 'Rent' priority need requiring financial assistance [BASELINE] broken down by households with people with disabilities of group 1 or 2 on the admin of overall</t>
  </si>
  <si>
    <t>Importance rating (1 to 5 where 1 is highest priority) for 'Rent' priority need requiring financial assistance [BASELINE] broken down by households with people with severe chronic diseases on the admin of overall</t>
  </si>
  <si>
    <t>Importance rating (1 to 5 where 1 is highest priority) for 'Rent' priority need requiring financial assistance [BASELINE] broken down by households where all adult members are 60 y.o.+ on the admin of overall</t>
  </si>
  <si>
    <t>Importance rating (1 to 5 where 1 is highest priority) for 'Rent' priority need requiring financial assistance [BASELINE] broken down by households headed by women on the admin of overall</t>
  </si>
  <si>
    <t>Importance rating (1 to 5 where 1 is highest priority) for 'Rent' priority need requiring financial assistance [BASELINE] broken down by single headed households with child(ren) or older person(s) (60 y.o.+) on the admin of overall</t>
  </si>
  <si>
    <t>Importance rating (1 to 5 where 1 is highest priority) for 'Rent' priority need requiring financial assistance [BASELINE] broken down by households displaced from the territory of active hostilities and not receiving idp payments on the admin of overall</t>
  </si>
  <si>
    <t>Importance rating (1 to 5 where 1 is highest priority) for 'Rent' priority need requiring financial assistance [BASELINE] broken down by households evacuated from the territory of active hostilities within the last 30 days on the admin of overall</t>
  </si>
  <si>
    <t>Importance rating (1 to 5 where 1 is highest priority) for 'Rent' priority need requiring financial assistance [BASELINE] broken down by households partially or fully damaged on the admin of overall</t>
  </si>
  <si>
    <t>Importance rating (1 to 5 where 1 is highest priority) for 'Rent' priority need requiring financial assistance [BASELINE] broken down by households whose members were injured or killed as a result of hostilities on the admin of overall</t>
  </si>
  <si>
    <t>Importance rating (1 to 5 where 1 is highest priority) for 'Rent' priority need requiring financial assistance [BASELINE] broken down by total eligibility quantiled on the admin of overall</t>
  </si>
  <si>
    <t>Importance rating (1 to 5 where 1 is highest priority) for 'Medication' priority need requiring financial assistance [BASELINE] on the admin of overall</t>
  </si>
  <si>
    <t>Importance rating (1 to 5 where 1 is highest priority) for 'Medication' priority need requiring financial assistance [BASELINE] broken down by households with 3 or more children under 18 years of age on the admin of overall</t>
  </si>
  <si>
    <t>Importance rating (1 to 5 where 1 is highest priority) for 'Medication' priority need requiring financial assistance [BASELINE] broken down by households with children under 1 year of age on the admin of overall</t>
  </si>
  <si>
    <t>Importance rating (1 to 5 where 1 is highest priority) for 'Medication' priority need requiring financial assistance [BASELINE] broken down by households with pregnant women on the admin of overall</t>
  </si>
  <si>
    <t>Importance rating (1 to 5 where 1 is highest priority) for 'Medication' priority need requiring financial assistance [BASELINE] broken down by households with people with disabilities of group 1 or 2 on the admin of overall</t>
  </si>
  <si>
    <t>Importance rating (1 to 5 where 1 is highest priority) for 'Medication' priority need requiring financial assistance [BASELINE] broken down by households with people with severe chronic diseases on the admin of overall</t>
  </si>
  <si>
    <t>Importance rating (1 to 5 where 1 is highest priority) for 'Medication' priority need requiring financial assistance [BASELINE] broken down by households where all adult members are 60 y.o.+ on the admin of overall</t>
  </si>
  <si>
    <t>Importance rating (1 to 5 where 1 is highest priority) for 'Medication' priority need requiring financial assistance [BASELINE] broken down by households headed by women on the admin of overall</t>
  </si>
  <si>
    <t>Importance rating (1 to 5 where 1 is highest priority) for 'Medication' priority need requiring financial assistance [BASELINE] broken down by single headed households with child(ren) or older person(s) (60 y.o.+) on the admin of overall</t>
  </si>
  <si>
    <t>Importance rating (1 to 5 where 1 is highest priority) for 'Medication' priority need requiring financial assistance [BASELINE] broken down by households displaced from the territory of active hostilities and not receiving idp payments on the admin of overall</t>
  </si>
  <si>
    <t>Importance rating (1 to 5 where 1 is highest priority) for 'Medication' priority need requiring financial assistance [BASELINE] broken down by households evacuated from the territory of active hostilities within the last 30 days on the admin of overall</t>
  </si>
  <si>
    <t>Importance rating (1 to 5 where 1 is highest priority) for 'Medication' priority need requiring financial assistance [BASELINE] broken down by households partially or fully damaged on the admin of overall</t>
  </si>
  <si>
    <t>Importance rating (1 to 5 where 1 is highest priority) for 'Medication' priority need requiring financial assistance [BASELINE] broken down by households whose members were injured or killed as a result of hostilities on the admin of overall</t>
  </si>
  <si>
    <t>Importance rating (1 to 5 where 1 is highest priority) for 'Medication' priority need requiring financial assistance [BASELINE] broken down by total eligibility quantiled on the admin of overall</t>
  </si>
  <si>
    <t>Importance rating (1 to 5 where 1 is highest priority) for 'Agricultural inputs' priority need requiring financial assistance [BASELINE] on the admin of overall</t>
  </si>
  <si>
    <t>Importance rating (1 to 5 where 1 is highest priority) for 'Agricultural inputs' priority need requiring financial assistance [BASELINE] broken down by households with 3 or more children under 18 years of age on the admin of overall</t>
  </si>
  <si>
    <t>Importance rating (1 to 5 where 1 is highest priority) for 'Agricultural inputs' priority need requiring financial assistance [BASELINE] broken down by households with children under 1 year of age on the admin of overall</t>
  </si>
  <si>
    <t>Importance rating (1 to 5 where 1 is highest priority) for 'Agricultural inputs' priority need requiring financial assistance [BASELINE] broken down by households with pregnant women on the admin of overall</t>
  </si>
  <si>
    <t>Importance rating (1 to 5 where 1 is highest priority) for 'Agricultural inputs' priority need requiring financial assistance [BASELINE] broken down by households with people with disabilities of group 1 or 2 on the admin of overall</t>
  </si>
  <si>
    <t>Importance rating (1 to 5 where 1 is highest priority) for 'Agricultural inputs' priority need requiring financial assistance [BASELINE] broken down by households with people with severe chronic diseases on the admin of overall</t>
  </si>
  <si>
    <t>Importance rating (1 to 5 where 1 is highest priority) for 'Agricultural inputs' priority need requiring financial assistance [BASELINE] broken down by households where all adult members are 60 y.o.+ on the admin of overall</t>
  </si>
  <si>
    <t>Importance rating (1 to 5 where 1 is highest priority) for 'Agricultural inputs' priority need requiring financial assistance [BASELINE] broken down by households headed by women on the admin of overall</t>
  </si>
  <si>
    <t>Importance rating (1 to 5 where 1 is highest priority) for 'Agricultural inputs' priority need requiring financial assistance [BASELINE] broken down by single headed households with child(ren) or older person(s) (60 y.o.+) on the admin of overall</t>
  </si>
  <si>
    <t>Importance rating (1 to 5 where 1 is highest priority) for 'Agricultural inputs' priority need requiring financial assistance [BASELINE] broken down by households displaced from the territory of active hostilities and not receiving idp payments on the admin of overall</t>
  </si>
  <si>
    <t>Importance rating (1 to 5 where 1 is highest priority) for 'Agricultural inputs' priority need requiring financial assistance [BASELINE] broken down by households evacuated from the territory of active hostilities within the last 30 days on the admin of overall</t>
  </si>
  <si>
    <t>Importance rating (1 to 5 where 1 is highest priority) for 'Agricultural inputs' priority need requiring financial assistance [BASELINE] broken down by households partially or fully damaged on the admin of overall</t>
  </si>
  <si>
    <t>Importance rating (1 to 5 where 1 is highest priority) for 'Agricultural inputs' priority need requiring financial assistance [BASELINE] broken down by households whose members were injured or killed as a result of hostilities on the admin of overall</t>
  </si>
  <si>
    <t>Importance rating (1 to 5 where 1 is highest priority) for 'Agricultural inputs' priority need requiring financial assistance [BASELINE] broken down by total eligibility quantiled on the admin of overall</t>
  </si>
  <si>
    <t>Importance rating (1 to 5 where 1 is highest priority) for 'Shelter maintenance' priority need requiring financial assistance [BASELINE] on the admin of overall</t>
  </si>
  <si>
    <t>Importance rating (1 to 5 where 1 is highest priority) for 'Shelter maintenance' priority need requiring financial assistance [BASELINE] broken down by households with 3 or more children under 18 years of age on the admin of overall</t>
  </si>
  <si>
    <t>Importance rating (1 to 5 where 1 is highest priority) for 'Shelter maintenance' priority need requiring financial assistance [BASELINE] broken down by households with children under 1 year of age on the admin of overall</t>
  </si>
  <si>
    <t>Importance rating (1 to 5 where 1 is highest priority) for 'Shelter maintenance' priority need requiring financial assistance [BASELINE] broken down by households with pregnant women on the admin of overall</t>
  </si>
  <si>
    <t>Importance rating (1 to 5 where 1 is highest priority) for 'Shelter maintenance' priority need requiring financial assistance [BASELINE] broken down by households with people with disabilities of group 1 or 2 on the admin of overall</t>
  </si>
  <si>
    <t>Importance rating (1 to 5 where 1 is highest priority) for 'Shelter maintenance' priority need requiring financial assistance [BASELINE] broken down by households with people with severe chronic diseases on the admin of overall</t>
  </si>
  <si>
    <t>Importance rating (1 to 5 where 1 is highest priority) for 'Shelter maintenance' priority need requiring financial assistance [BASELINE] broken down by households where all adult members are 60 y.o.+ on the admin of overall</t>
  </si>
  <si>
    <t>Importance rating (1 to 5 where 1 is highest priority) for 'Shelter maintenance' priority need requiring financial assistance [BASELINE] broken down by households headed by women on the admin of overall</t>
  </si>
  <si>
    <t>Importance rating (1 to 5 where 1 is highest priority) for 'Shelter maintenance' priority need requiring financial assistance [BASELINE] broken down by single headed households with child(ren) or older person(s) (60 y.o.+) on the admin of overall</t>
  </si>
  <si>
    <t>Importance rating (1 to 5 where 1 is highest priority) for 'Shelter maintenance' priority need requiring financial assistance [BASELINE] broken down by households displaced from the territory of active hostilities and not receiving idp payments on the admin of overall</t>
  </si>
  <si>
    <t>Importance rating (1 to 5 where 1 is highest priority) for 'Shelter maintenance' priority need requiring financial assistance [BASELINE] broken down by households evacuated from the territory of active hostilities within the last 30 days on the admin of overall</t>
  </si>
  <si>
    <t>Importance rating (1 to 5 where 1 is highest priority) for 'Shelter maintenance' priority need requiring financial assistance [BASELINE] broken down by households partially or fully damaged on the admin of overall</t>
  </si>
  <si>
    <t>Importance rating (1 to 5 where 1 is highest priority) for 'Shelter maintenance' priority need requiring financial assistance [BASELINE] broken down by households whose members were injured or killed as a result of hostilities on the admin of overall</t>
  </si>
  <si>
    <t>Importance rating (1 to 5 where 1 is highest priority) for 'Shelter maintenance' priority need requiring financial assistance [BASELINE] broken down by total eligibility quantiled on the admin of overall</t>
  </si>
  <si>
    <t>Importance rating (1 to 5 where 1 is highest priority) for 'Transportation' priority need requiring financial assistance [BASELINE] on the admin of overall</t>
  </si>
  <si>
    <t>Importance rating (1 to 5 where 1 is highest priority) for 'Transportation' priority need requiring financial assistance [BASELINE] broken down by households with 3 or more children under 18 years of age on the admin of overall</t>
  </si>
  <si>
    <t>Importance rating (1 to 5 where 1 is highest priority) for 'Transportation' priority need requiring financial assistance [BASELINE] broken down by households with children under 1 year of age on the admin of overall</t>
  </si>
  <si>
    <t>Importance rating (1 to 5 where 1 is highest priority) for 'Transportation' priority need requiring financial assistance [BASELINE] broken down by households with pregnant women on the admin of overall</t>
  </si>
  <si>
    <t>Importance rating (1 to 5 where 1 is highest priority) for 'Transportation' priority need requiring financial assistance [BASELINE] broken down by households with people with disabilities of group 1 or 2 on the admin of overall</t>
  </si>
  <si>
    <t>Importance rating (1 to 5 where 1 is highest priority) for 'Transportation' priority need requiring financial assistance [BASELINE] broken down by households with people with severe chronic diseases on the admin of overall</t>
  </si>
  <si>
    <t>Importance rating (1 to 5 where 1 is highest priority) for 'Transportation' priority need requiring financial assistance [BASELINE] broken down by households where all adult members are 60 y.o.+ on the admin of overall</t>
  </si>
  <si>
    <t>Importance rating (1 to 5 where 1 is highest priority) for 'Transportation' priority need requiring financial assistance [BASELINE] broken down by households headed by women on the admin of overall</t>
  </si>
  <si>
    <t>Importance rating (1 to 5 where 1 is highest priority) for 'Transportation' priority need requiring financial assistance [BASELINE] broken down by single headed households with child(ren) or older person(s) (60 y.o.+) on the admin of overall</t>
  </si>
  <si>
    <t>Importance rating (1 to 5 where 1 is highest priority) for 'Transportation' priority need requiring financial assistance [BASELINE] broken down by households displaced from the territory of active hostilities and not receiving idp payments on the admin of overall</t>
  </si>
  <si>
    <t>Importance rating (1 to 5 where 1 is highest priority) for 'Transportation' priority need requiring financial assistance [BASELINE] broken down by households evacuated from the territory of active hostilities within the last 30 days on the admin of overall</t>
  </si>
  <si>
    <t>Importance rating (1 to 5 where 1 is highest priority) for 'Transportation' priority need requiring financial assistance [BASELINE] broken down by households partially or fully damaged on the admin of overall</t>
  </si>
  <si>
    <t>Importance rating (1 to 5 where 1 is highest priority) for 'Transportation' priority need requiring financial assistance [BASELINE] broken down by households whose members were injured or killed as a result of hostilities on the admin of overall</t>
  </si>
  <si>
    <t>Importance rating (1 to 5 where 1 is highest priority) for 'Transportation' priority need requiring financial assistance [BASELINE] broken down by total eligibility quantiled on the admin of overall</t>
  </si>
  <si>
    <t>Importance rating (1 to 5 where 1 is highest priority) for 'Communication' priority need requiring financial assistance [BASELINE] on the admin of overall</t>
  </si>
  <si>
    <t>Importance rating (1 to 5 where 1 is highest priority) for 'Communication' priority need requiring financial assistance [BASELINE] broken down by households with 3 or more children under 18 years of age on the admin of overall</t>
  </si>
  <si>
    <t>Importance rating (1 to 5 where 1 is highest priority) for 'Communication' priority need requiring financial assistance [BASELINE] broken down by households with children under 1 year of age on the admin of overall</t>
  </si>
  <si>
    <t>Importance rating (1 to 5 where 1 is highest priority) for 'Communication' priority need requiring financial assistance [BASELINE] broken down by households with pregnant women on the admin of overall</t>
  </si>
  <si>
    <t>Importance rating (1 to 5 where 1 is highest priority) for 'Communication' priority need requiring financial assistance [BASELINE] broken down by households with people with disabilities of group 1 or 2 on the admin of overall</t>
  </si>
  <si>
    <t>Importance rating (1 to 5 where 1 is highest priority) for 'Communication' priority need requiring financial assistance [BASELINE] broken down by households with people with severe chronic diseases on the admin of overall</t>
  </si>
  <si>
    <t>Importance rating (1 to 5 where 1 is highest priority) for 'Communication' priority need requiring financial assistance [BASELINE] broken down by households where all adult members are 60 y.o.+ on the admin of overall</t>
  </si>
  <si>
    <t>Importance rating (1 to 5 where 1 is highest priority) for 'Communication' priority need requiring financial assistance [BASELINE] broken down by households headed by women on the admin of overall</t>
  </si>
  <si>
    <t>Importance rating (1 to 5 where 1 is highest priority) for 'Communication' priority need requiring financial assistance [BASELINE] broken down by single headed households with child(ren) or older person(s) (60 y.o.+) on the admin of overall</t>
  </si>
  <si>
    <t>Importance rating (1 to 5 where 1 is highest priority) for 'Communication' priority need requiring financial assistance [BASELINE] broken down by households displaced from the territory of active hostilities and not receiving idp payments on the admin of overall</t>
  </si>
  <si>
    <t>Importance rating (1 to 5 where 1 is highest priority) for 'Communication' priority need requiring financial assistance [BASELINE] broken down by households evacuated from the territory of active hostilities within the last 30 days on the admin of overall</t>
  </si>
  <si>
    <t>Importance rating (1 to 5 where 1 is highest priority) for 'Communication' priority need requiring financial assistance [BASELINE] broken down by households partially or fully damaged on the admin of overall</t>
  </si>
  <si>
    <t>Importance rating (1 to 5 where 1 is highest priority) for 'Communication' priority need requiring financial assistance [BASELINE] broken down by households whose members were injured or killed as a result of hostilities on the admin of overall</t>
  </si>
  <si>
    <t>Importance rating (1 to 5 where 1 is highest priority) for 'Communication' priority need requiring financial assistance [BASELINE] broken down by total eligibility quantiled on the admin of overall</t>
  </si>
  <si>
    <t>Importance rating (1 to 5 where 1 is highest priority) for 'Education materials' priority need requiring financial assistance [BASELINE] on the admin of overall</t>
  </si>
  <si>
    <t>Importance rating (1 to 5 where 1 is highest priority) for 'Education materials' priority need requiring financial assistance [BASELINE] broken down by households with 3 or more children under 18 years of age on the admin of overall</t>
  </si>
  <si>
    <t>Importance rating (1 to 5 where 1 is highest priority) for 'Education materials' priority need requiring financial assistance [BASELINE] broken down by households with children under 1 year of age on the admin of overall</t>
  </si>
  <si>
    <t>Importance rating (1 to 5 where 1 is highest priority) for 'Education materials' priority need requiring financial assistance [BASELINE] broken down by households with pregnant women on the admin of overall</t>
  </si>
  <si>
    <t>Importance rating (1 to 5 where 1 is highest priority) for 'Education materials' priority need requiring financial assistance [BASELINE] broken down by households with people with disabilities of group 1 or 2 on the admin of overall</t>
  </si>
  <si>
    <t>Importance rating (1 to 5 where 1 is highest priority) for 'Education materials' priority need requiring financial assistance [BASELINE] broken down by households with people with severe chronic diseases on the admin of overall</t>
  </si>
  <si>
    <t>Importance rating (1 to 5 where 1 is highest priority) for 'Education materials' priority need requiring financial assistance [BASELINE] broken down by households where all adult members are 60 y.o.+ on the admin of overall</t>
  </si>
  <si>
    <t>Importance rating (1 to 5 where 1 is highest priority) for 'Education materials' priority need requiring financial assistance [BASELINE] broken down by households headed by women on the admin of overall</t>
  </si>
  <si>
    <t>Importance rating (1 to 5 where 1 is highest priority) for 'Education materials' priority need requiring financial assistance [BASELINE] broken down by single headed households with child(ren) or older person(s) (60 y.o.+) on the admin of overall</t>
  </si>
  <si>
    <t>Importance rating (1 to 5 where 1 is highest priority) for 'Education materials' priority need requiring financial assistance [BASELINE] broken down by households displaced from the territory of active hostilities and not receiving idp payments on the admin of overall</t>
  </si>
  <si>
    <t>Importance rating (1 to 5 where 1 is highest priority) for 'Education materials' priority need requiring financial assistance [BASELINE] broken down by households evacuated from the territory of active hostilities within the last 30 days on the admin of overall</t>
  </si>
  <si>
    <t>Importance rating (1 to 5 where 1 is highest priority) for 'Education materials' priority need requiring financial assistance [BASELINE] broken down by households partially or fully damaged on the admin of overall</t>
  </si>
  <si>
    <t>Importance rating (1 to 5 where 1 is highest priority) for 'Education materials' priority need requiring financial assistance [BASELINE] broken down by households whose members were injured or killed as a result of hostilities on the admin of overall</t>
  </si>
  <si>
    <t>Importance rating (1 to 5 where 1 is highest priority) for 'Education materials' priority need requiring financial assistance [BASELINE] broken down by total eligibility quantiled on the admin of overall</t>
  </si>
  <si>
    <t>Household needs met exclusively due to MPCA and their fulfillment level [ENDLINE] on the admin of overall</t>
  </si>
  <si>
    <t>Household needs met exclusively due to MPCA and their fulfillment level [ENDLINE] broken down by households with 3 or more children under 18 years of age on the admin of overall</t>
  </si>
  <si>
    <t>Household needs met exclusively due to MPCA and their fulfillment level [ENDLINE] broken down by households with children under 1 year of age on the admin of overall</t>
  </si>
  <si>
    <t>Household needs met exclusively due to MPCA and their fulfillment level [ENDLINE] broken down by households with pregnant women on the admin of overall</t>
  </si>
  <si>
    <t>Household needs met exclusively due to MPCA and their fulfillment level [ENDLINE] broken down by households with people with disabilities of group 1 or 2 on the admin of overall</t>
  </si>
  <si>
    <t>Household needs met exclusively due to MPCA and their fulfillment level [ENDLINE] broken down by households with people with severe chronic diseases on the admin of overall</t>
  </si>
  <si>
    <t>Household needs met exclusively due to MPCA and their fulfillment level [ENDLINE] broken down by households where all adult members are 60 y.o.+ on the admin of overall</t>
  </si>
  <si>
    <t>Household needs met exclusively due to MPCA and their fulfillment level [ENDLINE] broken down by households headed by women on the admin of overall</t>
  </si>
  <si>
    <t>Household needs met exclusively due to MPCA and their fulfillment level [ENDLINE] broken down by single headed households with child(ren) or older person(s) (60 y.o.+) on the admin of overall</t>
  </si>
  <si>
    <t>Household needs met exclusively due to MPCA and their fulfillment level [ENDLINE] broken down by households displaced from the territory of active hostilities and not receiving idp payments on the admin of overall</t>
  </si>
  <si>
    <t>Household needs met exclusively due to MPCA and their fulfillment level [ENDLINE] broken down by households evacuated from the territory of active hostilities within the last 30 days on the admin of overall</t>
  </si>
  <si>
    <t>Household needs met exclusively due to MPCA and their fulfillment level [ENDLINE] broken down by households partially or fully damaged on the admin of overall</t>
  </si>
  <si>
    <t>Household needs met exclusively due to MPCA and their fulfillment level [ENDLINE] broken down by households whose members were injured or killed as a result of hostilities on the admin of overall</t>
  </si>
  <si>
    <t>Household needs met exclusively due to MPCA and their fulfillment level [ENDLINE] broken down by total eligibility quantiled on the admin of overall</t>
  </si>
  <si>
    <t>Fulfillment level of 'Other' need met exclusively due to MPCA [ENDLINE] on the admin of overall</t>
  </si>
  <si>
    <t>Fully cover</t>
  </si>
  <si>
    <t>Half cover</t>
  </si>
  <si>
    <t>Mostly cover</t>
  </si>
  <si>
    <t>Fulfillment level of 'Other' need met exclusively due to MPCA [ENDLINE] broken down by households with 3 or more children under 18 years of age on the admin of overall</t>
  </si>
  <si>
    <t>Fulfillment level of 'Other' need met exclusively due to MPCA [ENDLINE] broken down by households with children under 1 year of age on the admin of overall</t>
  </si>
  <si>
    <t>Fulfillment level of 'Other' need met exclusively due to MPCA [ENDLINE] broken down by households with pregnant women on the admin of overall</t>
  </si>
  <si>
    <t>Fulfillment level of 'Other' need met exclusively due to MPCA [ENDLINE] broken down by households with people with disabilities of group 1 or 2 on the admin of overall</t>
  </si>
  <si>
    <t>Fulfillment level of 'Other' need met exclusively due to MPCA [ENDLINE] broken down by households with people with severe chronic diseases on the admin of overall</t>
  </si>
  <si>
    <t>Fulfillment level of 'Other' need met exclusively due to MPCA [ENDLINE] broken down by households where all adult members are 60 y.o.+ on the admin of overall</t>
  </si>
  <si>
    <t>Fulfillment level of 'Other' need met exclusively due to MPCA [ENDLINE] broken down by households headed by women on the admin of overall</t>
  </si>
  <si>
    <t>Fulfillment level of 'Other' need met exclusively due to MPCA [ENDLINE] broken down by single headed households with child(ren) or older person(s) (60 y.o.+) on the admin of overall</t>
  </si>
  <si>
    <t>Fulfillment level of 'Other' need met exclusively due to MPCA [ENDLINE] broken down by households displaced from the territory of active hostilities and not receiving idp payments on the admin of overall</t>
  </si>
  <si>
    <t>Fulfillment level of 'Other' need met exclusively due to MPCA [ENDLINE] broken down by households evacuated from the territory of active hostilities within the last 30 days on the admin of overall</t>
  </si>
  <si>
    <t>Fulfillment level of 'Other' need met exclusively due to MPCA [ENDLINE] broken down by households partially or fully damaged on the admin of overall</t>
  </si>
  <si>
    <t>Fulfillment level of 'Other' need met exclusively due to MPCA [ENDLINE] broken down by households whose members were injured or killed as a result of hostilities on the admin of overall</t>
  </si>
  <si>
    <t>Fulfillment level of 'Other' need met exclusively due to MPCA [ENDLINE] broken down by total eligibility quantiled on the admin of overall</t>
  </si>
  <si>
    <t>Fulfillment level of 'Food' need met exclusively due to MPCA [ENDLINE] on the admin of overall</t>
  </si>
  <si>
    <t>Almost all cover</t>
  </si>
  <si>
    <t>Some cover</t>
  </si>
  <si>
    <t>Fulfillment level of 'Food' need met exclusively due to MPCA [ENDLINE] broken down by households with 3 or more children under 18 years of age on the admin of overall</t>
  </si>
  <si>
    <t>Fulfillment level of 'Food' need met exclusively due to MPCA [ENDLINE] broken down by households with children under 1 year of age on the admin of overall</t>
  </si>
  <si>
    <t>Fulfillment level of 'Food' need met exclusively due to MPCA [ENDLINE] broken down by households with pregnant women on the admin of overall</t>
  </si>
  <si>
    <t>Fulfillment level of 'Food' need met exclusively due to MPCA [ENDLINE] broken down by households with people with disabilities of group 1 or 2 on the admin of overall</t>
  </si>
  <si>
    <t>Fulfillment level of 'Food' need met exclusively due to MPCA [ENDLINE] broken down by households with people with severe chronic diseases on the admin of overall</t>
  </si>
  <si>
    <t>Fulfillment level of 'Food' need met exclusively due to MPCA [ENDLINE] broken down by households where all adult members are 60 y.o.+ on the admin of overall</t>
  </si>
  <si>
    <t>Fulfillment level of 'Food' need met exclusively due to MPCA [ENDLINE] broken down by households headed by women on the admin of overall</t>
  </si>
  <si>
    <t>Fulfillment level of 'Food' need met exclusively due to MPCA [ENDLINE] broken down by single headed households with child(ren) or older person(s) (60 y.o.+) on the admin of overall</t>
  </si>
  <si>
    <t>Fulfillment level of 'Food' need met exclusively due to MPCA [ENDLINE] broken down by households displaced from the territory of active hostilities and not receiving idp payments on the admin of overall</t>
  </si>
  <si>
    <t>Fulfillment level of 'Food' need met exclusively due to MPCA [ENDLINE] broken down by households evacuated from the territory of active hostilities within the last 30 days on the admin of overall</t>
  </si>
  <si>
    <t>Fulfillment level of 'Food' need met exclusively due to MPCA [ENDLINE] broken down by households partially or fully damaged on the admin of overall</t>
  </si>
  <si>
    <t>Fulfillment level of 'Food' need met exclusively due to MPCA [ENDLINE] broken down by households whose members were injured or killed as a result of hostilities on the admin of overall</t>
  </si>
  <si>
    <t>Fulfillment level of 'Food' need met exclusively due to MPCA [ENDLINE] broken down by total eligibility quantiled on the admin of overall</t>
  </si>
  <si>
    <t>Fulfillment level of 'Personal hygiene' need met exclusively due to MPCA [ENDLINE] on the admin of overall</t>
  </si>
  <si>
    <t>Minor cover</t>
  </si>
  <si>
    <t>Fulfillment level of 'Personal hygiene' need met exclusively due to MPCA [ENDLINE] broken down by households with 3 or more children under 18 years of age on the admin of overall</t>
  </si>
  <si>
    <t>Fulfillment level of 'Personal hygiene' need met exclusively due to MPCA [ENDLINE] broken down by households with children under 1 year of age on the admin of overall</t>
  </si>
  <si>
    <t>Fulfillment level of 'Personal hygiene' need met exclusively due to MPCA [ENDLINE] broken down by households with pregnant women on the admin of overall</t>
  </si>
  <si>
    <t>Fulfillment level of 'Personal hygiene' need met exclusively due to MPCA [ENDLINE] broken down by households with people with disabilities of group 1 or 2 on the admin of overall</t>
  </si>
  <si>
    <t>Fulfillment level of 'Personal hygiene' need met exclusively due to MPCA [ENDLINE] broken down by households with people with severe chronic diseases on the admin of overall</t>
  </si>
  <si>
    <t>Fulfillment level of 'Personal hygiene' need met exclusively due to MPCA [ENDLINE] broken down by households where all adult members are 60 y.o.+ on the admin of overall</t>
  </si>
  <si>
    <t>Fulfillment level of 'Personal hygiene' need met exclusively due to MPCA [ENDLINE] broken down by households headed by women on the admin of overall</t>
  </si>
  <si>
    <t>Fulfillment level of 'Personal hygiene' need met exclusively due to MPCA [ENDLINE] broken down by single headed households with child(ren) or older person(s) (60 y.o.+) on the admin of overall</t>
  </si>
  <si>
    <t>Fulfillment level of 'Personal hygiene' need met exclusively due to MPCA [ENDLINE] broken down by households displaced from the territory of active hostilities and not receiving idp payments on the admin of overall</t>
  </si>
  <si>
    <t>Fulfillment level of 'Personal hygiene' need met exclusively due to MPCA [ENDLINE] broken down by households evacuated from the territory of active hostilities within the last 30 days on the admin of overall</t>
  </si>
  <si>
    <t>Fulfillment level of 'Personal hygiene' need met exclusively due to MPCA [ENDLINE] broken down by households partially or fully damaged on the admin of overall</t>
  </si>
  <si>
    <t>Fulfillment level of 'Personal hygiene' need met exclusively due to MPCA [ENDLINE] broken down by households whose members were injured or killed as a result of hostilities on the admin of overall</t>
  </si>
  <si>
    <t>Fulfillment level of 'Personal hygiene' need met exclusively due to MPCA [ENDLINE] broken down by total eligibility quantiled on the admin of overall</t>
  </si>
  <si>
    <t>Fulfillment level of 'Cleaning items' need met exclusively due to MPCA [ENDLINE] on the admin of overall</t>
  </si>
  <si>
    <t>Fulfillment level of 'Cleaning items' need met exclusively due to MPCA [ENDLINE] broken down by households with 3 or more children under 18 years of age on the admin of overall</t>
  </si>
  <si>
    <t>Fulfillment level of 'Cleaning items' need met exclusively due to MPCA [ENDLINE] broken down by households with children under 1 year of age on the admin of overall</t>
  </si>
  <si>
    <t>Fulfillment level of 'Cleaning items' need met exclusively due to MPCA [ENDLINE] broken down by households with pregnant women on the admin of overall</t>
  </si>
  <si>
    <t>Fulfillment level of 'Cleaning items' need met exclusively due to MPCA [ENDLINE] broken down by households with people with disabilities of group 1 or 2 on the admin of overall</t>
  </si>
  <si>
    <t>Fulfillment level of 'Cleaning items' need met exclusively due to MPCA [ENDLINE] broken down by households with people with severe chronic diseases on the admin of overall</t>
  </si>
  <si>
    <t>Fulfillment level of 'Cleaning items' need met exclusively due to MPCA [ENDLINE] broken down by households where all adult members are 60 y.o.+ on the admin of overall</t>
  </si>
  <si>
    <t>Fulfillment level of 'Cleaning items' need met exclusively due to MPCA [ENDLINE] broken down by households headed by women on the admin of overall</t>
  </si>
  <si>
    <t>Fulfillment level of 'Cleaning items' need met exclusively due to MPCA [ENDLINE] broken down by single headed households with child(ren) or older person(s) (60 y.o.+) on the admin of overall</t>
  </si>
  <si>
    <t>Fulfillment level of 'Cleaning items' need met exclusively due to MPCA [ENDLINE] broken down by households displaced from the territory of active hostilities and not receiving idp payments on the admin of overall</t>
  </si>
  <si>
    <t>Fulfillment level of 'Cleaning items' need met exclusively due to MPCA [ENDLINE] broken down by households evacuated from the territory of active hostilities within the last 30 days on the admin of overall</t>
  </si>
  <si>
    <t>Fulfillment level of 'Cleaning items' need met exclusively due to MPCA [ENDLINE] broken down by households partially or fully damaged on the admin of overall</t>
  </si>
  <si>
    <t>Fulfillment level of 'Cleaning items' need met exclusively due to MPCA [ENDLINE] broken down by households whose members were injured or killed as a result of hostilities on the admin of overall</t>
  </si>
  <si>
    <t>Fulfillment level of 'Cleaning items' need met exclusively due to MPCA [ENDLINE] broken down by total eligibility quantiled on the admin of overall</t>
  </si>
  <si>
    <t>Fulfillment level of 'Non-food items' need met exclusively due to MPCA [ENDLINE] on the admin of overall</t>
  </si>
  <si>
    <t>Fulfillment level of 'Non-food items' need met exclusively due to MPCA [ENDLINE] broken down by households with 3 or more children under 18 years of age on the admin of overall</t>
  </si>
  <si>
    <t>Fulfillment level of 'Non-food items' need met exclusively due to MPCA [ENDLINE] broken down by households with children under 1 year of age on the admin of overall</t>
  </si>
  <si>
    <t>Fulfillment level of 'Non-food items' need met exclusively due to MPCA [ENDLINE] broken down by households with pregnant women on the admin of overall</t>
  </si>
  <si>
    <t>Fulfillment level of 'Non-food items' need met exclusively due to MPCA [ENDLINE] broken down by households with people with disabilities of group 1 or 2 on the admin of overall</t>
  </si>
  <si>
    <t>Fulfillment level of 'Non-food items' need met exclusively due to MPCA [ENDLINE] broken down by households with people with severe chronic diseases on the admin of overall</t>
  </si>
  <si>
    <t>Fulfillment level of 'Non-food items' need met exclusively due to MPCA [ENDLINE] broken down by households where all adult members are 60 y.o.+ on the admin of overall</t>
  </si>
  <si>
    <t>Fulfillment level of 'Non-food items' need met exclusively due to MPCA [ENDLINE] broken down by households headed by women on the admin of overall</t>
  </si>
  <si>
    <t>Fulfillment level of 'Non-food items' need met exclusively due to MPCA [ENDLINE] broken down by single headed households with child(ren) or older person(s) (60 y.o.+) on the admin of overall</t>
  </si>
  <si>
    <t>Fulfillment level of 'Non-food items' need met exclusively due to MPCA [ENDLINE] broken down by households displaced from the territory of active hostilities and not receiving idp payments on the admin of overall</t>
  </si>
  <si>
    <t>Fulfillment level of 'Non-food items' need met exclusively due to MPCA [ENDLINE] broken down by households evacuated from the territory of active hostilities within the last 30 days on the admin of overall</t>
  </si>
  <si>
    <t>Fulfillment level of 'Non-food items' need met exclusively due to MPCA [ENDLINE] broken down by households partially or fully damaged on the admin of overall</t>
  </si>
  <si>
    <t>Fulfillment level of 'Non-food items' need met exclusively due to MPCA [ENDLINE] broken down by households whose members were injured or killed as a result of hostilities on the admin of overall</t>
  </si>
  <si>
    <t>Fulfillment level of 'Non-food items' need met exclusively due to MPCA [ENDLINE] broken down by total eligibility quantiled on the admin of overall</t>
  </si>
  <si>
    <t>Fulfillment level of 'Clothing and shoes' need met exclusively due to MPCA [ENDLINE] on the admin of overall</t>
  </si>
  <si>
    <t>Fulfillment level of 'Clothing and shoes' need met exclusively due to MPCA [ENDLINE] broken down by households with 3 or more children under 18 years of age on the admin of overall</t>
  </si>
  <si>
    <t>Fulfillment level of 'Clothing and shoes' need met exclusively due to MPCA [ENDLINE] broken down by households with children under 1 year of age on the admin of overall</t>
  </si>
  <si>
    <t>Fulfillment level of 'Clothing and shoes' need met exclusively due to MPCA [ENDLINE] broken down by households with pregnant women on the admin of overall</t>
  </si>
  <si>
    <t>Fulfillment level of 'Clothing and shoes' need met exclusively due to MPCA [ENDLINE] broken down by households with people with disabilities of group 1 or 2 on the admin of overall</t>
  </si>
  <si>
    <t>Fulfillment level of 'Clothing and shoes' need met exclusively due to MPCA [ENDLINE] broken down by households with people with severe chronic diseases on the admin of overall</t>
  </si>
  <si>
    <t>Fulfillment level of 'Clothing and shoes' need met exclusively due to MPCA [ENDLINE] broken down by households where all adult members are 60 y.o.+ on the admin of overall</t>
  </si>
  <si>
    <t>Fulfillment level of 'Clothing and shoes' need met exclusively due to MPCA [ENDLINE] broken down by households headed by women on the admin of overall</t>
  </si>
  <si>
    <t>Fulfillment level of 'Clothing and shoes' need met exclusively due to MPCA [ENDLINE] broken down by single headed households with child(ren) or older person(s) (60 y.o.+) on the admin of overall</t>
  </si>
  <si>
    <t>Fulfillment level of 'Clothing and shoes' need met exclusively due to MPCA [ENDLINE] broken down by households displaced from the territory of active hostilities and not receiving idp payments on the admin of overall</t>
  </si>
  <si>
    <t>Fulfillment level of 'Clothing and shoes' need met exclusively due to MPCA [ENDLINE] broken down by households evacuated from the territory of active hostilities within the last 30 days on the admin of overall</t>
  </si>
  <si>
    <t>Fulfillment level of 'Clothing and shoes' need met exclusively due to MPCA [ENDLINE] broken down by households partially or fully damaged on the admin of overall</t>
  </si>
  <si>
    <t>Fulfillment level of 'Clothing and shoes' need met exclusively due to MPCA [ENDLINE] broken down by households whose members were injured or killed as a result of hostilities on the admin of overall</t>
  </si>
  <si>
    <t>Fulfillment level of 'Clothing and shoes' need met exclusively due to MPCA [ENDLINE] broken down by total eligibility quantiled on the admin of overall</t>
  </si>
  <si>
    <t>Fulfillment level of 'Heating fuel' need met exclusively due to MPCA [ENDLINE] on the admin of overall</t>
  </si>
  <si>
    <t>Fulfillment level of 'Heating fuel' need met exclusively due to MPCA [ENDLINE] broken down by households with 3 or more children under 18 years of age on the admin of overall</t>
  </si>
  <si>
    <t>Fulfillment level of 'Heating fuel' need met exclusively due to MPCA [ENDLINE] broken down by households with children under 1 year of age on the admin of overall</t>
  </si>
  <si>
    <t>Fulfillment level of 'Heating fuel' need met exclusively due to MPCA [ENDLINE] broken down by households with pregnant women on the admin of overall</t>
  </si>
  <si>
    <t>Fulfillment level of 'Heating fuel' need met exclusively due to MPCA [ENDLINE] broken down by households with people with disabilities of group 1 or 2 on the admin of overall</t>
  </si>
  <si>
    <t>Fulfillment level of 'Heating fuel' need met exclusively due to MPCA [ENDLINE] broken down by households with people with severe chronic diseases on the admin of overall</t>
  </si>
  <si>
    <t>Fulfillment level of 'Heating fuel' need met exclusively due to MPCA [ENDLINE] broken down by households where all adult members are 60 y.o.+ on the admin of overall</t>
  </si>
  <si>
    <t>Fulfillment level of 'Heating fuel' need met exclusively due to MPCA [ENDLINE] broken down by households headed by women on the admin of overall</t>
  </si>
  <si>
    <t>Fulfillment level of 'Heating fuel' need met exclusively due to MPCA [ENDLINE] broken down by single headed households with child(ren) or older person(s) (60 y.o.+) on the admin of overall</t>
  </si>
  <si>
    <t>Fulfillment level of 'Heating fuel' need met exclusively due to MPCA [ENDLINE] broken down by households displaced from the territory of active hostilities and not receiving idp payments on the admin of overall</t>
  </si>
  <si>
    <t>Fulfillment level of 'Heating fuel' need met exclusively due to MPCA [ENDLINE] broken down by households evacuated from the territory of active hostilities within the last 30 days on the admin of overall</t>
  </si>
  <si>
    <t>Fulfillment level of 'Heating fuel' need met exclusively due to MPCA [ENDLINE] broken down by households partially or fully damaged on the admin of overall</t>
  </si>
  <si>
    <t>Fulfillment level of 'Heating fuel' need met exclusively due to MPCA [ENDLINE] broken down by households whose members were injured or killed as a result of hostilities on the admin of overall</t>
  </si>
  <si>
    <t>Fulfillment level of 'Heating fuel' need met exclusively due to MPCA [ENDLINE] broken down by total eligibility quantiled on the admin of overall</t>
  </si>
  <si>
    <t>Fulfillment level of 'Safe water' need met exclusively due to MPCA [ENDLINE] on the admin of overall</t>
  </si>
  <si>
    <t>Fulfillment level of 'Safe water' need met exclusively due to MPCA [ENDLINE] broken down by households with 3 or more children under 18 years of age on the admin of overall</t>
  </si>
  <si>
    <t>Fulfillment level of 'Safe water' need met exclusively due to MPCA [ENDLINE] broken down by households with children under 1 year of age on the admin of overall</t>
  </si>
  <si>
    <t>Fulfillment level of 'Safe water' need met exclusively due to MPCA [ENDLINE] broken down by households with pregnant women on the admin of overall</t>
  </si>
  <si>
    <t>Fulfillment level of 'Safe water' need met exclusively due to MPCA [ENDLINE] broken down by households with people with disabilities of group 1 or 2 on the admin of overall</t>
  </si>
  <si>
    <t>Fulfillment level of 'Safe water' need met exclusively due to MPCA [ENDLINE] broken down by households with people with severe chronic diseases on the admin of overall</t>
  </si>
  <si>
    <t>Fulfillment level of 'Safe water' need met exclusively due to MPCA [ENDLINE] broken down by households where all adult members are 60 y.o.+ on the admin of overall</t>
  </si>
  <si>
    <t>Fulfillment level of 'Safe water' need met exclusively due to MPCA [ENDLINE] broken down by households headed by women on the admin of overall</t>
  </si>
  <si>
    <t>Fulfillment level of 'Safe water' need met exclusively due to MPCA [ENDLINE] broken down by single headed households with child(ren) or older person(s) (60 y.o.+) on the admin of overall</t>
  </si>
  <si>
    <t>Fulfillment level of 'Safe water' need met exclusively due to MPCA [ENDLINE] broken down by households displaced from the territory of active hostilities and not receiving idp payments on the admin of overall</t>
  </si>
  <si>
    <t>Fulfillment level of 'Safe water' need met exclusively due to MPCA [ENDLINE] broken down by households evacuated from the territory of active hostilities within the last 30 days on the admin of overall</t>
  </si>
  <si>
    <t>Fulfillment level of 'Safe water' need met exclusively due to MPCA [ENDLINE] broken down by households partially or fully damaged on the admin of overall</t>
  </si>
  <si>
    <t>Fulfillment level of 'Safe water' need met exclusively due to MPCA [ENDLINE] broken down by households whose members were injured or killed as a result of hostilities on the admin of overall</t>
  </si>
  <si>
    <t>Fulfillment level of 'Safe water' need met exclusively due to MPCA [ENDLINE] broken down by total eligibility quantiled on the admin of overall</t>
  </si>
  <si>
    <t>Fulfillment level of 'Utilities' need met exclusively due to MPCA [ENDLINE] on the admin of overall</t>
  </si>
  <si>
    <t>Fulfillment level of 'Utilities' need met exclusively due to MPCA [ENDLINE] broken down by households with 3 or more children under 18 years of age on the admin of overall</t>
  </si>
  <si>
    <t>Fulfillment level of 'Utilities' need met exclusively due to MPCA [ENDLINE] broken down by households with children under 1 year of age on the admin of overall</t>
  </si>
  <si>
    <t>Fulfillment level of 'Utilities' need met exclusively due to MPCA [ENDLINE] broken down by households with pregnant women on the admin of overall</t>
  </si>
  <si>
    <t>Fulfillment level of 'Utilities' need met exclusively due to MPCA [ENDLINE] broken down by households with people with disabilities of group 1 or 2 on the admin of overall</t>
  </si>
  <si>
    <t>Fulfillment level of 'Utilities' need met exclusively due to MPCA [ENDLINE] broken down by households with people with severe chronic diseases on the admin of overall</t>
  </si>
  <si>
    <t>Fulfillment level of 'Utilities' need met exclusively due to MPCA [ENDLINE] broken down by households where all adult members are 60 y.o.+ on the admin of overall</t>
  </si>
  <si>
    <t>Fulfillment level of 'Utilities' need met exclusively due to MPCA [ENDLINE] broken down by households headed by women on the admin of overall</t>
  </si>
  <si>
    <t>Fulfillment level of 'Utilities' need met exclusively due to MPCA [ENDLINE] broken down by single headed households with child(ren) or older person(s) (60 y.o.+) on the admin of overall</t>
  </si>
  <si>
    <t>Fulfillment level of 'Utilities' need met exclusively due to MPCA [ENDLINE] broken down by households displaced from the territory of active hostilities and not receiving idp payments on the admin of overall</t>
  </si>
  <si>
    <t>Fulfillment level of 'Utilities' need met exclusively due to MPCA [ENDLINE] broken down by households evacuated from the territory of active hostilities within the last 30 days on the admin of overall</t>
  </si>
  <si>
    <t>Fulfillment level of 'Utilities' need met exclusively due to MPCA [ENDLINE] broken down by households partially or fully damaged on the admin of overall</t>
  </si>
  <si>
    <t>Fulfillment level of 'Utilities' need met exclusively due to MPCA [ENDLINE] broken down by households whose members were injured or killed as a result of hostilities on the admin of overall</t>
  </si>
  <si>
    <t>Fulfillment level of 'Utilities' need met exclusively due to MPCA [ENDLINE] broken down by total eligibility quantiled on the admin of overall</t>
  </si>
  <si>
    <t>Fulfillment level of 'Water supply' need met exclusively due to MPCA [ENDLINE] on the admin of overall</t>
  </si>
  <si>
    <t>minor_cover</t>
  </si>
  <si>
    <t>Fulfillment level of 'Water supply' need met exclusively due to MPCA [ENDLINE] broken down by households with 3 or more children under 18 years of age on the admin of overall</t>
  </si>
  <si>
    <t>Fulfillment level of 'Water supply' need met exclusively due to MPCA [ENDLINE] broken down by households with children under 1 year of age on the admin of overall</t>
  </si>
  <si>
    <t>Fulfillment level of 'Water supply' need met exclusively due to MPCA [ENDLINE] broken down by households with pregnant women on the admin of overall</t>
  </si>
  <si>
    <t>Fulfillment level of 'Water supply' need met exclusively due to MPCA [ENDLINE] broken down by households with people with disabilities of group 1 or 2 on the admin of overall</t>
  </si>
  <si>
    <t>Fulfillment level of 'Water supply' need met exclusively due to MPCA [ENDLINE] broken down by households with people with severe chronic diseases on the admin of overall</t>
  </si>
  <si>
    <t>Fulfillment level of 'Water supply' need met exclusively due to MPCA [ENDLINE] broken down by households where all adult members are 60 y.o.+ on the admin of overall</t>
  </si>
  <si>
    <t>Fulfillment level of 'Water supply' need met exclusively due to MPCA [ENDLINE] broken down by households headed by women on the admin of overall</t>
  </si>
  <si>
    <t>Fulfillment level of 'Water supply' need met exclusively due to MPCA [ENDLINE] broken down by single headed households with child(ren) or older person(s) (60 y.o.+) on the admin of overall</t>
  </si>
  <si>
    <t>Fulfillment level of 'Water supply' need met exclusively due to MPCA [ENDLINE] broken down by households displaced from the territory of active hostilities and not receiving idp payments on the admin of overall</t>
  </si>
  <si>
    <t>Fulfillment level of 'Water supply' need met exclusively due to MPCA [ENDLINE] broken down by households evacuated from the territory of active hostilities within the last 30 days on the admin of overall</t>
  </si>
  <si>
    <t>Fulfillment level of 'Water supply' need met exclusively due to MPCA [ENDLINE] broken down by households partially or fully damaged on the admin of overall</t>
  </si>
  <si>
    <t>Fulfillment level of 'Water supply' need met exclusively due to MPCA [ENDLINE] broken down by households whose members were injured or killed as a result of hostilities on the admin of overall</t>
  </si>
  <si>
    <t>Fulfillment level of 'Water supply' need met exclusively due to MPCA [ENDLINE] broken down by total eligibility quantiled on the admin of overall</t>
  </si>
  <si>
    <t>Fulfillment level of 'Rent' need met exclusively due to MPCA [ENDLINE] on the admin of overall</t>
  </si>
  <si>
    <t>Fulfillment level of 'Rent' need met exclusively due to MPCA [ENDLINE] broken down by households with 3 or more children under 18 years of age on the admin of overall</t>
  </si>
  <si>
    <t>Fulfillment level of 'Rent' need met exclusively due to MPCA [ENDLINE] broken down by households with children under 1 year of age on the admin of overall</t>
  </si>
  <si>
    <t>Fulfillment level of 'Rent' need met exclusively due to MPCA [ENDLINE] broken down by households with pregnant women on the admin of overall</t>
  </si>
  <si>
    <t>Fulfillment level of 'Rent' need met exclusively due to MPCA [ENDLINE] broken down by households with people with disabilities of group 1 or 2 on the admin of overall</t>
  </si>
  <si>
    <t>Fulfillment level of 'Rent' need met exclusively due to MPCA [ENDLINE] broken down by households with people with severe chronic diseases on the admin of overall</t>
  </si>
  <si>
    <t>Fulfillment level of 'Rent' need met exclusively due to MPCA [ENDLINE] broken down by households where all adult members are 60 y.o.+ on the admin of overall</t>
  </si>
  <si>
    <t>Fulfillment level of 'Rent' need met exclusively due to MPCA [ENDLINE] broken down by households headed by women on the admin of overall</t>
  </si>
  <si>
    <t>Fulfillment level of 'Rent' need met exclusively due to MPCA [ENDLINE] broken down by single headed households with child(ren) or older person(s) (60 y.o.+) on the admin of overall</t>
  </si>
  <si>
    <t>Fulfillment level of 'Rent' need met exclusively due to MPCA [ENDLINE] broken down by households displaced from the territory of active hostilities and not receiving idp payments on the admin of overall</t>
  </si>
  <si>
    <t>Fulfillment level of 'Rent' need met exclusively due to MPCA [ENDLINE] broken down by households evacuated from the territory of active hostilities within the last 30 days on the admin of overall</t>
  </si>
  <si>
    <t>Fulfillment level of 'Rent' need met exclusively due to MPCA [ENDLINE] broken down by households partially or fully damaged on the admin of overall</t>
  </si>
  <si>
    <t>Fulfillment level of 'Rent' need met exclusively due to MPCA [ENDLINE] broken down by households whose members were injured or killed as a result of hostilities on the admin of overall</t>
  </si>
  <si>
    <t>Fulfillment level of 'Rent' need met exclusively due to MPCA [ENDLINE] broken down by total eligibility quantiled on the admin of overall</t>
  </si>
  <si>
    <t>Fulfillment level of 'Assistive products' need met exclusively due to MPCA [ENDLINE] on the admin of overall</t>
  </si>
  <si>
    <t>Fulfillment level of 'Assistive products' need met exclusively due to MPCA [ENDLINE] broken down by households with 3 or more children under 18 years of age on the admin of overall</t>
  </si>
  <si>
    <t>Fulfillment level of 'Assistive products' need met exclusively due to MPCA [ENDLINE] broken down by households with children under 1 year of age on the admin of overall</t>
  </si>
  <si>
    <t>Fulfillment level of 'Assistive products' need met exclusively due to MPCA [ENDLINE] broken down by households with pregnant women on the admin of overall</t>
  </si>
  <si>
    <t>Fulfillment level of 'Assistive products' need met exclusively due to MPCA [ENDLINE] broken down by households with people with disabilities of group 1 or 2 on the admin of overall</t>
  </si>
  <si>
    <t>Fulfillment level of 'Assistive products' need met exclusively due to MPCA [ENDLINE] broken down by households with people with severe chronic diseases on the admin of overall</t>
  </si>
  <si>
    <t>Fulfillment level of 'Assistive products' need met exclusively due to MPCA [ENDLINE] broken down by households where all adult members are 60 y.o.+ on the admin of overall</t>
  </si>
  <si>
    <t>Fulfillment level of 'Assistive products' need met exclusively due to MPCA [ENDLINE] broken down by households headed by women on the admin of overall</t>
  </si>
  <si>
    <t>Fulfillment level of 'Assistive products' need met exclusively due to MPCA [ENDLINE] broken down by single headed households with child(ren) or older person(s) (60 y.o.+) on the admin of overall</t>
  </si>
  <si>
    <t>Fulfillment level of 'Assistive products' need met exclusively due to MPCA [ENDLINE] broken down by households displaced from the territory of active hostilities and not receiving idp payments on the admin of overall</t>
  </si>
  <si>
    <t>Fulfillment level of 'Assistive products' need met exclusively due to MPCA [ENDLINE] broken down by households evacuated from the territory of active hostilities within the last 30 days on the admin of overall</t>
  </si>
  <si>
    <t>Fulfillment level of 'Assistive products' need met exclusively due to MPCA [ENDLINE] broken down by households partially or fully damaged on the admin of overall</t>
  </si>
  <si>
    <t>Fulfillment level of 'Assistive products' need met exclusively due to MPCA [ENDLINE] broken down by households whose members were injured or killed as a result of hostilities on the admin of overall</t>
  </si>
  <si>
    <t>Fulfillment level of 'Assistive products' need met exclusively due to MPCA [ENDLINE] broken down by total eligibility quantiled on the admin of overall</t>
  </si>
  <si>
    <t>Fulfillment level of 'Medication' need met exclusively due to MPCA [ENDLINE] on the admin of overall</t>
  </si>
  <si>
    <t>Fulfillment level of 'Medication' need met exclusively due to MPCA [ENDLINE] broken down by households with 3 or more children under 18 years of age on the admin of overall</t>
  </si>
  <si>
    <t>Fulfillment level of 'Medication' need met exclusively due to MPCA [ENDLINE] broken down by households with children under 1 year of age on the admin of overall</t>
  </si>
  <si>
    <t>Fulfillment level of 'Medication' need met exclusively due to MPCA [ENDLINE] broken down by households with pregnant women on the admin of overall</t>
  </si>
  <si>
    <t>Fulfillment level of 'Medication' need met exclusively due to MPCA [ENDLINE] broken down by households with people with disabilities of group 1 or 2 on the admin of overall</t>
  </si>
  <si>
    <t>Fulfillment level of 'Medication' need met exclusively due to MPCA [ENDLINE] broken down by households with people with severe chronic diseases on the admin of overall</t>
  </si>
  <si>
    <t>Fulfillment level of 'Medication' need met exclusively due to MPCA [ENDLINE] broken down by households where all adult members are 60 y.o.+ on the admin of overall</t>
  </si>
  <si>
    <t>Fulfillment level of 'Medication' need met exclusively due to MPCA [ENDLINE] broken down by households headed by women on the admin of overall</t>
  </si>
  <si>
    <t>Fulfillment level of 'Medication' need met exclusively due to MPCA [ENDLINE] broken down by single headed households with child(ren) or older person(s) (60 y.o.+) on the admin of overall</t>
  </si>
  <si>
    <t>Fulfillment level of 'Medication' need met exclusively due to MPCA [ENDLINE] broken down by households displaced from the territory of active hostilities and not receiving idp payments on the admin of overall</t>
  </si>
  <si>
    <t>Fulfillment level of 'Medication' need met exclusively due to MPCA [ENDLINE] broken down by households evacuated from the territory of active hostilities within the last 30 days on the admin of overall</t>
  </si>
  <si>
    <t>Fulfillment level of 'Medication' need met exclusively due to MPCA [ENDLINE] broken down by households partially or fully damaged on the admin of overall</t>
  </si>
  <si>
    <t>Fulfillment level of 'Medication' need met exclusively due to MPCA [ENDLINE] broken down by households whose members were injured or killed as a result of hostilities on the admin of overall</t>
  </si>
  <si>
    <t>Fulfillment level of 'Medication' need met exclusively due to MPCA [ENDLINE] broken down by total eligibility quantiled on the admin of overall</t>
  </si>
  <si>
    <t>Fulfillment level of 'Agricultural inputs' need met exclusively due to MPCA [ENDLINE] on the admin of overall</t>
  </si>
  <si>
    <t>Fulfillment level of 'Agricultural inputs' need met exclusively due to MPCA [ENDLINE] broken down by households with 3 or more children under 18 years of age on the admin of overall</t>
  </si>
  <si>
    <t>Fulfillment level of 'Agricultural inputs' need met exclusively due to MPCA [ENDLINE] broken down by households with children under 1 year of age on the admin of overall</t>
  </si>
  <si>
    <t>Fulfillment level of 'Agricultural inputs' need met exclusively due to MPCA [ENDLINE] broken down by households with pregnant women on the admin of overall</t>
  </si>
  <si>
    <t>Fulfillment level of 'Agricultural inputs' need met exclusively due to MPCA [ENDLINE] broken down by households with people with disabilities of group 1 or 2 on the admin of overall</t>
  </si>
  <si>
    <t>Fulfillment level of 'Agricultural inputs' need met exclusively due to MPCA [ENDLINE] broken down by households with people with severe chronic diseases on the admin of overall</t>
  </si>
  <si>
    <t>Fulfillment level of 'Agricultural inputs' need met exclusively due to MPCA [ENDLINE] broken down by households where all adult members are 60 y.o.+ on the admin of overall</t>
  </si>
  <si>
    <t>Fulfillment level of 'Agricultural inputs' need met exclusively due to MPCA [ENDLINE] broken down by households headed by women on the admin of overall</t>
  </si>
  <si>
    <t>Fulfillment level of 'Agricultural inputs' need met exclusively due to MPCA [ENDLINE] broken down by single headed households with child(ren) or older person(s) (60 y.o.+) on the admin of overall</t>
  </si>
  <si>
    <t>Fulfillment level of 'Agricultural inputs' need met exclusively due to MPCA [ENDLINE] broken down by households displaced from the territory of active hostilities and not receiving idp payments on the admin of overall</t>
  </si>
  <si>
    <t>Fulfillment level of 'Agricultural inputs' need met exclusively due to MPCA [ENDLINE] broken down by households evacuated from the territory of active hostilities within the last 30 days on the admin of overall</t>
  </si>
  <si>
    <t>Fulfillment level of 'Agricultural inputs' need met exclusively due to MPCA [ENDLINE] broken down by households partially or fully damaged on the admin of overall</t>
  </si>
  <si>
    <t>Fulfillment level of 'Agricultural inputs' need met exclusively due to MPCA [ENDLINE] broken down by households whose members were injured or killed as a result of hostilities on the admin of overall</t>
  </si>
  <si>
    <t>Fulfillment level of 'Agricultural inputs' need met exclusively due to MPCA [ENDLINE] broken down by total eligibility quantiled on the admin of overall</t>
  </si>
  <si>
    <t>Fulfillment level of 'Shelter maintenance' need met exclusively due to MPCA [ENDLINE] on the admin of overall</t>
  </si>
  <si>
    <t>Fulfillment level of 'Shelter maintenance' need met exclusively due to MPCA [ENDLINE] broken down by households with 3 or more children under 18 years of age on the admin of overall</t>
  </si>
  <si>
    <t>Fulfillment level of 'Shelter maintenance' need met exclusively due to MPCA [ENDLINE] broken down by households with children under 1 year of age on the admin of overall</t>
  </si>
  <si>
    <t>Fulfillment level of 'Shelter maintenance' need met exclusively due to MPCA [ENDLINE] broken down by households with pregnant women on the admin of overall</t>
  </si>
  <si>
    <t>Fulfillment level of 'Shelter maintenance' need met exclusively due to MPCA [ENDLINE] broken down by households with people with disabilities of group 1 or 2 on the admin of overall</t>
  </si>
  <si>
    <t>Fulfillment level of 'Shelter maintenance' need met exclusively due to MPCA [ENDLINE] broken down by households with people with severe chronic diseases on the admin of overall</t>
  </si>
  <si>
    <t>Fulfillment level of 'Shelter maintenance' need met exclusively due to MPCA [ENDLINE] broken down by households where all adult members are 60 y.o.+ on the admin of overall</t>
  </si>
  <si>
    <t>Fulfillment level of 'Shelter maintenance' need met exclusively due to MPCA [ENDLINE] broken down by households headed by women on the admin of overall</t>
  </si>
  <si>
    <t>Fulfillment level of 'Shelter maintenance' need met exclusively due to MPCA [ENDLINE] broken down by single headed households with child(ren) or older person(s) (60 y.o.+) on the admin of overall</t>
  </si>
  <si>
    <t>Fulfillment level of 'Shelter maintenance' need met exclusively due to MPCA [ENDLINE] broken down by households displaced from the territory of active hostilities and not receiving idp payments on the admin of overall</t>
  </si>
  <si>
    <t>Fulfillment level of 'Shelter maintenance' need met exclusively due to MPCA [ENDLINE] broken down by households evacuated from the territory of active hostilities within the last 30 days on the admin of overall</t>
  </si>
  <si>
    <t>Fulfillment level of 'Shelter maintenance' need met exclusively due to MPCA [ENDLINE] broken down by households partially or fully damaged on the admin of overall</t>
  </si>
  <si>
    <t>Fulfillment level of 'Shelter maintenance' need met exclusively due to MPCA [ENDLINE] broken down by households whose members were injured or killed as a result of hostilities on the admin of overall</t>
  </si>
  <si>
    <t>Fulfillment level of 'Shelter maintenance' need met exclusively due to MPCA [ENDLINE] broken down by total eligibility quantiled on the admin of overall</t>
  </si>
  <si>
    <t>Fulfillment level of 'Future savings' need met exclusively due to MPCA [ENDLINE] on the admin of overall</t>
  </si>
  <si>
    <t>Fulfillment level of 'Future savings' need met exclusively due to MPCA [ENDLINE] broken down by households with 3 or more children under 18 years of age on the admin of overall</t>
  </si>
  <si>
    <t>Fulfillment level of 'Future savings' need met exclusively due to MPCA [ENDLINE] broken down by households with children under 1 year of age on the admin of overall</t>
  </si>
  <si>
    <t>Fulfillment level of 'Future savings' need met exclusively due to MPCA [ENDLINE] broken down by households with pregnant women on the admin of overall</t>
  </si>
  <si>
    <t>Fulfillment level of 'Future savings' need met exclusively due to MPCA [ENDLINE] broken down by households with people with disabilities of group 1 or 2 on the admin of overall</t>
  </si>
  <si>
    <t>Fulfillment level of 'Future savings' need met exclusively due to MPCA [ENDLINE] broken down by households with people with severe chronic diseases on the admin of overall</t>
  </si>
  <si>
    <t>Fulfillment level of 'Future savings' need met exclusively due to MPCA [ENDLINE] broken down by households where all adult members are 60 y.o.+ on the admin of overall</t>
  </si>
  <si>
    <t>Fulfillment level of 'Future savings' need met exclusively due to MPCA [ENDLINE] broken down by households headed by women on the admin of overall</t>
  </si>
  <si>
    <t>Fulfillment level of 'Future savings' need met exclusively due to MPCA [ENDLINE] broken down by single headed households with child(ren) or older person(s) (60 y.o.+) on the admin of overall</t>
  </si>
  <si>
    <t>Fulfillment level of 'Future savings' need met exclusively due to MPCA [ENDLINE] broken down by households displaced from the territory of active hostilities and not receiving idp payments on the admin of overall</t>
  </si>
  <si>
    <t>Fulfillment level of 'Future savings' need met exclusively due to MPCA [ENDLINE] broken down by households evacuated from the territory of active hostilities within the last 30 days on the admin of overall</t>
  </si>
  <si>
    <t>Fulfillment level of 'Future savings' need met exclusively due to MPCA [ENDLINE] broken down by households partially or fully damaged on the admin of overall</t>
  </si>
  <si>
    <t>Fulfillment level of 'Future savings' need met exclusively due to MPCA [ENDLINE] broken down by households whose members were injured or killed as a result of hostilities on the admin of overall</t>
  </si>
  <si>
    <t>Fulfillment level of 'Future savings' need met exclusively due to MPCA [ENDLINE] broken down by total eligibility quantiled on the admin of overall</t>
  </si>
  <si>
    <t>Fulfillment level of 'Shared with others' need met exclusively due to MPCA [ENDLINE] on the admin of overall</t>
  </si>
  <si>
    <t>Fulfillment level of 'Shared with others' need met exclusively due to MPCA [ENDLINE] broken down by households with 3 or more children under 18 years of age on the admin of overall</t>
  </si>
  <si>
    <t>Fulfillment level of 'Shared with others' need met exclusively due to MPCA [ENDLINE] broken down by households with children under 1 year of age on the admin of overall</t>
  </si>
  <si>
    <t>Fulfillment level of 'Shared with others' need met exclusively due to MPCA [ENDLINE] broken down by households with pregnant women on the admin of overall</t>
  </si>
  <si>
    <t>Fulfillment level of 'Shared with others' need met exclusively due to MPCA [ENDLINE] broken down by households with people with disabilities of group 1 or 2 on the admin of overall</t>
  </si>
  <si>
    <t>Fulfillment level of 'Shared with others' need met exclusively due to MPCA [ENDLINE] broken down by households with people with severe chronic diseases on the admin of overall</t>
  </si>
  <si>
    <t>Fulfillment level of 'Shared with others' need met exclusively due to MPCA [ENDLINE] broken down by households where all adult members are 60 y.o.+ on the admin of overall</t>
  </si>
  <si>
    <t>Fulfillment level of 'Shared with others' need met exclusively due to MPCA [ENDLINE] broken down by households headed by women on the admin of overall</t>
  </si>
  <si>
    <t>Fulfillment level of 'Shared with others' need met exclusively due to MPCA [ENDLINE] broken down by single headed households with child(ren) or older person(s) (60 y.o.+) on the admin of overall</t>
  </si>
  <si>
    <t>Fulfillment level of 'Shared with others' need met exclusively due to MPCA [ENDLINE] broken down by households displaced from the territory of active hostilities and not receiving idp payments on the admin of overall</t>
  </si>
  <si>
    <t>Fulfillment level of 'Shared with others' need met exclusively due to MPCA [ENDLINE] broken down by households evacuated from the territory of active hostilities within the last 30 days on the admin of overall</t>
  </si>
  <si>
    <t>Fulfillment level of 'Shared with others' need met exclusively due to MPCA [ENDLINE] broken down by households partially or fully damaged on the admin of overall</t>
  </si>
  <si>
    <t>Fulfillment level of 'Shared with others' need met exclusively due to MPCA [ENDLINE] broken down by households whose members were injured or killed as a result of hostilities on the admin of overall</t>
  </si>
  <si>
    <t>Fulfillment level of 'Shared with others' need met exclusively due to MPCA [ENDLINE] broken down by total eligibility quantiled on the admin of overall</t>
  </si>
  <si>
    <t>Fulfillment level of 'Transportation' need met exclusively due to MPCA [ENDLINE] on the admin of overall</t>
  </si>
  <si>
    <t>Fulfillment level of 'Transportation' need met exclusively due to MPCA [ENDLINE] broken down by households with 3 or more children under 18 years of age on the admin of overall</t>
  </si>
  <si>
    <t>Fulfillment level of 'Transportation' need met exclusively due to MPCA [ENDLINE] broken down by households with children under 1 year of age on the admin of overall</t>
  </si>
  <si>
    <t>Fulfillment level of 'Transportation' need met exclusively due to MPCA [ENDLINE] broken down by households with pregnant women on the admin of overall</t>
  </si>
  <si>
    <t>Fulfillment level of 'Transportation' need met exclusively due to MPCA [ENDLINE] broken down by households with people with disabilities of group 1 or 2 on the admin of overall</t>
  </si>
  <si>
    <t>Fulfillment level of 'Transportation' need met exclusively due to MPCA [ENDLINE] broken down by households with people with severe chronic diseases on the admin of overall</t>
  </si>
  <si>
    <t>Fulfillment level of 'Transportation' need met exclusively due to MPCA [ENDLINE] broken down by households where all adult members are 60 y.o.+ on the admin of overall</t>
  </si>
  <si>
    <t>Fulfillment level of 'Transportation' need met exclusively due to MPCA [ENDLINE] broken down by households headed by women on the admin of overall</t>
  </si>
  <si>
    <t>Fulfillment level of 'Transportation' need met exclusively due to MPCA [ENDLINE] broken down by single headed households with child(ren) or older person(s) (60 y.o.+) on the admin of overall</t>
  </si>
  <si>
    <t>Fulfillment level of 'Transportation' need met exclusively due to MPCA [ENDLINE] broken down by households displaced from the territory of active hostilities and not receiving idp payments on the admin of overall</t>
  </si>
  <si>
    <t>Fulfillment level of 'Transportation' need met exclusively due to MPCA [ENDLINE] broken down by households evacuated from the territory of active hostilities within the last 30 days on the admin of overall</t>
  </si>
  <si>
    <t>Fulfillment level of 'Transportation' need met exclusively due to MPCA [ENDLINE] broken down by households partially or fully damaged on the admin of overall</t>
  </si>
  <si>
    <t>Fulfillment level of 'Transportation' need met exclusively due to MPCA [ENDLINE] broken down by households whose members were injured or killed as a result of hostilities on the admin of overall</t>
  </si>
  <si>
    <t>Fulfillment level of 'Transportation' need met exclusively due to MPCA [ENDLINE] broken down by total eligibility quantiled on the admin of overall</t>
  </si>
  <si>
    <t>Fulfillment level of 'Communication' need met exclusively due to MPCA [ENDLINE] on the admin of overall</t>
  </si>
  <si>
    <t>Fulfillment level of 'Communication' need met exclusively due to MPCA [ENDLINE] broken down by households with 3 or more children under 18 years of age on the admin of overall</t>
  </si>
  <si>
    <t>Fulfillment level of 'Communication' need met exclusively due to MPCA [ENDLINE] broken down by households with children under 1 year of age on the admin of overall</t>
  </si>
  <si>
    <t>Fulfillment level of 'Communication' need met exclusively due to MPCA [ENDLINE] broken down by households with pregnant women on the admin of overall</t>
  </si>
  <si>
    <t>Fulfillment level of 'Communication' need met exclusively due to MPCA [ENDLINE] broken down by households with people with disabilities of group 1 or 2 on the admin of overall</t>
  </si>
  <si>
    <t>Fulfillment level of 'Communication' need met exclusively due to MPCA [ENDLINE] broken down by households with people with severe chronic diseases on the admin of overall</t>
  </si>
  <si>
    <t>Fulfillment level of 'Communication' need met exclusively due to MPCA [ENDLINE] broken down by households where all adult members are 60 y.o.+ on the admin of overall</t>
  </si>
  <si>
    <t>Fulfillment level of 'Communication' need met exclusively due to MPCA [ENDLINE] broken down by households headed by women on the admin of overall</t>
  </si>
  <si>
    <t>Fulfillment level of 'Communication' need met exclusively due to MPCA [ENDLINE] broken down by single headed households with child(ren) or older person(s) (60 y.o.+) on the admin of overall</t>
  </si>
  <si>
    <t>Fulfillment level of 'Communication' need met exclusively due to MPCA [ENDLINE] broken down by households displaced from the territory of active hostilities and not receiving idp payments on the admin of overall</t>
  </si>
  <si>
    <t>Fulfillment level of 'Communication' need met exclusively due to MPCA [ENDLINE] broken down by households evacuated from the territory of active hostilities within the last 30 days on the admin of overall</t>
  </si>
  <si>
    <t>Fulfillment level of 'Communication' need met exclusively due to MPCA [ENDLINE] broken down by households partially or fully damaged on the admin of overall</t>
  </si>
  <si>
    <t>Fulfillment level of 'Communication' need met exclusively due to MPCA [ENDLINE] broken down by households whose members were injured or killed as a result of hostilities on the admin of overall</t>
  </si>
  <si>
    <t>Fulfillment level of 'Communication' need met exclusively due to MPCA [ENDLINE] broken down by total eligibility quantiled on the admin of overall</t>
  </si>
  <si>
    <t>Fulfillment level of 'Education materials' need met exclusively due to MPCA [ENDLINE] on the admin of overall</t>
  </si>
  <si>
    <t>Fulfillment level of 'Education materials' need met exclusively due to MPCA [ENDLINE] broken down by households with 3 or more children under 18 years of age on the admin of overall</t>
  </si>
  <si>
    <t>Fulfillment level of 'Education materials' need met exclusively due to MPCA [ENDLINE] broken down by households with children under 1 year of age on the admin of overall</t>
  </si>
  <si>
    <t>Fulfillment level of 'Education materials' need met exclusively due to MPCA [ENDLINE] broken down by households with pregnant women on the admin of overall</t>
  </si>
  <si>
    <t>Fulfillment level of 'Education materials' need met exclusively due to MPCA [ENDLINE] broken down by households with people with disabilities of group 1 or 2 on the admin of overall</t>
  </si>
  <si>
    <t>Fulfillment level of 'Education materials' need met exclusively due to MPCA [ENDLINE] broken down by households with people with severe chronic diseases on the admin of overall</t>
  </si>
  <si>
    <t>Fulfillment level of 'Education materials' need met exclusively due to MPCA [ENDLINE] broken down by households where all adult members are 60 y.o.+ on the admin of overall</t>
  </si>
  <si>
    <t>Fulfillment level of 'Education materials' need met exclusively due to MPCA [ENDLINE] broken down by households headed by women on the admin of overall</t>
  </si>
  <si>
    <t>Fulfillment level of 'Education materials' need met exclusively due to MPCA [ENDLINE] broken down by single headed households with child(ren) or older person(s) (60 y.o.+) on the admin of overall</t>
  </si>
  <si>
    <t>Fulfillment level of 'Education materials' need met exclusively due to MPCA [ENDLINE] broken down by households displaced from the territory of active hostilities and not receiving idp payments on the admin of overall</t>
  </si>
  <si>
    <t>Fulfillment level of 'Education materials' need met exclusively due to MPCA [ENDLINE] broken down by households evacuated from the territory of active hostilities within the last 30 days on the admin of overall</t>
  </si>
  <si>
    <t>Fulfillment level of 'Education materials' need met exclusively due to MPCA [ENDLINE] broken down by households partially or fully damaged on the admin of overall</t>
  </si>
  <si>
    <t>Fulfillment level of 'Education materials' need met exclusively due to MPCA [ENDLINE] broken down by households whose members were injured or killed as a result of hostilities on the admin of overall</t>
  </si>
  <si>
    <t>Fulfillment level of 'Education materials' need met exclusively due to MPCA [ENDLINE] broken down by total eligibility quantiled on the admin of overall</t>
  </si>
  <si>
    <t>Estimated percentage of MPCA spent on each category of goods and services [ENDLINE] on the admin of overall</t>
  </si>
  <si>
    <t>Estimated percentage of MPCA spent on each category of goods and services [ENDLINE] broken down by households with 3 or more children under 18 years of age on the admin of overall</t>
  </si>
  <si>
    <t>Estimated percentage of MPCA spent on each category of goods and services [ENDLINE] broken down by households with children under 1 year of age on the admin of overall</t>
  </si>
  <si>
    <t>Estimated percentage of MPCA spent on each category of goods and services [ENDLINE] broken down by households with pregnant women on the admin of overall</t>
  </si>
  <si>
    <t>Estimated percentage of MPCA spent on each category of goods and services [ENDLINE] broken down by households with people with disabilities of group 1 or 2 on the admin of overall</t>
  </si>
  <si>
    <t>Estimated percentage of MPCA spent on each category of goods and services [ENDLINE] broken down by households with people with severe chronic diseases on the admin of overall</t>
  </si>
  <si>
    <t>Estimated percentage of MPCA spent on each category of goods and services [ENDLINE] broken down by households where all adult members are 60 y.o.+ on the admin of overall</t>
  </si>
  <si>
    <t>Estimated percentage of MPCA spent on each category of goods and services [ENDLINE] broken down by households headed by women on the admin of overall</t>
  </si>
  <si>
    <t>Estimated percentage of MPCA spent on each category of goods and services [ENDLINE] broken down by single headed households with child(ren) or older person(s) (60 y.o.+) on the admin of overall</t>
  </si>
  <si>
    <t>Estimated percentage of MPCA spent on each category of goods and services [ENDLINE] broken down by households displaced from the territory of active hostilities and not receiving idp payments on the admin of overall</t>
  </si>
  <si>
    <t>Estimated percentage of MPCA spent on each category of goods and services [ENDLINE] broken down by households evacuated from the territory of active hostilities within the last 30 days on the admin of overall</t>
  </si>
  <si>
    <t>Estimated percentage of MPCA spent on each category of goods and services [ENDLINE] broken down by households partially or fully damaged on the admin of overall</t>
  </si>
  <si>
    <t>Estimated percentage of MPCA spent on each category of goods and services [ENDLINE] broken down by households whose members were injured or killed as a result of hostilities on the admin of overall</t>
  </si>
  <si>
    <t>Estimated percentage of MPCA spent on each category of goods and services [ENDLINE] broken down by total eligibility quantiled on the admin of overall</t>
  </si>
  <si>
    <t>Estimated percentage of MPCA spent on 'Other' category [ENDLINE] on the admin of overall</t>
  </si>
  <si>
    <t>Estimated percentage of MPCA spent on 'Other' category [ENDLINE] broken down by households with 3 or more children under 18 years of age on the admin of overall</t>
  </si>
  <si>
    <t>Estimated percentage of MPCA spent on 'Other' category [ENDLINE] broken down by households with children under 1 year of age on the admin of overall</t>
  </si>
  <si>
    <t>Estimated percentage of MPCA spent on 'Other' category [ENDLINE] broken down by households with pregnant women on the admin of overall</t>
  </si>
  <si>
    <t>Estimated percentage of MPCA spent on 'Other' category [ENDLINE] broken down by households with people with disabilities of group 1 or 2 on the admin of overall</t>
  </si>
  <si>
    <t>Estimated percentage of MPCA spent on 'Other' category [ENDLINE] broken down by households with people with severe chronic diseases on the admin of overall</t>
  </si>
  <si>
    <t>Estimated percentage of MPCA spent on 'Other' category [ENDLINE] broken down by households where all adult members are 60 y.o.+ on the admin of overall</t>
  </si>
  <si>
    <t>Estimated percentage of MPCA spent on 'Other' category [ENDLINE] broken down by households headed by women on the admin of overall</t>
  </si>
  <si>
    <t>Estimated percentage of MPCA spent on 'Other' category [ENDLINE] broken down by single headed households with child(ren) or older person(s) (60 y.o.+) on the admin of overall</t>
  </si>
  <si>
    <t>Estimated percentage of MPCA spent on 'Other' category [ENDLINE] broken down by households displaced from the territory of active hostilities and not receiving idp payments on the admin of overall</t>
  </si>
  <si>
    <t>Estimated percentage of MPCA spent on 'Other' category [ENDLINE] broken down by households evacuated from the territory of active hostilities within the last 30 days on the admin of overall</t>
  </si>
  <si>
    <t>Estimated percentage of MPCA spent on 'Other' category [ENDLINE] broken down by households partially or fully damaged on the admin of overall</t>
  </si>
  <si>
    <t>Estimated percentage of MPCA spent on 'Other' category [ENDLINE] broken down by households whose members were injured or killed as a result of hostilities on the admin of overall</t>
  </si>
  <si>
    <t>Estimated percentage of MPCA spent on 'Other' category [ENDLINE] broken down by total eligibility quantiled on the admin of overall</t>
  </si>
  <si>
    <t>Estimated percentage of MPCA spent on 'Food' category [ENDLINE] on the admin of overall</t>
  </si>
  <si>
    <t>Estimated percentage of MPCA spent on 'Food' category [ENDLINE] broken down by households with 3 or more children under 18 years of age on the admin of overall</t>
  </si>
  <si>
    <t>Estimated percentage of MPCA spent on 'Food' category [ENDLINE] broken down by households with children under 1 year of age on the admin of overall</t>
  </si>
  <si>
    <t>Estimated percentage of MPCA spent on 'Food' category [ENDLINE] broken down by households with pregnant women on the admin of overall</t>
  </si>
  <si>
    <t>Estimated percentage of MPCA spent on 'Food' category [ENDLINE] broken down by households with people with disabilities of group 1 or 2 on the admin of overall</t>
  </si>
  <si>
    <t>Estimated percentage of MPCA spent on 'Food' category [ENDLINE] broken down by households with people with severe chronic diseases on the admin of overall</t>
  </si>
  <si>
    <t>Estimated percentage of MPCA spent on 'Food' category [ENDLINE] broken down by households where all adult members are 60 y.o.+ on the admin of overall</t>
  </si>
  <si>
    <t>Estimated percentage of MPCA spent on 'Food' category [ENDLINE] broken down by households headed by women on the admin of overall</t>
  </si>
  <si>
    <t>Estimated percentage of MPCA spent on 'Food' category [ENDLINE] broken down by single headed households with child(ren) or older person(s) (60 y.o.+) on the admin of overall</t>
  </si>
  <si>
    <t>Estimated percentage of MPCA spent on 'Food' category [ENDLINE] broken down by households displaced from the territory of active hostilities and not receiving idp payments on the admin of overall</t>
  </si>
  <si>
    <t>Estimated percentage of MPCA spent on 'Food' category [ENDLINE] broken down by households evacuated from the territory of active hostilities within the last 30 days on the admin of overall</t>
  </si>
  <si>
    <t>Estimated percentage of MPCA spent on 'Food' category [ENDLINE] broken down by households partially or fully damaged on the admin of overall</t>
  </si>
  <si>
    <t>Estimated percentage of MPCA spent on 'Food' category [ENDLINE] broken down by households whose members were injured or killed as a result of hostilities on the admin of overall</t>
  </si>
  <si>
    <t>Estimated percentage of MPCA spent on 'Food' category [ENDLINE] broken down by total eligibility quantiled on the admin of overall</t>
  </si>
  <si>
    <t>Estimated percentage of MPCA spent on 'Personal hygiene' category [ENDLINE] on the admin of overall</t>
  </si>
  <si>
    <t>Estimated percentage of MPCA spent on 'Personal hygiene' category [ENDLINE] broken down by households with 3 or more children under 18 years of age on the admin of overall</t>
  </si>
  <si>
    <t>Estimated percentage of MPCA spent on 'Personal hygiene' category [ENDLINE] broken down by households with children under 1 year of age on the admin of overall</t>
  </si>
  <si>
    <t>Estimated percentage of MPCA spent on 'Personal hygiene' category [ENDLINE] broken down by households with pregnant women on the admin of overall</t>
  </si>
  <si>
    <t>Estimated percentage of MPCA spent on 'Personal hygiene' category [ENDLINE] broken down by households with people with disabilities of group 1 or 2 on the admin of overall</t>
  </si>
  <si>
    <t>Estimated percentage of MPCA spent on 'Personal hygiene' category [ENDLINE] broken down by households with people with severe chronic diseases on the admin of overall</t>
  </si>
  <si>
    <t>Estimated percentage of MPCA spent on 'Personal hygiene' category [ENDLINE] broken down by households where all adult members are 60 y.o.+ on the admin of overall</t>
  </si>
  <si>
    <t>Estimated percentage of MPCA spent on 'Personal hygiene' category [ENDLINE] broken down by households headed by women on the admin of overall</t>
  </si>
  <si>
    <t>Estimated percentage of MPCA spent on 'Personal hygiene' category [ENDLINE] broken down by single headed households with child(ren) or older person(s) (60 y.o.+) on the admin of overall</t>
  </si>
  <si>
    <t>Estimated percentage of MPCA spent on 'Personal hygiene' category [ENDLINE] broken down by households displaced from the territory of active hostilities and not receiving idp payments on the admin of overall</t>
  </si>
  <si>
    <t>Estimated percentage of MPCA spent on 'Personal hygiene' category [ENDLINE] broken down by households evacuated from the territory of active hostilities within the last 30 days on the admin of overall</t>
  </si>
  <si>
    <t>Estimated percentage of MPCA spent on 'Personal hygiene' category [ENDLINE] broken down by households partially or fully damaged on the admin of overall</t>
  </si>
  <si>
    <t>Estimated percentage of MPCA spent on 'Personal hygiene' category [ENDLINE] broken down by households whose members were injured or killed as a result of hostilities on the admin of overall</t>
  </si>
  <si>
    <t>Estimated percentage of MPCA spent on 'Personal hygiene' category [ENDLINE] broken down by total eligibility quantiled on the admin of overall</t>
  </si>
  <si>
    <t>Estimated percentage of MPCA spent on 'Cleaning items' category [ENDLINE] on the admin of overall</t>
  </si>
  <si>
    <t>Estimated percentage of MPCA spent on 'Cleaning items' category [ENDLINE] broken down by households with 3 or more children under 18 years of age on the admin of overall</t>
  </si>
  <si>
    <t>Estimated percentage of MPCA spent on 'Cleaning items' category [ENDLINE] broken down by households with children under 1 year of age on the admin of overall</t>
  </si>
  <si>
    <t>Estimated percentage of MPCA spent on 'Cleaning items' category [ENDLINE] broken down by households with pregnant women on the admin of overall</t>
  </si>
  <si>
    <t>Estimated percentage of MPCA spent on 'Cleaning items' category [ENDLINE] broken down by households with people with disabilities of group 1 or 2 on the admin of overall</t>
  </si>
  <si>
    <t>Estimated percentage of MPCA spent on 'Cleaning items' category [ENDLINE] broken down by households with people with severe chronic diseases on the admin of overall</t>
  </si>
  <si>
    <t>Estimated percentage of MPCA spent on 'Cleaning items' category [ENDLINE] broken down by households where all adult members are 60 y.o.+ on the admin of overall</t>
  </si>
  <si>
    <t>Estimated percentage of MPCA spent on 'Cleaning items' category [ENDLINE] broken down by households headed by women on the admin of overall</t>
  </si>
  <si>
    <t>Estimated percentage of MPCA spent on 'Cleaning items' category [ENDLINE] broken down by single headed households with child(ren) or older person(s) (60 y.o.+) on the admin of overall</t>
  </si>
  <si>
    <t>Estimated percentage of MPCA spent on 'Cleaning items' category [ENDLINE] broken down by households displaced from the territory of active hostilities and not receiving idp payments on the admin of overall</t>
  </si>
  <si>
    <t>Estimated percentage of MPCA spent on 'Cleaning items' category [ENDLINE] broken down by households evacuated from the territory of active hostilities within the last 30 days on the admin of overall</t>
  </si>
  <si>
    <t>Estimated percentage of MPCA spent on 'Cleaning items' category [ENDLINE] broken down by households partially or fully damaged on the admin of overall</t>
  </si>
  <si>
    <t>Estimated percentage of MPCA spent on 'Cleaning items' category [ENDLINE] broken down by households whose members were injured or killed as a result of hostilities on the admin of overall</t>
  </si>
  <si>
    <t>Estimated percentage of MPCA spent on 'Cleaning items' category [ENDLINE] broken down by total eligibility quantiled on the admin of overall</t>
  </si>
  <si>
    <t>Estimated percentage of MPCA spent on 'Non-food items' category [ENDLINE] on the admin of overall</t>
  </si>
  <si>
    <t>Estimated percentage of MPCA spent on 'Non-food items' category [ENDLINE] broken down by households with 3 or more children under 18 years of age on the admin of overall</t>
  </si>
  <si>
    <t>Estimated percentage of MPCA spent on 'Non-food items' category [ENDLINE] broken down by households with children under 1 year of age on the admin of overall</t>
  </si>
  <si>
    <t>Estimated percentage of MPCA spent on 'Non-food items' category [ENDLINE] broken down by households with pregnant women on the admin of overall</t>
  </si>
  <si>
    <t>Estimated percentage of MPCA spent on 'Non-food items' category [ENDLINE] broken down by households with people with disabilities of group 1 or 2 on the admin of overall</t>
  </si>
  <si>
    <t>Estimated percentage of MPCA spent on 'Non-food items' category [ENDLINE] broken down by households with people with severe chronic diseases on the admin of overall</t>
  </si>
  <si>
    <t>Estimated percentage of MPCA spent on 'Non-food items' category [ENDLINE] broken down by households where all adult members are 60 y.o.+ on the admin of overall</t>
  </si>
  <si>
    <t>Estimated percentage of MPCA spent on 'Non-food items' category [ENDLINE] broken down by households headed by women on the admin of overall</t>
  </si>
  <si>
    <t>Estimated percentage of MPCA spent on 'Non-food items' category [ENDLINE] broken down by single headed households with child(ren) or older person(s) (60 y.o.+) on the admin of overall</t>
  </si>
  <si>
    <t>Estimated percentage of MPCA spent on 'Non-food items' category [ENDLINE] broken down by households displaced from the territory of active hostilities and not receiving idp payments on the admin of overall</t>
  </si>
  <si>
    <t>Estimated percentage of MPCA spent on 'Non-food items' category [ENDLINE] broken down by households evacuated from the territory of active hostilities within the last 30 days on the admin of overall</t>
  </si>
  <si>
    <t>Estimated percentage of MPCA spent on 'Non-food items' category [ENDLINE] broken down by households partially or fully damaged on the admin of overall</t>
  </si>
  <si>
    <t>Estimated percentage of MPCA spent on 'Non-food items' category [ENDLINE] broken down by households whose members were injured or killed as a result of hostilities on the admin of overall</t>
  </si>
  <si>
    <t>Estimated percentage of MPCA spent on 'Non-food items' category [ENDLINE] broken down by total eligibility quantiled on the admin of overall</t>
  </si>
  <si>
    <t>Estimated percentage of MPCA spent on 'Clothing and shoes' category [ENDLINE] on the admin of overall</t>
  </si>
  <si>
    <t>Estimated percentage of MPCA spent on 'Clothing and shoes' category [ENDLINE] broken down by households with 3 or more children under 18 years of age on the admin of overall</t>
  </si>
  <si>
    <t>Estimated percentage of MPCA spent on 'Clothing and shoes' category [ENDLINE] broken down by households with children under 1 year of age on the admin of overall</t>
  </si>
  <si>
    <t>Estimated percentage of MPCA spent on 'Clothing and shoes' category [ENDLINE] broken down by households with pregnant women on the admin of overall</t>
  </si>
  <si>
    <t>Estimated percentage of MPCA spent on 'Clothing and shoes' category [ENDLINE] broken down by households with people with disabilities of group 1 or 2 on the admin of overall</t>
  </si>
  <si>
    <t>Estimated percentage of MPCA spent on 'Clothing and shoes' category [ENDLINE] broken down by households with people with severe chronic diseases on the admin of overall</t>
  </si>
  <si>
    <t>Estimated percentage of MPCA spent on 'Clothing and shoes' category [ENDLINE] broken down by households where all adult members are 60 y.o.+ on the admin of overall</t>
  </si>
  <si>
    <t>Estimated percentage of MPCA spent on 'Clothing and shoes' category [ENDLINE] broken down by households headed by women on the admin of overall</t>
  </si>
  <si>
    <t>Estimated percentage of MPCA spent on 'Clothing and shoes' category [ENDLINE] broken down by single headed households with child(ren) or older person(s) (60 y.o.+) on the admin of overall</t>
  </si>
  <si>
    <t>Estimated percentage of MPCA spent on 'Clothing and shoes' category [ENDLINE] broken down by households displaced from the territory of active hostilities and not receiving idp payments on the admin of overall</t>
  </si>
  <si>
    <t>Estimated percentage of MPCA spent on 'Clothing and shoes' category [ENDLINE] broken down by households evacuated from the territory of active hostilities within the last 30 days on the admin of overall</t>
  </si>
  <si>
    <t>Estimated percentage of MPCA spent on 'Clothing and shoes' category [ENDLINE] broken down by households partially or fully damaged on the admin of overall</t>
  </si>
  <si>
    <t>Estimated percentage of MPCA spent on 'Clothing and shoes' category [ENDLINE] broken down by households whose members were injured or killed as a result of hostilities on the admin of overall</t>
  </si>
  <si>
    <t>Estimated percentage of MPCA spent on 'Clothing and shoes' category [ENDLINE] broken down by total eligibility quantiled on the admin of overall</t>
  </si>
  <si>
    <t>Estimated percentage of MPCA spent on 'Heating fuel' category [ENDLINE] on the admin of overall</t>
  </si>
  <si>
    <t>Estimated percentage of MPCA spent on 'Heating fuel' category [ENDLINE] broken down by households with 3 or more children under 18 years of age on the admin of overall</t>
  </si>
  <si>
    <t>Estimated percentage of MPCA spent on 'Heating fuel' category [ENDLINE] broken down by households with children under 1 year of age on the admin of overall</t>
  </si>
  <si>
    <t>Estimated percentage of MPCA spent on 'Heating fuel' category [ENDLINE] broken down by households with pregnant women on the admin of overall</t>
  </si>
  <si>
    <t>Estimated percentage of MPCA spent on 'Heating fuel' category [ENDLINE] broken down by households with people with disabilities of group 1 or 2 on the admin of overall</t>
  </si>
  <si>
    <t>Estimated percentage of MPCA spent on 'Heating fuel' category [ENDLINE] broken down by households with people with severe chronic diseases on the admin of overall</t>
  </si>
  <si>
    <t>Estimated percentage of MPCA spent on 'Heating fuel' category [ENDLINE] broken down by households where all adult members are 60 y.o.+ on the admin of overall</t>
  </si>
  <si>
    <t>Estimated percentage of MPCA spent on 'Heating fuel' category [ENDLINE] broken down by households headed by women on the admin of overall</t>
  </si>
  <si>
    <t>Estimated percentage of MPCA spent on 'Heating fuel' category [ENDLINE] broken down by single headed households with child(ren) or older person(s) (60 y.o.+) on the admin of overall</t>
  </si>
  <si>
    <t>Estimated percentage of MPCA spent on 'Heating fuel' category [ENDLINE] broken down by households displaced from the territory of active hostilities and not receiving idp payments on the admin of overall</t>
  </si>
  <si>
    <t>Estimated percentage of MPCA spent on 'Heating fuel' category [ENDLINE] broken down by households evacuated from the territory of active hostilities within the last 30 days on the admin of overall</t>
  </si>
  <si>
    <t>Estimated percentage of MPCA spent on 'Heating fuel' category [ENDLINE] broken down by households partially or fully damaged on the admin of overall</t>
  </si>
  <si>
    <t>Estimated percentage of MPCA spent on 'Heating fuel' category [ENDLINE] broken down by households whose members were injured or killed as a result of hostilities on the admin of overall</t>
  </si>
  <si>
    <t>Estimated percentage of MPCA spent on 'Heating fuel' category [ENDLINE] broken down by total eligibility quantiled on the admin of overall</t>
  </si>
  <si>
    <t>Estimated percentage of MPCA spent on 'Safe water' category [ENDLINE] on the admin of overall</t>
  </si>
  <si>
    <t>Estimated percentage of MPCA spent on 'Safe water' category [ENDLINE] broken down by households with 3 or more children under 18 years of age on the admin of overall</t>
  </si>
  <si>
    <t>Estimated percentage of MPCA spent on 'Safe water' category [ENDLINE] broken down by households with children under 1 year of age on the admin of overall</t>
  </si>
  <si>
    <t>Estimated percentage of MPCA spent on 'Safe water' category [ENDLINE] broken down by households with pregnant women on the admin of overall</t>
  </si>
  <si>
    <t>Estimated percentage of MPCA spent on 'Safe water' category [ENDLINE] broken down by households with people with disabilities of group 1 or 2 on the admin of overall</t>
  </si>
  <si>
    <t>Estimated percentage of MPCA spent on 'Safe water' category [ENDLINE] broken down by households with people with severe chronic diseases on the admin of overall</t>
  </si>
  <si>
    <t>Estimated percentage of MPCA spent on 'Safe water' category [ENDLINE] broken down by households where all adult members are 60 y.o.+ on the admin of overall</t>
  </si>
  <si>
    <t>Estimated percentage of MPCA spent on 'Safe water' category [ENDLINE] broken down by households headed by women on the admin of overall</t>
  </si>
  <si>
    <t>Estimated percentage of MPCA spent on 'Safe water' category [ENDLINE] broken down by single headed households with child(ren) or older person(s) (60 y.o.+) on the admin of overall</t>
  </si>
  <si>
    <t>Estimated percentage of MPCA spent on 'Safe water' category [ENDLINE] broken down by households displaced from the territory of active hostilities and not receiving idp payments on the admin of overall</t>
  </si>
  <si>
    <t>Estimated percentage of MPCA spent on 'Safe water' category [ENDLINE] broken down by households evacuated from the territory of active hostilities within the last 30 days on the admin of overall</t>
  </si>
  <si>
    <t>Estimated percentage of MPCA spent on 'Safe water' category [ENDLINE] broken down by households partially or fully damaged on the admin of overall</t>
  </si>
  <si>
    <t>Estimated percentage of MPCA spent on 'Safe water' category [ENDLINE] broken down by households whose members were injured or killed as a result of hostilities on the admin of overall</t>
  </si>
  <si>
    <t>Estimated percentage of MPCA spent on 'Safe water' category [ENDLINE] broken down by total eligibility quantiled on the admin of overall</t>
  </si>
  <si>
    <t>Estimated percentage of MPCA spent on 'Utilities' category [ENDLINE] on the admin of overall</t>
  </si>
  <si>
    <t>Estimated percentage of MPCA spent on 'Utilities' category [ENDLINE] broken down by households with 3 or more children under 18 years of age on the admin of overall</t>
  </si>
  <si>
    <t>Estimated percentage of MPCA spent on 'Utilities' category [ENDLINE] broken down by households with children under 1 year of age on the admin of overall</t>
  </si>
  <si>
    <t>Estimated percentage of MPCA spent on 'Utilities' category [ENDLINE] broken down by households with pregnant women on the admin of overall</t>
  </si>
  <si>
    <t>Estimated percentage of MPCA spent on 'Utilities' category [ENDLINE] broken down by households with people with disabilities of group 1 or 2 on the admin of overall</t>
  </si>
  <si>
    <t>Estimated percentage of MPCA spent on 'Utilities' category [ENDLINE] broken down by households with people with severe chronic diseases on the admin of overall</t>
  </si>
  <si>
    <t>Estimated percentage of MPCA spent on 'Utilities' category [ENDLINE] broken down by households where all adult members are 60 y.o.+ on the admin of overall</t>
  </si>
  <si>
    <t>Estimated percentage of MPCA spent on 'Utilities' category [ENDLINE] broken down by households headed by women on the admin of overall</t>
  </si>
  <si>
    <t>Estimated percentage of MPCA spent on 'Utilities' category [ENDLINE] broken down by single headed households with child(ren) or older person(s) (60 y.o.+) on the admin of overall</t>
  </si>
  <si>
    <t>Estimated percentage of MPCA spent on 'Utilities' category [ENDLINE] broken down by households displaced from the territory of active hostilities and not receiving idp payments on the admin of overall</t>
  </si>
  <si>
    <t>Estimated percentage of MPCA spent on 'Utilities' category [ENDLINE] broken down by households evacuated from the territory of active hostilities within the last 30 days on the admin of overall</t>
  </si>
  <si>
    <t>Estimated percentage of MPCA spent on 'Utilities' category [ENDLINE] broken down by households partially or fully damaged on the admin of overall</t>
  </si>
  <si>
    <t>Estimated percentage of MPCA spent on 'Utilities' category [ENDLINE] broken down by households whose members were injured or killed as a result of hostilities on the admin of overall</t>
  </si>
  <si>
    <t>Estimated percentage of MPCA spent on 'Utilities' category [ENDLINE] broken down by total eligibility quantiled on the admin of overall</t>
  </si>
  <si>
    <t>Estimated percentage of MPCA spent on 'Water supply' category [ENDLINE] on the admin of overall</t>
  </si>
  <si>
    <t>Estimated percentage of MPCA spent on 'Water supply' category [ENDLINE] broken down by households with 3 or more children under 18 years of age on the admin of overall</t>
  </si>
  <si>
    <t>Estimated percentage of MPCA spent on 'Water supply' category [ENDLINE] broken down by households with children under 1 year of age on the admin of overall</t>
  </si>
  <si>
    <t>Estimated percentage of MPCA spent on 'Water supply' category [ENDLINE] broken down by households with pregnant women on the admin of overall</t>
  </si>
  <si>
    <t>Estimated percentage of MPCA spent on 'Water supply' category [ENDLINE] broken down by households with people with disabilities of group 1 or 2 on the admin of overall</t>
  </si>
  <si>
    <t>Estimated percentage of MPCA spent on 'Water supply' category [ENDLINE] broken down by households with people with severe chronic diseases on the admin of overall</t>
  </si>
  <si>
    <t>Estimated percentage of MPCA spent on 'Water supply' category [ENDLINE] broken down by households where all adult members are 60 y.o.+ on the admin of overall</t>
  </si>
  <si>
    <t>Estimated percentage of MPCA spent on 'Water supply' category [ENDLINE] broken down by households headed by women on the admin of overall</t>
  </si>
  <si>
    <t>Estimated percentage of MPCA spent on 'Water supply' category [ENDLINE] broken down by single headed households with child(ren) or older person(s) (60 y.o.+) on the admin of overall</t>
  </si>
  <si>
    <t>Estimated percentage of MPCA spent on 'Water supply' category [ENDLINE] broken down by households displaced from the territory of active hostilities and not receiving idp payments on the admin of overall</t>
  </si>
  <si>
    <t>Estimated percentage of MPCA spent on 'Water supply' category [ENDLINE] broken down by households evacuated from the territory of active hostilities within the last 30 days on the admin of overall</t>
  </si>
  <si>
    <t>Estimated percentage of MPCA spent on 'Water supply' category [ENDLINE] broken down by households partially or fully damaged on the admin of overall</t>
  </si>
  <si>
    <t>Estimated percentage of MPCA spent on 'Water supply' category [ENDLINE] broken down by households whose members were injured or killed as a result of hostilities on the admin of overall</t>
  </si>
  <si>
    <t>Estimated percentage of MPCA spent on 'Water supply' category [ENDLINE] broken down by total eligibility quantiled on the admin of overall</t>
  </si>
  <si>
    <t>Estimated percentage of MPCA spent on 'Rent' category [ENDLINE] on the admin of overall</t>
  </si>
  <si>
    <t>Estimated percentage of MPCA spent on 'Rent' category [ENDLINE] broken down by households with 3 or more children under 18 years of age on the admin of overall</t>
  </si>
  <si>
    <t>Estimated percentage of MPCA spent on 'Rent' category [ENDLINE] broken down by households with children under 1 year of age on the admin of overall</t>
  </si>
  <si>
    <t>Estimated percentage of MPCA spent on 'Rent' category [ENDLINE] broken down by households with pregnant women on the admin of overall</t>
  </si>
  <si>
    <t>Estimated percentage of MPCA spent on 'Rent' category [ENDLINE] broken down by households with people with disabilities of group 1 or 2 on the admin of overall</t>
  </si>
  <si>
    <t>Estimated percentage of MPCA spent on 'Rent' category [ENDLINE] broken down by households with people with severe chronic diseases on the admin of overall</t>
  </si>
  <si>
    <t>Estimated percentage of MPCA spent on 'Rent' category [ENDLINE] broken down by households where all adult members are 60 y.o.+ on the admin of overall</t>
  </si>
  <si>
    <t>Estimated percentage of MPCA spent on 'Rent' category [ENDLINE] broken down by households headed by women on the admin of overall</t>
  </si>
  <si>
    <t>Estimated percentage of MPCA spent on 'Rent' category [ENDLINE] broken down by single headed households with child(ren) or older person(s) (60 y.o.+) on the admin of overall</t>
  </si>
  <si>
    <t>Estimated percentage of MPCA spent on 'Rent' category [ENDLINE] broken down by households displaced from the territory of active hostilities and not receiving idp payments on the admin of overall</t>
  </si>
  <si>
    <t>Estimated percentage of MPCA spent on 'Rent' category [ENDLINE] broken down by households evacuated from the territory of active hostilities within the last 30 days on the admin of overall</t>
  </si>
  <si>
    <t>Estimated percentage of MPCA spent on 'Rent' category [ENDLINE] broken down by households partially or fully damaged on the admin of overall</t>
  </si>
  <si>
    <t>Estimated percentage of MPCA spent on 'Rent' category [ENDLINE] broken down by households whose members were injured or killed as a result of hostilities on the admin of overall</t>
  </si>
  <si>
    <t>Estimated percentage of MPCA spent on 'Rent' category [ENDLINE] broken down by total eligibility quantiled on the admin of overall</t>
  </si>
  <si>
    <t>Estimated percentage of MPCA spent on 'Assistive products' category [ENDLINE] on the admin of overall</t>
  </si>
  <si>
    <t>Estimated percentage of MPCA spent on 'Assistive products' category [ENDLINE] broken down by households with 3 or more children under 18 years of age on the admin of overall</t>
  </si>
  <si>
    <t>Estimated percentage of MPCA spent on 'Assistive products' category [ENDLINE] broken down by households with children under 1 year of age on the admin of overall</t>
  </si>
  <si>
    <t>Estimated percentage of MPCA spent on 'Assistive products' category [ENDLINE] broken down by households with pregnant women on the admin of overall</t>
  </si>
  <si>
    <t>Estimated percentage of MPCA spent on 'Assistive products' category [ENDLINE] broken down by households with people with disabilities of group 1 or 2 on the admin of overall</t>
  </si>
  <si>
    <t>Estimated percentage of MPCA spent on 'Assistive products' category [ENDLINE] broken down by households with people with severe chronic diseases on the admin of overall</t>
  </si>
  <si>
    <t>Estimated percentage of MPCA spent on 'Assistive products' category [ENDLINE] broken down by households where all adult members are 60 y.o.+ on the admin of overall</t>
  </si>
  <si>
    <t>Estimated percentage of MPCA spent on 'Assistive products' category [ENDLINE] broken down by households headed by women on the admin of overall</t>
  </si>
  <si>
    <t>Estimated percentage of MPCA spent on 'Assistive products' category [ENDLINE] broken down by single headed households with child(ren) or older person(s) (60 y.o.+) on the admin of overall</t>
  </si>
  <si>
    <t>Estimated percentage of MPCA spent on 'Assistive products' category [ENDLINE] broken down by households displaced from the territory of active hostilities and not receiving idp payments on the admin of overall</t>
  </si>
  <si>
    <t>Estimated percentage of MPCA spent on 'Assistive products' category [ENDLINE] broken down by households evacuated from the territory of active hostilities within the last 30 days on the admin of overall</t>
  </si>
  <si>
    <t>Estimated percentage of MPCA spent on 'Assistive products' category [ENDLINE] broken down by households partially or fully damaged on the admin of overall</t>
  </si>
  <si>
    <t>Estimated percentage of MPCA spent on 'Assistive products' category [ENDLINE] broken down by households whose members were injured or killed as a result of hostilities on the admin of overall</t>
  </si>
  <si>
    <t>Estimated percentage of MPCA spent on 'Assistive products' category [ENDLINE] broken down by total eligibility quantiled on the admin of overall</t>
  </si>
  <si>
    <t>Estimated percentage of MPCA spent on 'Medication' category [ENDLINE] on the admin of overall</t>
  </si>
  <si>
    <t>Estimated percentage of MPCA spent on 'Medication' category [ENDLINE] broken down by households with 3 or more children under 18 years of age on the admin of overall</t>
  </si>
  <si>
    <t>Estimated percentage of MPCA spent on 'Medication' category [ENDLINE] broken down by households with children under 1 year of age on the admin of overall</t>
  </si>
  <si>
    <t>Estimated percentage of MPCA spent on 'Medication' category [ENDLINE] broken down by households with pregnant women on the admin of overall</t>
  </si>
  <si>
    <t>Estimated percentage of MPCA spent on 'Medication' category [ENDLINE] broken down by households with people with disabilities of group 1 or 2 on the admin of overall</t>
  </si>
  <si>
    <t>Estimated percentage of MPCA spent on 'Medication' category [ENDLINE] broken down by households with people with severe chronic diseases on the admin of overall</t>
  </si>
  <si>
    <t>Estimated percentage of MPCA spent on 'Medication' category [ENDLINE] broken down by households where all adult members are 60 y.o.+ on the admin of overall</t>
  </si>
  <si>
    <t>Estimated percentage of MPCA spent on 'Medication' category [ENDLINE] broken down by households headed by women on the admin of overall</t>
  </si>
  <si>
    <t>Estimated percentage of MPCA spent on 'Medication' category [ENDLINE] broken down by single headed households with child(ren) or older person(s) (60 y.o.+) on the admin of overall</t>
  </si>
  <si>
    <t>Estimated percentage of MPCA spent on 'Medication' category [ENDLINE] broken down by households displaced from the territory of active hostilities and not receiving idp payments on the admin of overall</t>
  </si>
  <si>
    <t>Estimated percentage of MPCA spent on 'Medication' category [ENDLINE] broken down by households evacuated from the territory of active hostilities within the last 30 days on the admin of overall</t>
  </si>
  <si>
    <t>Estimated percentage of MPCA spent on 'Medication' category [ENDLINE] broken down by households partially or fully damaged on the admin of overall</t>
  </si>
  <si>
    <t>Estimated percentage of MPCA spent on 'Medication' category [ENDLINE] broken down by households whose members were injured or killed as a result of hostilities on the admin of overall</t>
  </si>
  <si>
    <t>Estimated percentage of MPCA spent on 'Medication' category [ENDLINE] broken down by total eligibility quantiled on the admin of overall</t>
  </si>
  <si>
    <t>Estimated percentage of MPCA spent on 'Agricultural inputs' category [ENDLINE] on the admin of overall</t>
  </si>
  <si>
    <t>Estimated percentage of MPCA spent on 'Agricultural inputs' category [ENDLINE] broken down by households with 3 or more children under 18 years of age on the admin of overall</t>
  </si>
  <si>
    <t>Estimated percentage of MPCA spent on 'Agricultural inputs' category [ENDLINE] broken down by households with children under 1 year of age on the admin of overall</t>
  </si>
  <si>
    <t>Estimated percentage of MPCA spent on 'Agricultural inputs' category [ENDLINE] broken down by households with pregnant women on the admin of overall</t>
  </si>
  <si>
    <t>Estimated percentage of MPCA spent on 'Agricultural inputs' category [ENDLINE] broken down by households with people with disabilities of group 1 or 2 on the admin of overall</t>
  </si>
  <si>
    <t>Estimated percentage of MPCA spent on 'Agricultural inputs' category [ENDLINE] broken down by households with people with severe chronic diseases on the admin of overall</t>
  </si>
  <si>
    <t>Estimated percentage of MPCA spent on 'Agricultural inputs' category [ENDLINE] broken down by households where all adult members are 60 y.o.+ on the admin of overall</t>
  </si>
  <si>
    <t>Estimated percentage of MPCA spent on 'Agricultural inputs' category [ENDLINE] broken down by households headed by women on the admin of overall</t>
  </si>
  <si>
    <t>Estimated percentage of MPCA spent on 'Agricultural inputs' category [ENDLINE] broken down by single headed households with child(ren) or older person(s) (60 y.o.+) on the admin of overall</t>
  </si>
  <si>
    <t>Estimated percentage of MPCA spent on 'Agricultural inputs' category [ENDLINE] broken down by households displaced from the territory of active hostilities and not receiving idp payments on the admin of overall</t>
  </si>
  <si>
    <t>Estimated percentage of MPCA spent on 'Agricultural inputs' category [ENDLINE] broken down by households evacuated from the territory of active hostilities within the last 30 days on the admin of overall</t>
  </si>
  <si>
    <t>Estimated percentage of MPCA spent on 'Agricultural inputs' category [ENDLINE] broken down by households partially or fully damaged on the admin of overall</t>
  </si>
  <si>
    <t>Estimated percentage of MPCA spent on 'Agricultural inputs' category [ENDLINE] broken down by households whose members were injured or killed as a result of hostilities on the admin of overall</t>
  </si>
  <si>
    <t>Estimated percentage of MPCA spent on 'Agricultural inputs' category [ENDLINE] broken down by total eligibility quantiled on the admin of overall</t>
  </si>
  <si>
    <t>Estimated percentage of MPCA spent on 'Shelter maintenance' category [ENDLINE] on the admin of overall</t>
  </si>
  <si>
    <t>Estimated percentage of MPCA spent on 'Shelter maintenance' category [ENDLINE] broken down by households with 3 or more children under 18 years of age on the admin of overall</t>
  </si>
  <si>
    <t>Estimated percentage of MPCA spent on 'Shelter maintenance' category [ENDLINE] broken down by households with children under 1 year of age on the admin of overall</t>
  </si>
  <si>
    <t>Estimated percentage of MPCA spent on 'Shelter maintenance' category [ENDLINE] broken down by households with pregnant women on the admin of overall</t>
  </si>
  <si>
    <t>Estimated percentage of MPCA spent on 'Shelter maintenance' category [ENDLINE] broken down by households with people with disabilities of group 1 or 2 on the admin of overall</t>
  </si>
  <si>
    <t>Estimated percentage of MPCA spent on 'Shelter maintenance' category [ENDLINE] broken down by households with people with severe chronic diseases on the admin of overall</t>
  </si>
  <si>
    <t>Estimated percentage of MPCA spent on 'Shelter maintenance' category [ENDLINE] broken down by households where all adult members are 60 y.o.+ on the admin of overall</t>
  </si>
  <si>
    <t>Estimated percentage of MPCA spent on 'Shelter maintenance' category [ENDLINE] broken down by households headed by women on the admin of overall</t>
  </si>
  <si>
    <t>Estimated percentage of MPCA spent on 'Shelter maintenance' category [ENDLINE] broken down by single headed households with child(ren) or older person(s) (60 y.o.+) on the admin of overall</t>
  </si>
  <si>
    <t>Estimated percentage of MPCA spent on 'Shelter maintenance' category [ENDLINE] broken down by households displaced from the territory of active hostilities and not receiving idp payments on the admin of overall</t>
  </si>
  <si>
    <t>Estimated percentage of MPCA spent on 'Shelter maintenance' category [ENDLINE] broken down by households evacuated from the territory of active hostilities within the last 30 days on the admin of overall</t>
  </si>
  <si>
    <t>Estimated percentage of MPCA spent on 'Shelter maintenance' category [ENDLINE] broken down by households partially or fully damaged on the admin of overall</t>
  </si>
  <si>
    <t>Estimated percentage of MPCA spent on 'Shelter maintenance' category [ENDLINE] broken down by households whose members were injured or killed as a result of hostilities on the admin of overall</t>
  </si>
  <si>
    <t>Estimated percentage of MPCA spent on 'Shelter maintenance' category [ENDLINE] broken down by total eligibility quantiled on the admin of overall</t>
  </si>
  <si>
    <t>Estimated percentage of MPCA spent on 'Future savings' category [ENDLINE] on the admin of overall</t>
  </si>
  <si>
    <t>Estimated percentage of MPCA spent on 'Future savings' category [ENDLINE] broken down by households with 3 or more children under 18 years of age on the admin of overall</t>
  </si>
  <si>
    <t>Estimated percentage of MPCA spent on 'Future savings' category [ENDLINE] broken down by households with children under 1 year of age on the admin of overall</t>
  </si>
  <si>
    <t>Estimated percentage of MPCA spent on 'Future savings' category [ENDLINE] broken down by households with pregnant women on the admin of overall</t>
  </si>
  <si>
    <t>Estimated percentage of MPCA spent on 'Future savings' category [ENDLINE] broken down by households with people with disabilities of group 1 or 2 on the admin of overall</t>
  </si>
  <si>
    <t>Estimated percentage of MPCA spent on 'Future savings' category [ENDLINE] broken down by households with people with severe chronic diseases on the admin of overall</t>
  </si>
  <si>
    <t>Estimated percentage of MPCA spent on 'Future savings' category [ENDLINE] broken down by households where all adult members are 60 y.o.+ on the admin of overall</t>
  </si>
  <si>
    <t>Estimated percentage of MPCA spent on 'Future savings' category [ENDLINE] broken down by households headed by women on the admin of overall</t>
  </si>
  <si>
    <t>Estimated percentage of MPCA spent on 'Future savings' category [ENDLINE] broken down by single headed households with child(ren) or older person(s) (60 y.o.+) on the admin of overall</t>
  </si>
  <si>
    <t>Estimated percentage of MPCA spent on 'Future savings' category [ENDLINE] broken down by households displaced from the territory of active hostilities and not receiving idp payments on the admin of overall</t>
  </si>
  <si>
    <t>Estimated percentage of MPCA spent on 'Future savings' category [ENDLINE] broken down by households evacuated from the territory of active hostilities within the last 30 days on the admin of overall</t>
  </si>
  <si>
    <t>Estimated percentage of MPCA spent on 'Future savings' category [ENDLINE] broken down by households partially or fully damaged on the admin of overall</t>
  </si>
  <si>
    <t>Estimated percentage of MPCA spent on 'Future savings' category [ENDLINE] broken down by households whose members were injured or killed as a result of hostilities on the admin of overall</t>
  </si>
  <si>
    <t>Estimated percentage of MPCA spent on 'Future savings' category [ENDLINE] broken down by total eligibility quantiled on the admin of overall</t>
  </si>
  <si>
    <t>Estimated percentage of MPCA spent on 'Shared with others' category [ENDLINE] on the admin of overall</t>
  </si>
  <si>
    <t>Estimated percentage of MPCA spent on 'Shared with others' category [ENDLINE] broken down by households with 3 or more children under 18 years of age on the admin of overall</t>
  </si>
  <si>
    <t>Estimated percentage of MPCA spent on 'Shared with others' category [ENDLINE] broken down by households with children under 1 year of age on the admin of overall</t>
  </si>
  <si>
    <t>Estimated percentage of MPCA spent on 'Shared with others' category [ENDLINE] broken down by households with pregnant women on the admin of overall</t>
  </si>
  <si>
    <t>Estimated percentage of MPCA spent on 'Shared with others' category [ENDLINE] broken down by households with people with disabilities of group 1 or 2 on the admin of overall</t>
  </si>
  <si>
    <t>Estimated percentage of MPCA spent on 'Shared with others' category [ENDLINE] broken down by households with people with severe chronic diseases on the admin of overall</t>
  </si>
  <si>
    <t>Estimated percentage of MPCA spent on 'Shared with others' category [ENDLINE] broken down by households where all adult members are 60 y.o.+ on the admin of overall</t>
  </si>
  <si>
    <t>Estimated percentage of MPCA spent on 'Shared with others' category [ENDLINE] broken down by households headed by women on the admin of overall</t>
  </si>
  <si>
    <t>Estimated percentage of MPCA spent on 'Shared with others' category [ENDLINE] broken down by single headed households with child(ren) or older person(s) (60 y.o.+) on the admin of overall</t>
  </si>
  <si>
    <t>Estimated percentage of MPCA spent on 'Shared with others' category [ENDLINE] broken down by households displaced from the territory of active hostilities and not receiving idp payments on the admin of overall</t>
  </si>
  <si>
    <t>Estimated percentage of MPCA spent on 'Shared with others' category [ENDLINE] broken down by households evacuated from the territory of active hostilities within the last 30 days on the admin of overall</t>
  </si>
  <si>
    <t>Estimated percentage of MPCA spent on 'Shared with others' category [ENDLINE] broken down by households partially or fully damaged on the admin of overall</t>
  </si>
  <si>
    <t>Estimated percentage of MPCA spent on 'Shared with others' category [ENDLINE] broken down by households whose members were injured or killed as a result of hostilities on the admin of overall</t>
  </si>
  <si>
    <t>Estimated percentage of MPCA spent on 'Shared with others' category [ENDLINE] broken down by total eligibility quantiled on the admin of overall</t>
  </si>
  <si>
    <t>Estimated percentage of MPCA spent on 'Transportation' category [ENDLINE] on the admin of overall</t>
  </si>
  <si>
    <t>Estimated percentage of MPCA spent on 'Transportation' category [ENDLINE] broken down by households with 3 or more children under 18 years of age on the admin of overall</t>
  </si>
  <si>
    <t>Estimated percentage of MPCA spent on 'Transportation' category [ENDLINE] broken down by households with children under 1 year of age on the admin of overall</t>
  </si>
  <si>
    <t>Estimated percentage of MPCA spent on 'Transportation' category [ENDLINE] broken down by households with pregnant women on the admin of overall</t>
  </si>
  <si>
    <t>Estimated percentage of MPCA spent on 'Transportation' category [ENDLINE] broken down by households with people with disabilities of group 1 or 2 on the admin of overall</t>
  </si>
  <si>
    <t>Estimated percentage of MPCA spent on 'Transportation' category [ENDLINE] broken down by households with people with severe chronic diseases on the admin of overall</t>
  </si>
  <si>
    <t>Estimated percentage of MPCA spent on 'Transportation' category [ENDLINE] broken down by households where all adult members are 60 y.o.+ on the admin of overall</t>
  </si>
  <si>
    <t>Estimated percentage of MPCA spent on 'Transportation' category [ENDLINE] broken down by households headed by women on the admin of overall</t>
  </si>
  <si>
    <t>Estimated percentage of MPCA spent on 'Transportation' category [ENDLINE] broken down by single headed households with child(ren) or older person(s) (60 y.o.+) on the admin of overall</t>
  </si>
  <si>
    <t>Estimated percentage of MPCA spent on 'Transportation' category [ENDLINE] broken down by households displaced from the territory of active hostilities and not receiving idp payments on the admin of overall</t>
  </si>
  <si>
    <t>Estimated percentage of MPCA spent on 'Transportation' category [ENDLINE] broken down by households evacuated from the territory of active hostilities within the last 30 days on the admin of overall</t>
  </si>
  <si>
    <t>Estimated percentage of MPCA spent on 'Transportation' category [ENDLINE] broken down by households partially or fully damaged on the admin of overall</t>
  </si>
  <si>
    <t>Estimated percentage of MPCA spent on 'Transportation' category [ENDLINE] broken down by households whose members were injured or killed as a result of hostilities on the admin of overall</t>
  </si>
  <si>
    <t>Estimated percentage of MPCA spent on 'Transportation' category [ENDLINE] broken down by total eligibility quantiled on the admin of overall</t>
  </si>
  <si>
    <t>Estimated percentage of MPCA spent on 'Communication' category [ENDLINE] on the admin of overall</t>
  </si>
  <si>
    <t>Estimated percentage of MPCA spent on 'Communication' category [ENDLINE] broken down by households with 3 or more children under 18 years of age on the admin of overall</t>
  </si>
  <si>
    <t>Estimated percentage of MPCA spent on 'Communication' category [ENDLINE] broken down by households with children under 1 year of age on the admin of overall</t>
  </si>
  <si>
    <t>Estimated percentage of MPCA spent on 'Communication' category [ENDLINE] broken down by households with pregnant women on the admin of overall</t>
  </si>
  <si>
    <t>Estimated percentage of MPCA spent on 'Communication' category [ENDLINE] broken down by households with people with disabilities of group 1 or 2 on the admin of overall</t>
  </si>
  <si>
    <t>Estimated percentage of MPCA spent on 'Communication' category [ENDLINE] broken down by households with people with severe chronic diseases on the admin of overall</t>
  </si>
  <si>
    <t>Estimated percentage of MPCA spent on 'Communication' category [ENDLINE] broken down by households where all adult members are 60 y.o.+ on the admin of overall</t>
  </si>
  <si>
    <t>Estimated percentage of MPCA spent on 'Communication' category [ENDLINE] broken down by households headed by women on the admin of overall</t>
  </si>
  <si>
    <t>Estimated percentage of MPCA spent on 'Communication' category [ENDLINE] broken down by single headed households with child(ren) or older person(s) (60 y.o.+) on the admin of overall</t>
  </si>
  <si>
    <t>Estimated percentage of MPCA spent on 'Communication' category [ENDLINE] broken down by households displaced from the territory of active hostilities and not receiving idp payments on the admin of overall</t>
  </si>
  <si>
    <t>Estimated percentage of MPCA spent on 'Communication' category [ENDLINE] broken down by households evacuated from the territory of active hostilities within the last 30 days on the admin of overall</t>
  </si>
  <si>
    <t>Estimated percentage of MPCA spent on 'Communication' category [ENDLINE] broken down by households partially or fully damaged on the admin of overall</t>
  </si>
  <si>
    <t>Estimated percentage of MPCA spent on 'Communication' category [ENDLINE] broken down by households whose members were injured or killed as a result of hostilities on the admin of overall</t>
  </si>
  <si>
    <t>Estimated percentage of MPCA spent on 'Communication' category [ENDLINE] broken down by total eligibility quantiled on the admin of overall</t>
  </si>
  <si>
    <t>Estimated percentage of MPCA spent on 'Education materials' category [ENDLINE] on the admin of overall</t>
  </si>
  <si>
    <t>Estimated percentage of MPCA spent on 'Education materials' category [ENDLINE] broken down by households with 3 or more children under 18 years of age on the admin of overall</t>
  </si>
  <si>
    <t>Estimated percentage of MPCA spent on 'Education materials' category [ENDLINE] broken down by households with children under 1 year of age on the admin of overall</t>
  </si>
  <si>
    <t>Estimated percentage of MPCA spent on 'Education materials' category [ENDLINE] broken down by households with pregnant women on the admin of overall</t>
  </si>
  <si>
    <t>Estimated percentage of MPCA spent on 'Education materials' category [ENDLINE] broken down by households with people with disabilities of group 1 or 2 on the admin of overall</t>
  </si>
  <si>
    <t>Estimated percentage of MPCA spent on 'Education materials' category [ENDLINE] broken down by households with people with severe chronic diseases on the admin of overall</t>
  </si>
  <si>
    <t>Estimated percentage of MPCA spent on 'Education materials' category [ENDLINE] broken down by households where all adult members are 60 y.o.+ on the admin of overall</t>
  </si>
  <si>
    <t>Estimated percentage of MPCA spent on 'Education materials' category [ENDLINE] broken down by households headed by women on the admin of overall</t>
  </si>
  <si>
    <t>Estimated percentage of MPCA spent on 'Education materials' category [ENDLINE] broken down by single headed households with child(ren) or older person(s) (60 y.o.+) on the admin of overall</t>
  </si>
  <si>
    <t>Estimated percentage of MPCA spent on 'Education materials' category [ENDLINE] broken down by households displaced from the territory of active hostilities and not receiving idp payments on the admin of overall</t>
  </si>
  <si>
    <t>Estimated percentage of MPCA spent on 'Education materials' category [ENDLINE] broken down by households evacuated from the territory of active hostilities within the last 30 days on the admin of overall</t>
  </si>
  <si>
    <t>Estimated percentage of MPCA spent on 'Education materials' category [ENDLINE] broken down by households partially or fully damaged on the admin of overall</t>
  </si>
  <si>
    <t>Estimated percentage of MPCA spent on 'Education materials' category [ENDLINE] broken down by households whose members were injured or killed as a result of hostilities on the admin of overall</t>
  </si>
  <si>
    <t>Estimated percentage of MPCA spent on 'Education materials' category [ENDLINE] broken down by total eligibility quantiled on the admin of overall</t>
  </si>
  <si>
    <t>Additional priority needs potentially met if MPCA duration extended to 6 months [ENDLINE] on the admin of overall</t>
  </si>
  <si>
    <t>Additional priority needs potentially met if MPCA duration extended to 6 months [ENDLINE] broken down by households with 3 or more children under 18 years of age on the admin of overall</t>
  </si>
  <si>
    <t>Additional priority needs potentially met if MPCA duration extended to 6 months [ENDLINE] broken down by households with children under 1 year of age on the admin of overall</t>
  </si>
  <si>
    <t>Additional priority needs potentially met if MPCA duration extended to 6 months [ENDLINE] broken down by households with pregnant women on the admin of overall</t>
  </si>
  <si>
    <t>Additional priority needs potentially met if MPCA duration extended to 6 months [ENDLINE] broken down by households with people with disabilities of group 1 or 2 on the admin of overall</t>
  </si>
  <si>
    <t>Additional priority needs potentially met if MPCA duration extended to 6 months [ENDLINE] broken down by households with people with severe chronic diseases on the admin of overall</t>
  </si>
  <si>
    <t>Additional priority needs potentially met if MPCA duration extended to 6 months [ENDLINE] broken down by households where all adult members are 60 y.o.+ on the admin of overall</t>
  </si>
  <si>
    <t>Additional priority needs potentially met if MPCA duration extended to 6 months [ENDLINE] broken down by households headed by women on the admin of overall</t>
  </si>
  <si>
    <t>Additional priority needs potentially met if MPCA duration extended to 6 months [ENDLINE] broken down by single headed households with child(ren) or older person(s) (60 y.o.+) on the admin of overall</t>
  </si>
  <si>
    <t>Additional priority needs potentially met if MPCA duration extended to 6 months [ENDLINE] broken down by households displaced from the territory of active hostilities and not receiving idp payments on the admin of overall</t>
  </si>
  <si>
    <t>Additional priority needs potentially met if MPCA duration extended to 6 months [ENDLINE] broken down by households evacuated from the territory of active hostilities within the last 30 days on the admin of overall</t>
  </si>
  <si>
    <t>Additional priority needs potentially met if MPCA duration extended to 6 months [ENDLINE] broken down by households partially or fully damaged on the admin of overall</t>
  </si>
  <si>
    <t>Additional priority needs potentially met if MPCA duration extended to 6 months [ENDLINE] broken down by households whose members were injured or killed as a result of hostilities on the admin of overall</t>
  </si>
  <si>
    <t>Additional priority needs potentially met if MPCA duration extended to 6 months [ENDLINE] broken down by total eligibility quantiled on the admin of overall</t>
  </si>
  <si>
    <t>Additional priority needs potentially met with doubled MPCA amount over past 3 months [ENDLINE] on the admin of overall</t>
  </si>
  <si>
    <t>Additional priority needs potentially met with doubled MPCA amount over past 3 months [ENDLINE] broken down by households with 3 or more children under 18 years of age on the admin of overall</t>
  </si>
  <si>
    <t>Additional priority needs potentially met with doubled MPCA amount over past 3 months [ENDLINE] broken down by households with children under 1 year of age on the admin of overall</t>
  </si>
  <si>
    <t>Additional priority needs potentially met with doubled MPCA amount over past 3 months [ENDLINE] broken down by households with pregnant women on the admin of overall</t>
  </si>
  <si>
    <t>Additional priority needs potentially met with doubled MPCA amount over past 3 months [ENDLINE] broken down by households with people with disabilities of group 1 or 2 on the admin of overall</t>
  </si>
  <si>
    <t>Additional priority needs potentially met with doubled MPCA amount over past 3 months [ENDLINE] broken down by households with people with severe chronic diseases on the admin of overall</t>
  </si>
  <si>
    <t>Additional priority needs potentially met with doubled MPCA amount over past 3 months [ENDLINE] broken down by households where all adult members are 60 y.o.+ on the admin of overall</t>
  </si>
  <si>
    <t>Additional priority needs potentially met with doubled MPCA amount over past 3 months [ENDLINE] broken down by households headed by women on the admin of overall</t>
  </si>
  <si>
    <t>Additional priority needs potentially met with doubled MPCA amount over past 3 months [ENDLINE] broken down by single headed households with child(ren) or older person(s) (60 y.o.+) on the admin of overall</t>
  </si>
  <si>
    <t>Additional priority needs potentially met with doubled MPCA amount over past 3 months [ENDLINE] broken down by households displaced from the territory of active hostilities and not receiving idp payments on the admin of overall</t>
  </si>
  <si>
    <t>Additional priority needs potentially met with doubled MPCA amount over past 3 months [ENDLINE] broken down by households evacuated from the territory of active hostilities within the last 30 days on the admin of overall</t>
  </si>
  <si>
    <t>Additional priority needs potentially met with doubled MPCA amount over past 3 months [ENDLINE] broken down by households partially or fully damaged on the admin of overall</t>
  </si>
  <si>
    <t>Additional priority needs potentially met with doubled MPCA amount over past 3 months [ENDLINE] broken down by households whose members were injured or killed as a result of hostilities on the admin of overall</t>
  </si>
  <si>
    <t>Additional priority needs potentially met with doubled MPCA amount over past 3 months [ENDLINE] broken down by total eligibility quantiled on the admin of overall</t>
  </si>
  <si>
    <t>Needs that MPCA is considered insufficient to address [BASELINE] on the admin of overall</t>
  </si>
  <si>
    <t>No, no needs that MPCA is not able to meet</t>
  </si>
  <si>
    <t>Needs that MPCA is considered insufficient to address [BASELINE] broken down by households with 3 or more children under 18 years of age on the admin of overall</t>
  </si>
  <si>
    <t>Needs that MPCA is considered insufficient to address [BASELINE] broken down by households with children under 1 year of age on the admin of overall</t>
  </si>
  <si>
    <t>Needs that MPCA is considered insufficient to address [BASELINE] broken down by households with pregnant women on the admin of overall</t>
  </si>
  <si>
    <t>Needs that MPCA is considered insufficient to address [BASELINE] broken down by households with people with disabilities of group 1 or 2 on the admin of overall</t>
  </si>
  <si>
    <t>Needs that MPCA is considered insufficient to address [BASELINE] broken down by households with people with severe chronic diseases on the admin of overall</t>
  </si>
  <si>
    <t>Needs that MPCA is considered insufficient to address [BASELINE] broken down by households where all adult members are 60 y.o.+ on the admin of overall</t>
  </si>
  <si>
    <t>Needs that MPCA is considered insufficient to address [BASELINE] broken down by households headed by women on the admin of overall</t>
  </si>
  <si>
    <t>Needs that MPCA is considered insufficient to address [BASELINE] broken down by single headed households with child(ren) or older person(s) (60 y.o.+) on the admin of overall</t>
  </si>
  <si>
    <t>Needs that MPCA is considered insufficient to address [BASELINE] broken down by households displaced from the territory of active hostilities and not receiving idp payments on the admin of overall</t>
  </si>
  <si>
    <t>Needs that MPCA is considered insufficient to address [BASELINE] broken down by households evacuated from the territory of active hostilities within the last 30 days on the admin of overall</t>
  </si>
  <si>
    <t>Needs that MPCA is considered insufficient to address [BASELINE] broken down by households partially or fully damaged on the admin of overall</t>
  </si>
  <si>
    <t>Needs that MPCA is considered insufficient to address [BASELINE] broken down by households whose members were injured or killed as a result of hostilities on the admin of overall</t>
  </si>
  <si>
    <t>Needs that MPCA is considered insufficient to address [BASELINE] broken down by total eligibility quantiled on the admin of overall</t>
  </si>
  <si>
    <t>Needs that MPCA is considered insufficient to address [ENDLINE] on the admin of overall</t>
  </si>
  <si>
    <t>Needs that MPCA is considered insufficient to address [ENDLINE] broken down by households with 3 or more children under 18 years of age on the admin of overall</t>
  </si>
  <si>
    <t>Needs that MPCA is considered insufficient to address [ENDLINE] broken down by households with children under 1 year of age on the admin of overall</t>
  </si>
  <si>
    <t>Needs that MPCA is considered insufficient to address [ENDLINE] broken down by households with pregnant women on the admin of overall</t>
  </si>
  <si>
    <t>Needs that MPCA is considered insufficient to address [ENDLINE] broken down by households with people with disabilities of group 1 or 2 on the admin of overall</t>
  </si>
  <si>
    <t>Needs that MPCA is considered insufficient to address [ENDLINE] broken down by households with people with severe chronic diseases on the admin of overall</t>
  </si>
  <si>
    <t>Needs that MPCA is considered insufficient to address [ENDLINE] broken down by households where all adult members are 60 y.o.+ on the admin of overall</t>
  </si>
  <si>
    <t>Needs that MPCA is considered insufficient to address [ENDLINE] broken down by households headed by women on the admin of overall</t>
  </si>
  <si>
    <t>Needs that MPCA is considered insufficient to address [ENDLINE] broken down by single headed households with child(ren) or older person(s) (60 y.o.+) on the admin of overall</t>
  </si>
  <si>
    <t>Needs that MPCA is considered insufficient to address [ENDLINE] broken down by households displaced from the territory of active hostilities and not receiving idp payments on the admin of overall</t>
  </si>
  <si>
    <t>Needs that MPCA is considered insufficient to address [ENDLINE] broken down by households evacuated from the territory of active hostilities within the last 30 days on the admin of overall</t>
  </si>
  <si>
    <t>Needs that MPCA is considered insufficient to address [ENDLINE] broken down by households partially or fully damaged on the admin of overall</t>
  </si>
  <si>
    <t>Needs that MPCA is considered insufficient to address [ENDLINE] broken down by households whose members were injured or killed as a result of hostilities on the admin of overall</t>
  </si>
  <si>
    <t>Needs that MPCA is considered insufficient to address [ENDLINE] broken down by total eligibility quantiled on the admin of overall</t>
  </si>
  <si>
    <t>Preferred type of assistance for meeting current household needs [BASELINE] on the admin of overall</t>
  </si>
  <si>
    <t>Cash for specific needs (heating fuel, accommodation/rent, medication. etc.)</t>
  </si>
  <si>
    <t>Food packages</t>
  </si>
  <si>
    <t>Food vouchers</t>
  </si>
  <si>
    <t>Hygiene products</t>
  </si>
  <si>
    <t>Legal aid</t>
  </si>
  <si>
    <t>Multi-purpose cash</t>
  </si>
  <si>
    <t>Non-food items (other than hygiene items)</t>
  </si>
  <si>
    <t>Other</t>
  </si>
  <si>
    <t>Voucher for accommodation/rent</t>
  </si>
  <si>
    <t>Vouchers for hygiene products</t>
  </si>
  <si>
    <t>Preferred type of assistance for meeting current household needs [BASELINE] broken down by households with 3 or more children under 18 years of age on the admin of overall</t>
  </si>
  <si>
    <t>Preferred type of assistance for meeting current household needs [BASELINE] broken down by households with children under 1 year of age on the admin of overall</t>
  </si>
  <si>
    <t>Preferred type of assistance for meeting current household needs [BASELINE] broken down by households with pregnant women on the admin of overall</t>
  </si>
  <si>
    <t>Preferred type of assistance for meeting current household needs [BASELINE] broken down by households with people with disabilities of group 1 or 2 on the admin of overall</t>
  </si>
  <si>
    <t>Preferred type of assistance for meeting current household needs [BASELINE] broken down by households with people with severe chronic diseases on the admin of overall</t>
  </si>
  <si>
    <t>Preferred type of assistance for meeting current household needs [BASELINE] broken down by households where all adult members are 60 y.o.+ on the admin of overall</t>
  </si>
  <si>
    <t>Preferred type of assistance for meeting current household needs [BASELINE] broken down by households headed by women on the admin of overall</t>
  </si>
  <si>
    <t>Preferred type of assistance for meeting current household needs [BASELINE] broken down by single headed households with child(ren) or older person(s) (60 y.o.+) on the admin of overall</t>
  </si>
  <si>
    <t>Preferred type of assistance for meeting current household needs [BASELINE] broken down by households displaced from the territory of active hostilities and not receiving idp payments on the admin of overall</t>
  </si>
  <si>
    <t>Preferred type of assistance for meeting current household needs [BASELINE] broken down by households evacuated from the territory of active hostilities within the last 30 days on the admin of overall</t>
  </si>
  <si>
    <t>Preferred type of assistance for meeting current household needs [BASELINE] broken down by households partially or fully damaged on the admin of overall</t>
  </si>
  <si>
    <t>Preferred type of assistance for meeting current household needs [BASELINE] broken down by households whose members were injured or killed as a result of hostilities on the admin of overall</t>
  </si>
  <si>
    <t>Preferred type of assistance for meeting current household needs [BASELINE] broken down by total eligibility quantiled on the admin of overall</t>
  </si>
  <si>
    <t>Preferred type of assistance for meeting current household needs [ENDLINE] on the admin of overall</t>
  </si>
  <si>
    <t>Preferred type of assistance for meeting current household needs [ENDLINE] broken down by households with 3 or more children under 18 years of age on the admin of overall</t>
  </si>
  <si>
    <t>Preferred type of assistance for meeting current household needs [ENDLINE] broken down by households with children under 1 year of age on the admin of overall</t>
  </si>
  <si>
    <t>Preferred type of assistance for meeting current household needs [ENDLINE] broken down by households with pregnant women on the admin of overall</t>
  </si>
  <si>
    <t>Preferred type of assistance for meeting current household needs [ENDLINE] broken down by households with people with disabilities of group 1 or 2 on the admin of overall</t>
  </si>
  <si>
    <t>Preferred type of assistance for meeting current household needs [ENDLINE] broken down by households with people with severe chronic diseases on the admin of overall</t>
  </si>
  <si>
    <t>Preferred type of assistance for meeting current household needs [ENDLINE] broken down by households where all adult members are 60 y.o.+ on the admin of overall</t>
  </si>
  <si>
    <t>Preferred type of assistance for meeting current household needs [ENDLINE] broken down by households headed by women on the admin of overall</t>
  </si>
  <si>
    <t>Preferred type of assistance for meeting current household needs [ENDLINE] broken down by single headed households with child(ren) or older person(s) (60 y.o.+) on the admin of overall</t>
  </si>
  <si>
    <t>Preferred type of assistance for meeting current household needs [ENDLINE] broken down by households displaced from the territory of active hostilities and not receiving idp payments on the admin of overall</t>
  </si>
  <si>
    <t>Preferred type of assistance for meeting current household needs [ENDLINE] broken down by households evacuated from the territory of active hostilities within the last 30 days on the admin of overall</t>
  </si>
  <si>
    <t>Preferred type of assistance for meeting current household needs [ENDLINE] broken down by households partially or fully damaged on the admin of overall</t>
  </si>
  <si>
    <t>Preferred type of assistance for meeting current household needs [ENDLINE] broken down by households whose members were injured or killed as a result of hostilities on the admin of overall</t>
  </si>
  <si>
    <t>Preferred type of assistance for meeting current household needs [ENDLINE] broken down by total eligibility quantiled on the admin of overall</t>
  </si>
  <si>
    <t>Remaining needs after MPCA that require additional cash or in-kind assistance [ENDLINE] on the admin of overall</t>
  </si>
  <si>
    <t>Remaining needs after MPCA that require additional cash or in-kind assistance [ENDLINE] broken down by households with 3 or more children under 18 years of age on the admin of overall</t>
  </si>
  <si>
    <t>Remaining needs after MPCA that require additional cash or in-kind assistance [ENDLINE] broken down by households with children under 1 year of age on the admin of overall</t>
  </si>
  <si>
    <t>Remaining needs after MPCA that require additional cash or in-kind assistance [ENDLINE] broken down by households with pregnant women on the admin of overall</t>
  </si>
  <si>
    <t>Remaining needs after MPCA that require additional cash or in-kind assistance [ENDLINE] broken down by households with people with disabilities of group 1 or 2 on the admin of overall</t>
  </si>
  <si>
    <t>Remaining needs after MPCA that require additional cash or in-kind assistance [ENDLINE] broken down by households with people with severe chronic diseases on the admin of overall</t>
  </si>
  <si>
    <t>Remaining needs after MPCA that require additional cash or in-kind assistance [ENDLINE] broken down by households where all adult members are 60 y.o.+ on the admin of overall</t>
  </si>
  <si>
    <t>Remaining needs after MPCA that require additional cash or in-kind assistance [ENDLINE] broken down by households headed by women on the admin of overall</t>
  </si>
  <si>
    <t>Remaining needs after MPCA that require additional cash or in-kind assistance [ENDLINE] broken down by single headed households with child(ren) or older person(s) (60 y.o.+) on the admin of overall</t>
  </si>
  <si>
    <t>Remaining needs after MPCA that require additional cash or in-kind assistance [ENDLINE] broken down by households displaced from the territory of active hostilities and not receiving idp payments on the admin of overall</t>
  </si>
  <si>
    <t>Remaining needs after MPCA that require additional cash or in-kind assistance [ENDLINE] broken down by households evacuated from the territory of active hostilities within the last 30 days on the admin of overall</t>
  </si>
  <si>
    <t>Remaining needs after MPCA that require additional cash or in-kind assistance [ENDLINE] broken down by households partially or fully damaged on the admin of overall</t>
  </si>
  <si>
    <t>Remaining needs after MPCA that require additional cash or in-kind assistance [ENDLINE] broken down by households whose members were injured or killed as a result of hostilities on the admin of overall</t>
  </si>
  <si>
    <t>Remaining needs after MPCA that require additional cash or in-kind assistance [ENDLINE] broken down by total eligibility quantiled on the admin of overall</t>
  </si>
  <si>
    <t>Demining /mine awareness</t>
  </si>
  <si>
    <t>Education support</t>
  </si>
  <si>
    <t>Feminine hygiene products</t>
  </si>
  <si>
    <t>Food items/kits</t>
  </si>
  <si>
    <t>Healthcare</t>
  </si>
  <si>
    <t>Heating system</t>
  </si>
  <si>
    <t>Housing repairs kits / material to repair, rebuild, improve houses</t>
  </si>
  <si>
    <t xml:space="preserve">Hygiene items/kits </t>
  </si>
  <si>
    <t>Legal support</t>
  </si>
  <si>
    <t>Livelihoods support / employment</t>
  </si>
  <si>
    <t>Medicine</t>
  </si>
  <si>
    <t>Nutrition (e.g. special nutritious foods for child/PLW, infant formula, nutrition supplements)</t>
  </si>
  <si>
    <t>Personal winter items (clothing, blankets, etc)</t>
  </si>
  <si>
    <t>Solid fuel for heating</t>
  </si>
  <si>
    <t>Water for drinking</t>
  </si>
  <si>
    <t>Water for non-drinking purposes</t>
  </si>
  <si>
    <t>Amount of multi-purpose cash assistance received over last 3 months in UAH [ENDLINE] on the admin of overall</t>
  </si>
  <si>
    <t>Amount of multi-purpose cash assistance received over last 3 months in UAH [ENDLINE] broken down by households with 3 or more children under 18 years of age on the admin of overall</t>
  </si>
  <si>
    <t>Amount of multi-purpose cash assistance received over last 3 months in UAH [ENDLINE] broken down by households with children under 1 year of age on the admin of overall</t>
  </si>
  <si>
    <t>Amount of multi-purpose cash assistance received over last 3 months in UAH [ENDLINE] broken down by households with pregnant women on the admin of overall</t>
  </si>
  <si>
    <t>Amount of multi-purpose cash assistance received over last 3 months in UAH [ENDLINE] broken down by households with people with disabilities of group 1 or 2 on the admin of overall</t>
  </si>
  <si>
    <t>Amount of multi-purpose cash assistance received over last 3 months in UAH [ENDLINE] broken down by households with people with severe chronic diseases on the admin of overall</t>
  </si>
  <si>
    <t>Amount of multi-purpose cash assistance received over last 3 months in UAH [ENDLINE] broken down by households where all adult members are 60 y.o.+ on the admin of overall</t>
  </si>
  <si>
    <t>Amount of multi-purpose cash assistance received over last 3 months in UAH [ENDLINE] broken down by households headed by women on the admin of overall</t>
  </si>
  <si>
    <t>Amount of multi-purpose cash assistance received over last 3 months in UAH [ENDLINE] broken down by single headed households with child(ren) or older person(s) (60 y.o.+) on the admin of overall</t>
  </si>
  <si>
    <t>Amount of multi-purpose cash assistance received over last 3 months in UAH [ENDLINE] broken down by households displaced from the territory of active hostilities and not receiving idp payments on the admin of overall</t>
  </si>
  <si>
    <t>Amount of multi-purpose cash assistance received over last 3 months in UAH [ENDLINE] broken down by households evacuated from the territory of active hostilities within the last 30 days on the admin of overall</t>
  </si>
  <si>
    <t>Amount of multi-purpose cash assistance received over last 3 months in UAH [ENDLINE] broken down by households partially or fully damaged on the admin of overall</t>
  </si>
  <si>
    <t>Amount of multi-purpose cash assistance received over last 3 months in UAH [ENDLINE] broken down by households whose members were injured or killed as a result of hostilities on the admin of overall</t>
  </si>
  <si>
    <t>Amount of multi-purpose cash assistance received over last 3 months in UAH [ENDLINE] broken down by total eligibility quantiled on the admin of overall</t>
  </si>
  <si>
    <t>Amount of multi-purpose cash assistance received over last 3 months per hh member in UAH [ENDLINE] on the admin of overall</t>
  </si>
  <si>
    <t>Amount of multi-purpose cash assistance received over last 3 months per hh member in UAH [ENDLINE] broken down by households with 3 or more children under 18 years of age on the admin of overall</t>
  </si>
  <si>
    <t>Amount of multi-purpose cash assistance received over last 3 months per hh member in UAH [ENDLINE] broken down by households with children under 1 year of age on the admin of overall</t>
  </si>
  <si>
    <t>Amount of multi-purpose cash assistance received over last 3 months per hh member in UAH [ENDLINE] broken down by households with pregnant women on the admin of overall</t>
  </si>
  <si>
    <t>Amount of multi-purpose cash assistance received over last 3 months per hh member in UAH [ENDLINE] broken down by households with people with disabilities of group 1 or 2 on the admin of overall</t>
  </si>
  <si>
    <t>Amount of multi-purpose cash assistance received over last 3 months per hh member in UAH [ENDLINE] broken down by households with people with severe chronic diseases on the admin of overall</t>
  </si>
  <si>
    <t>Amount of multi-purpose cash assistance received over last 3 months per hh member in UAH [ENDLINE] broken down by households where all adult members are 60 y.o.+ on the admin of overall</t>
  </si>
  <si>
    <t>Amount of multi-purpose cash assistance received over last 3 months per hh member in UAH [ENDLINE] broken down by households headed by women on the admin of overall</t>
  </si>
  <si>
    <t>Amount of multi-purpose cash assistance received over last 3 months per hh member in UAH [ENDLINE] broken down by single headed households with child(ren) or older person(s) (60 y.o.+) on the admin of overall</t>
  </si>
  <si>
    <t>Amount of multi-purpose cash assistance received over last 3 months per hh member in UAH [ENDLINE] broken down by households displaced from the territory of active hostilities and not receiving idp payments on the admin of overall</t>
  </si>
  <si>
    <t>Amount of multi-purpose cash assistance received over last 3 months per hh member in UAH [ENDLINE] broken down by households evacuated from the territory of active hostilities within the last 30 days on the admin of overall</t>
  </si>
  <si>
    <t>Amount of multi-purpose cash assistance received over last 3 months per hh member in UAH [ENDLINE] broken down by households partially or fully damaged on the admin of overall</t>
  </si>
  <si>
    <t>Amount of multi-purpose cash assistance received over last 3 months per hh member in UAH [ENDLINE] broken down by households whose members were injured or killed as a result of hostilities on the admin of overall</t>
  </si>
  <si>
    <t>Amount of multi-purpose cash assistance received over last 3 months per hh member in UAH [ENDLINE] broken down by total eligibility quantiled on the admin of overall</t>
  </si>
  <si>
    <t>Other types of humanitarian aid received in the previous three months [ENDLINE] on the admin of overall</t>
  </si>
  <si>
    <t>Other types of humanitarian aid received in the previous three months [ENDLINE] broken down by households with 3 or more children under 18 years of age on the admin of overall</t>
  </si>
  <si>
    <t>Other types of humanitarian aid received in the previous three months [ENDLINE] broken down by households with children under 1 year of age on the admin of overall</t>
  </si>
  <si>
    <t>Other types of humanitarian aid received in the previous three months [ENDLINE] broken down by households with pregnant women on the admin of overall</t>
  </si>
  <si>
    <t>Other types of humanitarian aid received in the previous three months [ENDLINE] broken down by households with people with disabilities of group 1 or 2 on the admin of overall</t>
  </si>
  <si>
    <t>Other types of humanitarian aid received in the previous three months [ENDLINE] broken down by households with people with severe chronic diseases on the admin of overall</t>
  </si>
  <si>
    <t>Other types of humanitarian aid received in the previous three months [ENDLINE] broken down by households where all adult members are 60 y.o.+ on the admin of overall</t>
  </si>
  <si>
    <t>Other types of humanitarian aid received in the previous three months [ENDLINE] broken down by households headed by women on the admin of overall</t>
  </si>
  <si>
    <t>Other types of humanitarian aid received in the previous three months [ENDLINE] broken down by single headed households with child(ren) or older person(s) (60 y.o.+) on the admin of overall</t>
  </si>
  <si>
    <t>Other types of humanitarian aid received in the previous three months [ENDLINE] broken down by households displaced from the territory of active hostilities and not receiving idp payments on the admin of overall</t>
  </si>
  <si>
    <t>Other types of humanitarian aid received in the previous three months [ENDLINE] broken down by households evacuated from the territory of active hostilities within the last 30 days on the admin of overall</t>
  </si>
  <si>
    <t>Other types of humanitarian aid received in the previous three months [ENDLINE] broken down by households partially or fully damaged on the admin of overall</t>
  </si>
  <si>
    <t>Other types of humanitarian aid received in the previous three months [ENDLINE] broken down by households whose members were injured or killed as a result of hostilities on the admin of overall</t>
  </si>
  <si>
    <t>Other types of humanitarian aid received in the previous three months [ENDLINE] broken down by total eligibility quantiled on the admin of overall</t>
  </si>
  <si>
    <t>Estimated percentage of total household expenditures spent on 'Other' (past month, excl. humanitarian aid) [BASELINE] on the admin of overall</t>
  </si>
  <si>
    <t>Estimated percentage of total household expenditures spent on 'Other' (past month, excl. humanitarian aid) [BASELINE] broken down by households with 3 or more children under 18 years of age on the admin of overall</t>
  </si>
  <si>
    <t>Estimated percentage of total household expenditures spent on 'Other' (past month, excl. humanitarian aid) [BASELINE] broken down by households with children under 1 year of age on the admin of overall</t>
  </si>
  <si>
    <t>Estimated percentage of total household expenditures spent on 'Other' (past month, excl. humanitarian aid) [BASELINE] broken down by households with pregnant women on the admin of overall</t>
  </si>
  <si>
    <t>Estimated percentage of total household expenditures spent on 'Other' (past month, excl. humanitarian aid) [BASELINE] broken down by households with people with disabilities of group 1 or 2 on the admin of overall</t>
  </si>
  <si>
    <t>Estimated percentage of total household expenditures spent on 'Other' (past month, excl. humanitarian aid) [BASELINE] broken down by households with people with severe chronic diseases on the admin of overall</t>
  </si>
  <si>
    <t>Estimated percentage of total household expenditures spent on 'Other' (past month, excl. humanitarian aid) [BASELINE] broken down by households where all adult members are 60 y.o.+ on the admin of overall</t>
  </si>
  <si>
    <t>Estimated percentage of total household expenditures spent on 'Other' (past month, excl. humanitarian aid) [BASELINE] broken down by households headed by women on the admin of overall</t>
  </si>
  <si>
    <t>Estimated percentage of total household expenditures spent on 'Other' (past month, excl. humanitarian aid) [BASELINE] broken down by single headed households with child(ren) or older person(s) (60 y.o.+) on the admin of overall</t>
  </si>
  <si>
    <t>Estimated percentage of total household expenditures spent on 'Other' (past month, excl. humanitarian aid) [BASELINE] broken down by households displaced from the territory of active hostilities and not receiving idp payments on the admin of overall</t>
  </si>
  <si>
    <t>Estimated percentage of total household expenditures spent on 'Other' (past month, excl. humanitarian aid) [BASELINE] broken down by households evacuated from the territory of active hostilities within the last 30 days on the admin of overall</t>
  </si>
  <si>
    <t>Estimated percentage of total household expenditures spent on 'Other' (past month, excl. humanitarian aid) [BASELINE] broken down by households partially or fully damaged on the admin of overall</t>
  </si>
  <si>
    <t>Estimated percentage of total household expenditures spent on 'Other' (past month, excl. humanitarian aid) [BASELINE] broken down by households whose members were injured or killed as a result of hostilities on the admin of overall</t>
  </si>
  <si>
    <t>Estimated percentage of total household expenditures spent on 'Other' (past month, excl. humanitarian aid) [BASELINE] broken down by total eligibility quantiled on the admin of overall</t>
  </si>
  <si>
    <t>Estimated percentage of total household expenditures spent on 'Food' (past month, excl. humanitarian aid) [BASELINE] on the admin of overall</t>
  </si>
  <si>
    <t>Estimated percentage of total household expenditures spent on 'Food' (past month, excl. humanitarian aid) [BASELINE] broken down by households with 3 or more children under 18 years of age on the admin of overall</t>
  </si>
  <si>
    <t>Estimated percentage of total household expenditures spent on 'Food' (past month, excl. humanitarian aid) [BASELINE] broken down by households with children under 1 year of age on the admin of overall</t>
  </si>
  <si>
    <t>Estimated percentage of total household expenditures spent on 'Food' (past month, excl. humanitarian aid) [BASELINE] broken down by households with pregnant women on the admin of overall</t>
  </si>
  <si>
    <t>Estimated percentage of total household expenditures spent on 'Food' (past month, excl. humanitarian aid) [BASELINE] broken down by households with people with disabilities of group 1 or 2 on the admin of overall</t>
  </si>
  <si>
    <t>Estimated percentage of total household expenditures spent on 'Food' (past month, excl. humanitarian aid) [BASELINE] broken down by households with people with severe chronic diseases on the admin of overall</t>
  </si>
  <si>
    <t>Estimated percentage of total household expenditures spent on 'Food' (past month, excl. humanitarian aid) [BASELINE] broken down by households where all adult members are 60 y.o.+ on the admin of overall</t>
  </si>
  <si>
    <t>Estimated percentage of total household expenditures spent on 'Food' (past month, excl. humanitarian aid) [BASELINE] broken down by households headed by women on the admin of overall</t>
  </si>
  <si>
    <t>Estimated percentage of total household expenditures spent on 'Food' (past month, excl. humanitarian aid) [BASELINE] broken down by single headed households with child(ren) or older person(s) (60 y.o.+) on the admin of overall</t>
  </si>
  <si>
    <t>Estimated percentage of total household expenditures spent on 'Food' (past month, excl. humanitarian aid) [BASELINE] broken down by households displaced from the territory of active hostilities and not receiving idp payments on the admin of overall</t>
  </si>
  <si>
    <t>Estimated percentage of total household expenditures spent on 'Food' (past month, excl. humanitarian aid) [BASELINE] broken down by households evacuated from the territory of active hostilities within the last 30 days on the admin of overall</t>
  </si>
  <si>
    <t>Estimated percentage of total household expenditures spent on 'Food' (past month, excl. humanitarian aid) [BASELINE] broken down by households partially or fully damaged on the admin of overall</t>
  </si>
  <si>
    <t>Estimated percentage of total household expenditures spent on 'Food' (past month, excl. humanitarian aid) [BASELINE] broken down by households whose members were injured or killed as a result of hostilities on the admin of overall</t>
  </si>
  <si>
    <t>Estimated percentage of total household expenditures spent on 'Food' (past month, excl. humanitarian aid) [BASELINE] broken down by total eligibility quantiled on the admin of overall</t>
  </si>
  <si>
    <t>Estimated percentage of total household expenditures spent on 'Personal hygiene' (past month, excl. humanitarian aid) [BASELINE] on the admin of overall</t>
  </si>
  <si>
    <t>Estimated percentage of total household expenditures spent on 'Personal hygiene' (past month, excl. humanitarian aid) [BASELINE] broken down by households with 3 or more children under 18 years of age on the admin of overall</t>
  </si>
  <si>
    <t>Estimated percentage of total household expenditures spent on 'Personal hygiene' (past month, excl. humanitarian aid) [BASELINE] broken down by households with children under 1 year of age on the admin of overall</t>
  </si>
  <si>
    <t>Estimated percentage of total household expenditures spent on 'Personal hygiene' (past month, excl. humanitarian aid) [BASELINE] broken down by households with pregnant women on the admin of overall</t>
  </si>
  <si>
    <t>Estimated percentage of total household expenditures spent on 'Personal hygiene' (past month, excl. humanitarian aid) [BASELINE] broken down by households with people with disabilities of group 1 or 2 on the admin of overall</t>
  </si>
  <si>
    <t>Estimated percentage of total household expenditures spent on 'Personal hygiene' (past month, excl. humanitarian aid) [BASELINE] broken down by households with people with severe chronic diseases on the admin of overall</t>
  </si>
  <si>
    <t>Estimated percentage of total household expenditures spent on 'Personal hygiene' (past month, excl. humanitarian aid) [BASELINE] broken down by households where all adult members are 60 y.o.+ on the admin of overall</t>
  </si>
  <si>
    <t>Estimated percentage of total household expenditures spent on 'Personal hygiene' (past month, excl. humanitarian aid) [BASELINE] broken down by households headed by women on the admin of overall</t>
  </si>
  <si>
    <t>Estimated percentage of total household expenditures spent on 'Personal hygiene' (past month, excl. humanitarian aid) [BASELINE] broken down by single headed households with child(ren) or older person(s) (60 y.o.+) on the admin of overall</t>
  </si>
  <si>
    <t>Estimated percentage of total household expenditures spent on 'Personal hygiene' (past month, excl. humanitarian aid) [BASELINE] broken down by households displaced from the territory of active hostilities and not receiving idp payments on the admin of overall</t>
  </si>
  <si>
    <t>Estimated percentage of total household expenditures spent on 'Personal hygiene' (past month, excl. humanitarian aid) [BASELINE] broken down by households evacuated from the territory of active hostilities within the last 30 days on the admin of overall</t>
  </si>
  <si>
    <t>Estimated percentage of total household expenditures spent on 'Personal hygiene' (past month, excl. humanitarian aid) [BASELINE] broken down by households partially or fully damaged on the admin of overall</t>
  </si>
  <si>
    <t>Estimated percentage of total household expenditures spent on 'Personal hygiene' (past month, excl. humanitarian aid) [BASELINE] broken down by households whose members were injured or killed as a result of hostilities on the admin of overall</t>
  </si>
  <si>
    <t>Estimated percentage of total household expenditures spent on 'Personal hygiene' (past month, excl. humanitarian aid) [BASELINE] broken down by total eligibility quantiled on the admin of overall</t>
  </si>
  <si>
    <t>Estimated percentage of total household expenditures spent on 'Cleaning items' (past month, excl. humanitarian aid) [BASELINE] on the admin of overall</t>
  </si>
  <si>
    <t>Estimated percentage of total household expenditures spent on 'Cleaning items' (past month, excl. humanitarian aid) [BASELINE] broken down by households with 3 or more children under 18 years of age on the admin of overall</t>
  </si>
  <si>
    <t>Estimated percentage of total household expenditures spent on 'Cleaning items' (past month, excl. humanitarian aid) [BASELINE] broken down by households with children under 1 year of age on the admin of overall</t>
  </si>
  <si>
    <t>Estimated percentage of total household expenditures spent on 'Cleaning items' (past month, excl. humanitarian aid) [BASELINE] broken down by households with pregnant women on the admin of overall</t>
  </si>
  <si>
    <t>Estimated percentage of total household expenditures spent on 'Cleaning items' (past month, excl. humanitarian aid) [BASELINE] broken down by households with people with disabilities of group 1 or 2 on the admin of overall</t>
  </si>
  <si>
    <t>Estimated percentage of total household expenditures spent on 'Cleaning items' (past month, excl. humanitarian aid) [BASELINE] broken down by households with people with severe chronic diseases on the admin of overall</t>
  </si>
  <si>
    <t>Estimated percentage of total household expenditures spent on 'Cleaning items' (past month, excl. humanitarian aid) [BASELINE] broken down by households where all adult members are 60 y.o.+ on the admin of overall</t>
  </si>
  <si>
    <t>Estimated percentage of total household expenditures spent on 'Cleaning items' (past month, excl. humanitarian aid) [BASELINE] broken down by households headed by women on the admin of overall</t>
  </si>
  <si>
    <t>Estimated percentage of total household expenditures spent on 'Cleaning items' (past month, excl. humanitarian aid) [BASELINE] broken down by single headed households with child(ren) or older person(s) (60 y.o.+) on the admin of overall</t>
  </si>
  <si>
    <t>Estimated percentage of total household expenditures spent on 'Cleaning items' (past month, excl. humanitarian aid) [BASELINE] broken down by households displaced from the territory of active hostilities and not receiving idp payments on the admin of overall</t>
  </si>
  <si>
    <t>Estimated percentage of total household expenditures spent on 'Cleaning items' (past month, excl. humanitarian aid) [BASELINE] broken down by households evacuated from the territory of active hostilities within the last 30 days on the admin of overall</t>
  </si>
  <si>
    <t>Estimated percentage of total household expenditures spent on 'Cleaning items' (past month, excl. humanitarian aid) [BASELINE] broken down by households partially or fully damaged on the admin of overall</t>
  </si>
  <si>
    <t>Estimated percentage of total household expenditures spent on 'Cleaning items' (past month, excl. humanitarian aid) [BASELINE] broken down by households whose members were injured or killed as a result of hostilities on the admin of overall</t>
  </si>
  <si>
    <t>Estimated percentage of total household expenditures spent on 'Cleaning items' (past month, excl. humanitarian aid) [BASELINE] broken down by total eligibility quantiled on the admin of overall</t>
  </si>
  <si>
    <t>Estimated percentage of total household expenditures spent on 'Non-food items' (past month, excl. humanitarian aid) [BASELINE] on the admin of overall</t>
  </si>
  <si>
    <t>Estimated percentage of total household expenditures spent on 'Non-food items' (past month, excl. humanitarian aid) [BASELINE] broken down by households with 3 or more children under 18 years of age on the admin of overall</t>
  </si>
  <si>
    <t>Estimated percentage of total household expenditures spent on 'Non-food items' (past month, excl. humanitarian aid) [BASELINE] broken down by households with children under 1 year of age on the admin of overall</t>
  </si>
  <si>
    <t>Estimated percentage of total household expenditures spent on 'Non-food items' (past month, excl. humanitarian aid) [BASELINE] broken down by households with pregnant women on the admin of overall</t>
  </si>
  <si>
    <t>Estimated percentage of total household expenditures spent on 'Non-food items' (past month, excl. humanitarian aid) [BASELINE] broken down by households with people with disabilities of group 1 or 2 on the admin of overall</t>
  </si>
  <si>
    <t>Estimated percentage of total household expenditures spent on 'Non-food items' (past month, excl. humanitarian aid) [BASELINE] broken down by households with people with severe chronic diseases on the admin of overall</t>
  </si>
  <si>
    <t>Estimated percentage of total household expenditures spent on 'Non-food items' (past month, excl. humanitarian aid) [BASELINE] broken down by households where all adult members are 60 y.o.+ on the admin of overall</t>
  </si>
  <si>
    <t>Estimated percentage of total household expenditures spent on 'Non-food items' (past month, excl. humanitarian aid) [BASELINE] broken down by households headed by women on the admin of overall</t>
  </si>
  <si>
    <t>Estimated percentage of total household expenditures spent on 'Non-food items' (past month, excl. humanitarian aid) [BASELINE] broken down by single headed households with child(ren) or older person(s) (60 y.o.+) on the admin of overall</t>
  </si>
  <si>
    <t>Estimated percentage of total household expenditures spent on 'Non-food items' (past month, excl. humanitarian aid) [BASELINE] broken down by households displaced from the territory of active hostilities and not receiving idp payments on the admin of overall</t>
  </si>
  <si>
    <t>Estimated percentage of total household expenditures spent on 'Non-food items' (past month, excl. humanitarian aid) [BASELINE] broken down by households evacuated from the territory of active hostilities within the last 30 days on the admin of overall</t>
  </si>
  <si>
    <t>Estimated percentage of total household expenditures spent on 'Non-food items' (past month, excl. humanitarian aid) [BASELINE] broken down by households partially or fully damaged on the admin of overall</t>
  </si>
  <si>
    <t>Estimated percentage of total household expenditures spent on 'Non-food items' (past month, excl. humanitarian aid) [BASELINE] broken down by households whose members were injured or killed as a result of hostilities on the admin of overall</t>
  </si>
  <si>
    <t>Estimated percentage of total household expenditures spent on 'Non-food items' (past month, excl. humanitarian aid) [BASELINE] broken down by total eligibility quantiled on the admin of overall</t>
  </si>
  <si>
    <t>Estimated percentage of total household expenditures spent on 'Clothing and shoes' (past month, excl. humanitarian aid) [BASELINE] on the admin of overall</t>
  </si>
  <si>
    <t>Estimated percentage of total household expenditures spent on 'Clothing and shoes' (past month, excl. humanitarian aid) [BASELINE] broken down by households with 3 or more children under 18 years of age on the admin of overall</t>
  </si>
  <si>
    <t>Estimated percentage of total household expenditures spent on 'Clothing and shoes' (past month, excl. humanitarian aid) [BASELINE] broken down by households with children under 1 year of age on the admin of overall</t>
  </si>
  <si>
    <t>Estimated percentage of total household expenditures spent on 'Clothing and shoes' (past month, excl. humanitarian aid) [BASELINE] broken down by households with pregnant women on the admin of overall</t>
  </si>
  <si>
    <t>Estimated percentage of total household expenditures spent on 'Clothing and shoes' (past month, excl. humanitarian aid) [BASELINE] broken down by households with people with disabilities of group 1 or 2 on the admin of overall</t>
  </si>
  <si>
    <t>Estimated percentage of total household expenditures spent on 'Clothing and shoes' (past month, excl. humanitarian aid) [BASELINE] broken down by households with people with severe chronic diseases on the admin of overall</t>
  </si>
  <si>
    <t>Estimated percentage of total household expenditures spent on 'Clothing and shoes' (past month, excl. humanitarian aid) [BASELINE] broken down by households where all adult members are 60 y.o.+ on the admin of overall</t>
  </si>
  <si>
    <t>Estimated percentage of total household expenditures spent on 'Clothing and shoes' (past month, excl. humanitarian aid) [BASELINE] broken down by households headed by women on the admin of overall</t>
  </si>
  <si>
    <t>Estimated percentage of total household expenditures spent on 'Clothing and shoes' (past month, excl. humanitarian aid) [BASELINE] broken down by single headed households with child(ren) or older person(s) (60 y.o.+) on the admin of overall</t>
  </si>
  <si>
    <t>Estimated percentage of total household expenditures spent on 'Clothing and shoes' (past month, excl. humanitarian aid) [BASELINE] broken down by households displaced from the territory of active hostilities and not receiving idp payments on the admin of overall</t>
  </si>
  <si>
    <t>Estimated percentage of total household expenditures spent on 'Clothing and shoes' (past month, excl. humanitarian aid) [BASELINE] broken down by households evacuated from the territory of active hostilities within the last 30 days on the admin of overall</t>
  </si>
  <si>
    <t>Estimated percentage of total household expenditures spent on 'Clothing and shoes' (past month, excl. humanitarian aid) [BASELINE] broken down by households partially or fully damaged on the admin of overall</t>
  </si>
  <si>
    <t>Estimated percentage of total household expenditures spent on 'Clothing and shoes' (past month, excl. humanitarian aid) [BASELINE] broken down by households whose members were injured or killed as a result of hostilities on the admin of overall</t>
  </si>
  <si>
    <t>Estimated percentage of total household expenditures spent on 'Clothing and shoes' (past month, excl. humanitarian aid) [BASELINE] broken down by total eligibility quantiled on the admin of overall</t>
  </si>
  <si>
    <t>Estimated percentage of total household expenditures spent on 'Heating fuel' (past month, excl. humanitarian aid) [BASELINE] on the admin of overall</t>
  </si>
  <si>
    <t>Estimated percentage of total household expenditures spent on 'Heating fuel' (past month, excl. humanitarian aid) [BASELINE] broken down by households with 3 or more children under 18 years of age on the admin of overall</t>
  </si>
  <si>
    <t>Estimated percentage of total household expenditures spent on 'Heating fuel' (past month, excl. humanitarian aid) [BASELINE] broken down by households with children under 1 year of age on the admin of overall</t>
  </si>
  <si>
    <t>Estimated percentage of total household expenditures spent on 'Heating fuel' (past month, excl. humanitarian aid) [BASELINE] broken down by households with pregnant women on the admin of overall</t>
  </si>
  <si>
    <t>Estimated percentage of total household expenditures spent on 'Heating fuel' (past month, excl. humanitarian aid) [BASELINE] broken down by households with people with disabilities of group 1 or 2 on the admin of overall</t>
  </si>
  <si>
    <t>Estimated percentage of total household expenditures spent on 'Heating fuel' (past month, excl. humanitarian aid) [BASELINE] broken down by households with people with severe chronic diseases on the admin of overall</t>
  </si>
  <si>
    <t>Estimated percentage of total household expenditures spent on 'Heating fuel' (past month, excl. humanitarian aid) [BASELINE] broken down by households where all adult members are 60 y.o.+ on the admin of overall</t>
  </si>
  <si>
    <t>Estimated percentage of total household expenditures spent on 'Heating fuel' (past month, excl. humanitarian aid) [BASELINE] broken down by households headed by women on the admin of overall</t>
  </si>
  <si>
    <t>Estimated percentage of total household expenditures spent on 'Heating fuel' (past month, excl. humanitarian aid) [BASELINE] broken down by single headed households with child(ren) or older person(s) (60 y.o.+) on the admin of overall</t>
  </si>
  <si>
    <t>Estimated percentage of total household expenditures spent on 'Heating fuel' (past month, excl. humanitarian aid) [BASELINE] broken down by households displaced from the territory of active hostilities and not receiving idp payments on the admin of overall</t>
  </si>
  <si>
    <t>Estimated percentage of total household expenditures spent on 'Heating fuel' (past month, excl. humanitarian aid) [BASELINE] broken down by households evacuated from the territory of active hostilities within the last 30 days on the admin of overall</t>
  </si>
  <si>
    <t>Estimated percentage of total household expenditures spent on 'Heating fuel' (past month, excl. humanitarian aid) [BASELINE] broken down by households partially or fully damaged on the admin of overall</t>
  </si>
  <si>
    <t>Estimated percentage of total household expenditures spent on 'Heating fuel' (past month, excl. humanitarian aid) [BASELINE] broken down by households whose members were injured or killed as a result of hostilities on the admin of overall</t>
  </si>
  <si>
    <t>Estimated percentage of total household expenditures spent on 'Heating fuel' (past month, excl. humanitarian aid) [BASELINE] broken down by total eligibility quantiled on the admin of overall</t>
  </si>
  <si>
    <t>Estimated percentage of total household expenditures spent on 'Safe water' (past month, excl. humanitarian aid) [BASELINE] on the admin of overall</t>
  </si>
  <si>
    <t>Estimated percentage of total household expenditures spent on 'Safe water' (past month, excl. humanitarian aid) [BASELINE] broken down by households with 3 or more children under 18 years of age on the admin of overall</t>
  </si>
  <si>
    <t>Estimated percentage of total household expenditures spent on 'Safe water' (past month, excl. humanitarian aid) [BASELINE] broken down by households with children under 1 year of age on the admin of overall</t>
  </si>
  <si>
    <t>Estimated percentage of total household expenditures spent on 'Safe water' (past month, excl. humanitarian aid) [BASELINE] broken down by households with pregnant women on the admin of overall</t>
  </si>
  <si>
    <t>Estimated percentage of total household expenditures spent on 'Safe water' (past month, excl. humanitarian aid) [BASELINE] broken down by households with people with disabilities of group 1 or 2 on the admin of overall</t>
  </si>
  <si>
    <t>Estimated percentage of total household expenditures spent on 'Safe water' (past month, excl. humanitarian aid) [BASELINE] broken down by households with people with severe chronic diseases on the admin of overall</t>
  </si>
  <si>
    <t>Estimated percentage of total household expenditures spent on 'Safe water' (past month, excl. humanitarian aid) [BASELINE] broken down by households where all adult members are 60 y.o.+ on the admin of overall</t>
  </si>
  <si>
    <t>Estimated percentage of total household expenditures spent on 'Safe water' (past month, excl. humanitarian aid) [BASELINE] broken down by households headed by women on the admin of overall</t>
  </si>
  <si>
    <t>Estimated percentage of total household expenditures spent on 'Safe water' (past month, excl. humanitarian aid) [BASELINE] broken down by single headed households with child(ren) or older person(s) (60 y.o.+) on the admin of overall</t>
  </si>
  <si>
    <t>Estimated percentage of total household expenditures spent on 'Safe water' (past month, excl. humanitarian aid) [BASELINE] broken down by households displaced from the territory of active hostilities and not receiving idp payments on the admin of overall</t>
  </si>
  <si>
    <t>Estimated percentage of total household expenditures spent on 'Safe water' (past month, excl. humanitarian aid) [BASELINE] broken down by households evacuated from the territory of active hostilities within the last 30 days on the admin of overall</t>
  </si>
  <si>
    <t>Estimated percentage of total household expenditures spent on 'Safe water' (past month, excl. humanitarian aid) [BASELINE] broken down by households partially or fully damaged on the admin of overall</t>
  </si>
  <si>
    <t>Estimated percentage of total household expenditures spent on 'Safe water' (past month, excl. humanitarian aid) [BASELINE] broken down by households whose members were injured or killed as a result of hostilities on the admin of overall</t>
  </si>
  <si>
    <t>Estimated percentage of total household expenditures spent on 'Safe water' (past month, excl. humanitarian aid) [BASELINE] broken down by total eligibility quantiled on the admin of overall</t>
  </si>
  <si>
    <t>Estimated percentage of total household expenditures spent on 'Utilities' (past month, excl. humanitarian aid) [BASELINE] on the admin of overall</t>
  </si>
  <si>
    <t>Estimated percentage of total household expenditures spent on 'Utilities' (past month, excl. humanitarian aid) [BASELINE] broken down by households with 3 or more children under 18 years of age on the admin of overall</t>
  </si>
  <si>
    <t>Estimated percentage of total household expenditures spent on 'Utilities' (past month, excl. humanitarian aid) [BASELINE] broken down by households with children under 1 year of age on the admin of overall</t>
  </si>
  <si>
    <t>Estimated percentage of total household expenditures spent on 'Utilities' (past month, excl. humanitarian aid) [BASELINE] broken down by households with pregnant women on the admin of overall</t>
  </si>
  <si>
    <t>Estimated percentage of total household expenditures spent on 'Utilities' (past month, excl. humanitarian aid) [BASELINE] broken down by households with people with disabilities of group 1 or 2 on the admin of overall</t>
  </si>
  <si>
    <t>Estimated percentage of total household expenditures spent on 'Utilities' (past month, excl. humanitarian aid) [BASELINE] broken down by households with people with severe chronic diseases on the admin of overall</t>
  </si>
  <si>
    <t>Estimated percentage of total household expenditures spent on 'Utilities' (past month, excl. humanitarian aid) [BASELINE] broken down by households where all adult members are 60 y.o.+ on the admin of overall</t>
  </si>
  <si>
    <t>Estimated percentage of total household expenditures spent on 'Utilities' (past month, excl. humanitarian aid) [BASELINE] broken down by households headed by women on the admin of overall</t>
  </si>
  <si>
    <t>Estimated percentage of total household expenditures spent on 'Utilities' (past month, excl. humanitarian aid) [BASELINE] broken down by single headed households with child(ren) or older person(s) (60 y.o.+) on the admin of overall</t>
  </si>
  <si>
    <t>Estimated percentage of total household expenditures spent on 'Utilities' (past month, excl. humanitarian aid) [BASELINE] broken down by households displaced from the territory of active hostilities and not receiving idp payments on the admin of overall</t>
  </si>
  <si>
    <t>Estimated percentage of total household expenditures spent on 'Utilities' (past month, excl. humanitarian aid) [BASELINE] broken down by households evacuated from the territory of active hostilities within the last 30 days on the admin of overall</t>
  </si>
  <si>
    <t>Estimated percentage of total household expenditures spent on 'Utilities' (past month, excl. humanitarian aid) [BASELINE] broken down by households partially or fully damaged on the admin of overall</t>
  </si>
  <si>
    <t>Estimated percentage of total household expenditures spent on 'Utilities' (past month, excl. humanitarian aid) [BASELINE] broken down by households whose members were injured or killed as a result of hostilities on the admin of overall</t>
  </si>
  <si>
    <t>Estimated percentage of total household expenditures spent on 'Utilities' (past month, excl. humanitarian aid) [BASELINE] broken down by total eligibility quantiled on the admin of overall</t>
  </si>
  <si>
    <t>Estimated percentage of total household expenditures spent on 'Water supply' (past month, excl. humanitarian aid) [BASELINE] on the admin of overall</t>
  </si>
  <si>
    <t>Estimated percentage of total household expenditures spent on 'Water supply' (past month, excl. humanitarian aid) [BASELINE] broken down by households with 3 or more children under 18 years of age on the admin of overall</t>
  </si>
  <si>
    <t>Estimated percentage of total household expenditures spent on 'Water supply' (past month, excl. humanitarian aid) [BASELINE] broken down by households with children under 1 year of age on the admin of overall</t>
  </si>
  <si>
    <t>Estimated percentage of total household expenditures spent on 'Water supply' (past month, excl. humanitarian aid) [BASELINE] broken down by households with pregnant women on the admin of overall</t>
  </si>
  <si>
    <t>Estimated percentage of total household expenditures spent on 'Water supply' (past month, excl. humanitarian aid) [BASELINE] broken down by households with people with disabilities of group 1 or 2 on the admin of overall</t>
  </si>
  <si>
    <t>Estimated percentage of total household expenditures spent on 'Water supply' (past month, excl. humanitarian aid) [BASELINE] broken down by households with people with severe chronic diseases on the admin of overall</t>
  </si>
  <si>
    <t>Estimated percentage of total household expenditures spent on 'Water supply' (past month, excl. humanitarian aid) [BASELINE] broken down by households where all adult members are 60 y.o.+ on the admin of overall</t>
  </si>
  <si>
    <t>Estimated percentage of total household expenditures spent on 'Water supply' (past month, excl. humanitarian aid) [BASELINE] broken down by households headed by women on the admin of overall</t>
  </si>
  <si>
    <t>Estimated percentage of total household expenditures spent on 'Water supply' (past month, excl. humanitarian aid) [BASELINE] broken down by single headed households with child(ren) or older person(s) (60 y.o.+) on the admin of overall</t>
  </si>
  <si>
    <t>Estimated percentage of total household expenditures spent on 'Water supply' (past month, excl. humanitarian aid) [BASELINE] broken down by households displaced from the territory of active hostilities and not receiving idp payments on the admin of overall</t>
  </si>
  <si>
    <t>Estimated percentage of total household expenditures spent on 'Water supply' (past month, excl. humanitarian aid) [BASELINE] broken down by households evacuated from the territory of active hostilities within the last 30 days on the admin of overall</t>
  </si>
  <si>
    <t>Estimated percentage of total household expenditures spent on 'Water supply' (past month, excl. humanitarian aid) [BASELINE] broken down by households partially or fully damaged on the admin of overall</t>
  </si>
  <si>
    <t>Estimated percentage of total household expenditures spent on 'Water supply' (past month, excl. humanitarian aid) [BASELINE] broken down by households whose members were injured or killed as a result of hostilities on the admin of overall</t>
  </si>
  <si>
    <t>Estimated percentage of total household expenditures spent on 'Water supply' (past month, excl. humanitarian aid) [BASELINE] broken down by total eligibility quantiled on the admin of overall</t>
  </si>
  <si>
    <t>Estimated percentage of total household expenditures spent on 'Rent' (past month, excl. humanitarian aid) [BASELINE] on the admin of overall</t>
  </si>
  <si>
    <t>Estimated percentage of total household expenditures spent on 'Rent' (past month, excl. humanitarian aid) [BASELINE] broken down by households with 3 or more children under 18 years of age on the admin of overall</t>
  </si>
  <si>
    <t>Estimated percentage of total household expenditures spent on 'Rent' (past month, excl. humanitarian aid) [BASELINE] broken down by households with children under 1 year of age on the admin of overall</t>
  </si>
  <si>
    <t>Estimated percentage of total household expenditures spent on 'Rent' (past month, excl. humanitarian aid) [BASELINE] broken down by households with pregnant women on the admin of overall</t>
  </si>
  <si>
    <t>Estimated percentage of total household expenditures spent on 'Rent' (past month, excl. humanitarian aid) [BASELINE] broken down by households with people with disabilities of group 1 or 2 on the admin of overall</t>
  </si>
  <si>
    <t>Estimated percentage of total household expenditures spent on 'Rent' (past month, excl. humanitarian aid) [BASELINE] broken down by households with people with severe chronic diseases on the admin of overall</t>
  </si>
  <si>
    <t>Estimated percentage of total household expenditures spent on 'Rent' (past month, excl. humanitarian aid) [BASELINE] broken down by households where all adult members are 60 y.o.+ on the admin of overall</t>
  </si>
  <si>
    <t>Estimated percentage of total household expenditures spent on 'Rent' (past month, excl. humanitarian aid) [BASELINE] broken down by households headed by women on the admin of overall</t>
  </si>
  <si>
    <t>Estimated percentage of total household expenditures spent on 'Rent' (past month, excl. humanitarian aid) [BASELINE] broken down by single headed households with child(ren) or older person(s) (60 y.o.+) on the admin of overall</t>
  </si>
  <si>
    <t>Estimated percentage of total household expenditures spent on 'Rent' (past month, excl. humanitarian aid) [BASELINE] broken down by households displaced from the territory of active hostilities and not receiving idp payments on the admin of overall</t>
  </si>
  <si>
    <t>Estimated percentage of total household expenditures spent on 'Rent' (past month, excl. humanitarian aid) [BASELINE] broken down by households evacuated from the territory of active hostilities within the last 30 days on the admin of overall</t>
  </si>
  <si>
    <t>Estimated percentage of total household expenditures spent on 'Rent' (past month, excl. humanitarian aid) [BASELINE] broken down by households partially or fully damaged on the admin of overall</t>
  </si>
  <si>
    <t>Estimated percentage of total household expenditures spent on 'Rent' (past month, excl. humanitarian aid) [BASELINE] broken down by households whose members were injured or killed as a result of hostilities on the admin of overall</t>
  </si>
  <si>
    <t>Estimated percentage of total household expenditures spent on 'Rent' (past month, excl. humanitarian aid) [BASELINE] broken down by total eligibility quantiled on the admin of overall</t>
  </si>
  <si>
    <t>Estimated percentage of total household expenditures spent on 'Assistive products' (past month, excl. humanitarian aid) [BASELINE] on the admin of overall</t>
  </si>
  <si>
    <t>Estimated percentage of total household expenditures spent on 'Assistive products' (past month, excl. humanitarian aid) [BASELINE] broken down by households with 3 or more children under 18 years of age on the admin of overall</t>
  </si>
  <si>
    <t>Estimated percentage of total household expenditures spent on 'Assistive products' (past month, excl. humanitarian aid) [BASELINE] broken down by households with children under 1 year of age on the admin of overall</t>
  </si>
  <si>
    <t>Estimated percentage of total household expenditures spent on 'Assistive products' (past month, excl. humanitarian aid) [BASELINE] broken down by households with pregnant women on the admin of overall</t>
  </si>
  <si>
    <t>Estimated percentage of total household expenditures spent on 'Assistive products' (past month, excl. humanitarian aid) [BASELINE] broken down by households with people with disabilities of group 1 or 2 on the admin of overall</t>
  </si>
  <si>
    <t>Estimated percentage of total household expenditures spent on 'Assistive products' (past month, excl. humanitarian aid) [BASELINE] broken down by households with people with severe chronic diseases on the admin of overall</t>
  </si>
  <si>
    <t>Estimated percentage of total household expenditures spent on 'Assistive products' (past month, excl. humanitarian aid) [BASELINE] broken down by households where all adult members are 60 y.o.+ on the admin of overall</t>
  </si>
  <si>
    <t>Estimated percentage of total household expenditures spent on 'Assistive products' (past month, excl. humanitarian aid) [BASELINE] broken down by households headed by women on the admin of overall</t>
  </si>
  <si>
    <t>Estimated percentage of total household expenditures spent on 'Assistive products' (past month, excl. humanitarian aid) [BASELINE] broken down by single headed households with child(ren) or older person(s) (60 y.o.+) on the admin of overall</t>
  </si>
  <si>
    <t>Estimated percentage of total household expenditures spent on 'Assistive products' (past month, excl. humanitarian aid) [BASELINE] broken down by households displaced from the territory of active hostilities and not receiving idp payments on the admin of overall</t>
  </si>
  <si>
    <t>Estimated percentage of total household expenditures spent on 'Assistive products' (past month, excl. humanitarian aid) [BASELINE] broken down by households evacuated from the territory of active hostilities within the last 30 days on the admin of overall</t>
  </si>
  <si>
    <t>Estimated percentage of total household expenditures spent on 'Assistive products' (past month, excl. humanitarian aid) [BASELINE] broken down by households partially or fully damaged on the admin of overall</t>
  </si>
  <si>
    <t>Estimated percentage of total household expenditures spent on 'Assistive products' (past month, excl. humanitarian aid) [BASELINE] broken down by households whose members were injured or killed as a result of hostilities on the admin of overall</t>
  </si>
  <si>
    <t>Estimated percentage of total household expenditures spent on 'Assistive products' (past month, excl. humanitarian aid) [BASELINE] broken down by total eligibility quantiled on the admin of overall</t>
  </si>
  <si>
    <t>Estimated percentage of total household expenditures spent on 'Medication' (past month, excl. humanitarian aid) [BASELINE] on the admin of overall</t>
  </si>
  <si>
    <t>Estimated percentage of total household expenditures spent on 'Medication' (past month, excl. humanitarian aid) [BASELINE] broken down by households with 3 or more children under 18 years of age on the admin of overall</t>
  </si>
  <si>
    <t>Estimated percentage of total household expenditures spent on 'Medication' (past month, excl. humanitarian aid) [BASELINE] broken down by households with children under 1 year of age on the admin of overall</t>
  </si>
  <si>
    <t>Estimated percentage of total household expenditures spent on 'Medication' (past month, excl. humanitarian aid) [BASELINE] broken down by households with pregnant women on the admin of overall</t>
  </si>
  <si>
    <t>Estimated percentage of total household expenditures spent on 'Medication' (past month, excl. humanitarian aid) [BASELINE] broken down by households with people with disabilities of group 1 or 2 on the admin of overall</t>
  </si>
  <si>
    <t>Estimated percentage of total household expenditures spent on 'Medication' (past month, excl. humanitarian aid) [BASELINE] broken down by households with people with severe chronic diseases on the admin of overall</t>
  </si>
  <si>
    <t>Estimated percentage of total household expenditures spent on 'Medication' (past month, excl. humanitarian aid) [BASELINE] broken down by households where all adult members are 60 y.o.+ on the admin of overall</t>
  </si>
  <si>
    <t>Estimated percentage of total household expenditures spent on 'Medication' (past month, excl. humanitarian aid) [BASELINE] broken down by households headed by women on the admin of overall</t>
  </si>
  <si>
    <t>Estimated percentage of total household expenditures spent on 'Medication' (past month, excl. humanitarian aid) [BASELINE] broken down by single headed households with child(ren) or older person(s) (60 y.o.+) on the admin of overall</t>
  </si>
  <si>
    <t>Estimated percentage of total household expenditures spent on 'Medication' (past month, excl. humanitarian aid) [BASELINE] broken down by households displaced from the territory of active hostilities and not receiving idp payments on the admin of overall</t>
  </si>
  <si>
    <t>Estimated percentage of total household expenditures spent on 'Medication' (past month, excl. humanitarian aid) [BASELINE] broken down by households evacuated from the territory of active hostilities within the last 30 days on the admin of overall</t>
  </si>
  <si>
    <t>Estimated percentage of total household expenditures spent on 'Medication' (past month, excl. humanitarian aid) [BASELINE] broken down by households partially or fully damaged on the admin of overall</t>
  </si>
  <si>
    <t>Estimated percentage of total household expenditures spent on 'Medication' (past month, excl. humanitarian aid) [BASELINE] broken down by households whose members were injured or killed as a result of hostilities on the admin of overall</t>
  </si>
  <si>
    <t>Estimated percentage of total household expenditures spent on 'Medication' (past month, excl. humanitarian aid) [BASELINE] broken down by total eligibility quantiled on the admin of overall</t>
  </si>
  <si>
    <t>Estimated percentage of total household expenditures spent on 'Agricultural inputs' (past month, excl. humanitarian aid) [BASELINE] on the admin of overall</t>
  </si>
  <si>
    <t>Estimated percentage of total household expenditures spent on 'Agricultural inputs' (past month, excl. humanitarian aid) [BASELINE] broken down by households with 3 or more children under 18 years of age on the admin of overall</t>
  </si>
  <si>
    <t>Estimated percentage of total household expenditures spent on 'Agricultural inputs' (past month, excl. humanitarian aid) [BASELINE] broken down by households with children under 1 year of age on the admin of overall</t>
  </si>
  <si>
    <t>Estimated percentage of total household expenditures spent on 'Agricultural inputs' (past month, excl. humanitarian aid) [BASELINE] broken down by households with pregnant women on the admin of overall</t>
  </si>
  <si>
    <t>Estimated percentage of total household expenditures spent on 'Agricultural inputs' (past month, excl. humanitarian aid) [BASELINE] broken down by households with people with disabilities of group 1 or 2 on the admin of overall</t>
  </si>
  <si>
    <t>Estimated percentage of total household expenditures spent on 'Agricultural inputs' (past month, excl. humanitarian aid) [BASELINE] broken down by households with people with severe chronic diseases on the admin of overall</t>
  </si>
  <si>
    <t>Estimated percentage of total household expenditures spent on 'Agricultural inputs' (past month, excl. humanitarian aid) [BASELINE] broken down by households where all adult members are 60 y.o.+ on the admin of overall</t>
  </si>
  <si>
    <t>Estimated percentage of total household expenditures spent on 'Agricultural inputs' (past month, excl. humanitarian aid) [BASELINE] broken down by households headed by women on the admin of overall</t>
  </si>
  <si>
    <t>Estimated percentage of total household expenditures spent on 'Agricultural inputs' (past month, excl. humanitarian aid) [BASELINE] broken down by single headed households with child(ren) or older person(s) (60 y.o.+) on the admin of overall</t>
  </si>
  <si>
    <t>Estimated percentage of total household expenditures spent on 'Agricultural inputs' (past month, excl. humanitarian aid) [BASELINE] broken down by households displaced from the territory of active hostilities and not receiving idp payments on the admin of overall</t>
  </si>
  <si>
    <t>Estimated percentage of total household expenditures spent on 'Agricultural inputs' (past month, excl. humanitarian aid) [BASELINE] broken down by households evacuated from the territory of active hostilities within the last 30 days on the admin of overall</t>
  </si>
  <si>
    <t>Estimated percentage of total household expenditures spent on 'Agricultural inputs' (past month, excl. humanitarian aid) [BASELINE] broken down by households partially or fully damaged on the admin of overall</t>
  </si>
  <si>
    <t>Estimated percentage of total household expenditures spent on 'Agricultural inputs' (past month, excl. humanitarian aid) [BASELINE] broken down by households whose members were injured or killed as a result of hostilities on the admin of overall</t>
  </si>
  <si>
    <t>Estimated percentage of total household expenditures spent on 'Agricultural inputs' (past month, excl. humanitarian aid) [BASELINE] broken down by total eligibility quantiled on the admin of overall</t>
  </si>
  <si>
    <t>Estimated percentage of total household expenditures spent on 'Shelter maintenance' (past month, excl. humanitarian aid) [BASELINE] on the admin of overall</t>
  </si>
  <si>
    <t>Estimated percentage of total household expenditures spent on 'Shelter maintenance' (past month, excl. humanitarian aid) [BASELINE] broken down by households with 3 or more children under 18 years of age on the admin of overall</t>
  </si>
  <si>
    <t>Estimated percentage of total household expenditures spent on 'Shelter maintenance' (past month, excl. humanitarian aid) [BASELINE] broken down by households with children under 1 year of age on the admin of overall</t>
  </si>
  <si>
    <t>Estimated percentage of total household expenditures spent on 'Shelter maintenance' (past month, excl. humanitarian aid) [BASELINE] broken down by households with pregnant women on the admin of overall</t>
  </si>
  <si>
    <t>Estimated percentage of total household expenditures spent on 'Shelter maintenance' (past month, excl. humanitarian aid) [BASELINE] broken down by households with people with disabilities of group 1 or 2 on the admin of overall</t>
  </si>
  <si>
    <t>Estimated percentage of total household expenditures spent on 'Shelter maintenance' (past month, excl. humanitarian aid) [BASELINE] broken down by households with people with severe chronic diseases on the admin of overall</t>
  </si>
  <si>
    <t>Estimated percentage of total household expenditures spent on 'Shelter maintenance' (past month, excl. humanitarian aid) [BASELINE] broken down by households where all adult members are 60 y.o.+ on the admin of overall</t>
  </si>
  <si>
    <t>Estimated percentage of total household expenditures spent on 'Shelter maintenance' (past month, excl. humanitarian aid) [BASELINE] broken down by households headed by women on the admin of overall</t>
  </si>
  <si>
    <t>Estimated percentage of total household expenditures spent on 'Shelter maintenance' (past month, excl. humanitarian aid) [BASELINE] broken down by single headed households with child(ren) or older person(s) (60 y.o.+) on the admin of overall</t>
  </si>
  <si>
    <t>Estimated percentage of total household expenditures spent on 'Shelter maintenance' (past month, excl. humanitarian aid) [BASELINE] broken down by households displaced from the territory of active hostilities and not receiving idp payments on the admin of overall</t>
  </si>
  <si>
    <t>Estimated percentage of total household expenditures spent on 'Shelter maintenance' (past month, excl. humanitarian aid) [BASELINE] broken down by households evacuated from the territory of active hostilities within the last 30 days on the admin of overall</t>
  </si>
  <si>
    <t>Estimated percentage of total household expenditures spent on 'Shelter maintenance' (past month, excl. humanitarian aid) [BASELINE] broken down by households partially or fully damaged on the admin of overall</t>
  </si>
  <si>
    <t>Estimated percentage of total household expenditures spent on 'Shelter maintenance' (past month, excl. humanitarian aid) [BASELINE] broken down by households whose members were injured or killed as a result of hostilities on the admin of overall</t>
  </si>
  <si>
    <t>Estimated percentage of total household expenditures spent on 'Shelter maintenance' (past month, excl. humanitarian aid) [BASELINE] broken down by total eligibility quantiled on the admin of overall</t>
  </si>
  <si>
    <t>Estimated percentage of total household expenditures spent on 'Future savings' (past month, excl. humanitarian aid) [BASELINE] on the admin of overall</t>
  </si>
  <si>
    <t>Estimated percentage of total household expenditures spent on 'Future savings' (past month, excl. humanitarian aid) [BASELINE] broken down by households with 3 or more children under 18 years of age on the admin of overall</t>
  </si>
  <si>
    <t>Estimated percentage of total household expenditures spent on 'Future savings' (past month, excl. humanitarian aid) [BASELINE] broken down by households with children under 1 year of age on the admin of overall</t>
  </si>
  <si>
    <t>Estimated percentage of total household expenditures spent on 'Future savings' (past month, excl. humanitarian aid) [BASELINE] broken down by households with pregnant women on the admin of overall</t>
  </si>
  <si>
    <t>Estimated percentage of total household expenditures spent on 'Future savings' (past month, excl. humanitarian aid) [BASELINE] broken down by households with people with disabilities of group 1 or 2 on the admin of overall</t>
  </si>
  <si>
    <t>Estimated percentage of total household expenditures spent on 'Future savings' (past month, excl. humanitarian aid) [BASELINE] broken down by households with people with severe chronic diseases on the admin of overall</t>
  </si>
  <si>
    <t>Estimated percentage of total household expenditures spent on 'Future savings' (past month, excl. humanitarian aid) [BASELINE] broken down by households where all adult members are 60 y.o.+ on the admin of overall</t>
  </si>
  <si>
    <t>Estimated percentage of total household expenditures spent on 'Future savings' (past month, excl. humanitarian aid) [BASELINE] broken down by households headed by women on the admin of overall</t>
  </si>
  <si>
    <t>Estimated percentage of total household expenditures spent on 'Future savings' (past month, excl. humanitarian aid) [BASELINE] broken down by single headed households with child(ren) or older person(s) (60 y.o.+) on the admin of overall</t>
  </si>
  <si>
    <t>Estimated percentage of total household expenditures spent on 'Future savings' (past month, excl. humanitarian aid) [BASELINE] broken down by households displaced from the territory of active hostilities and not receiving idp payments on the admin of overall</t>
  </si>
  <si>
    <t>Estimated percentage of total household expenditures spent on 'Future savings' (past month, excl. humanitarian aid) [BASELINE] broken down by households evacuated from the territory of active hostilities within the last 30 days on the admin of overall</t>
  </si>
  <si>
    <t>Estimated percentage of total household expenditures spent on 'Future savings' (past month, excl. humanitarian aid) [BASELINE] broken down by households partially or fully damaged on the admin of overall</t>
  </si>
  <si>
    <t>Estimated percentage of total household expenditures spent on 'Future savings' (past month, excl. humanitarian aid) [BASELINE] broken down by households whose members were injured or killed as a result of hostilities on the admin of overall</t>
  </si>
  <si>
    <t>Estimated percentage of total household expenditures spent on 'Future savings' (past month, excl. humanitarian aid) [BASELINE] broken down by total eligibility quantiled on the admin of overall</t>
  </si>
  <si>
    <t>Estimated percentage of total household expenditures spent on 'Shared with others' (past month, excl. humanitarian aid) [BASELINE] on the admin of overall</t>
  </si>
  <si>
    <t>Estimated percentage of total household expenditures spent on 'Shared with others' (past month, excl. humanitarian aid) [BASELINE] broken down by households with 3 or more children under 18 years of age on the admin of overall</t>
  </si>
  <si>
    <t>Estimated percentage of total household expenditures spent on 'Shared with others' (past month, excl. humanitarian aid) [BASELINE] broken down by households with children under 1 year of age on the admin of overall</t>
  </si>
  <si>
    <t>Estimated percentage of total household expenditures spent on 'Shared with others' (past month, excl. humanitarian aid) [BASELINE] broken down by households with pregnant women on the admin of overall</t>
  </si>
  <si>
    <t>Estimated percentage of total household expenditures spent on 'Shared with others' (past month, excl. humanitarian aid) [BASELINE] broken down by households with people with disabilities of group 1 or 2 on the admin of overall</t>
  </si>
  <si>
    <t>Estimated percentage of total household expenditures spent on 'Shared with others' (past month, excl. humanitarian aid) [BASELINE] broken down by households with people with severe chronic diseases on the admin of overall</t>
  </si>
  <si>
    <t>Estimated percentage of total household expenditures spent on 'Shared with others' (past month, excl. humanitarian aid) [BASELINE] broken down by households where all adult members are 60 y.o.+ on the admin of overall</t>
  </si>
  <si>
    <t>Estimated percentage of total household expenditures spent on 'Shared with others' (past month, excl. humanitarian aid) [BASELINE] broken down by households headed by women on the admin of overall</t>
  </si>
  <si>
    <t>Estimated percentage of total household expenditures spent on 'Shared with others' (past month, excl. humanitarian aid) [BASELINE] broken down by single headed households with child(ren) or older person(s) (60 y.o.+) on the admin of overall</t>
  </si>
  <si>
    <t>Estimated percentage of total household expenditures spent on 'Shared with others' (past month, excl. humanitarian aid) [BASELINE] broken down by households displaced from the territory of active hostilities and not receiving idp payments on the admin of overall</t>
  </si>
  <si>
    <t>Estimated percentage of total household expenditures spent on 'Shared with others' (past month, excl. humanitarian aid) [BASELINE] broken down by households evacuated from the territory of active hostilities within the last 30 days on the admin of overall</t>
  </si>
  <si>
    <t>Estimated percentage of total household expenditures spent on 'Shared with others' (past month, excl. humanitarian aid) [BASELINE] broken down by households partially or fully damaged on the admin of overall</t>
  </si>
  <si>
    <t>Estimated percentage of total household expenditures spent on 'Shared with others' (past month, excl. humanitarian aid) [BASELINE] broken down by households whose members were injured or killed as a result of hostilities on the admin of overall</t>
  </si>
  <si>
    <t>Estimated percentage of total household expenditures spent on 'Shared with others' (past month, excl. humanitarian aid) [BASELINE] broken down by total eligibility quantiled on the admin of overall</t>
  </si>
  <si>
    <t>Estimated percentage of total household expenditures spent on 'Transportation' (past month, excl. humanitarian aid) [BASELINE] on the admin of overall</t>
  </si>
  <si>
    <t>Estimated percentage of total household expenditures spent on 'Transportation' (past month, excl. humanitarian aid) [BASELINE] broken down by households with 3 or more children under 18 years of age on the admin of overall</t>
  </si>
  <si>
    <t>Estimated percentage of total household expenditures spent on 'Transportation' (past month, excl. humanitarian aid) [BASELINE] broken down by households with children under 1 year of age on the admin of overall</t>
  </si>
  <si>
    <t>Estimated percentage of total household expenditures spent on 'Transportation' (past month, excl. humanitarian aid) [BASELINE] broken down by households with pregnant women on the admin of overall</t>
  </si>
  <si>
    <t>Estimated percentage of total household expenditures spent on 'Transportation' (past month, excl. humanitarian aid) [BASELINE] broken down by households with people with disabilities of group 1 or 2 on the admin of overall</t>
  </si>
  <si>
    <t>Estimated percentage of total household expenditures spent on 'Transportation' (past month, excl. humanitarian aid) [BASELINE] broken down by households with people with severe chronic diseases on the admin of overall</t>
  </si>
  <si>
    <t>Estimated percentage of total household expenditures spent on 'Transportation' (past month, excl. humanitarian aid) [BASELINE] broken down by households where all adult members are 60 y.o.+ on the admin of overall</t>
  </si>
  <si>
    <t>Estimated percentage of total household expenditures spent on 'Transportation' (past month, excl. humanitarian aid) [BASELINE] broken down by households headed by women on the admin of overall</t>
  </si>
  <si>
    <t>Estimated percentage of total household expenditures spent on 'Transportation' (past month, excl. humanitarian aid) [BASELINE] broken down by single headed households with child(ren) or older person(s) (60 y.o.+) on the admin of overall</t>
  </si>
  <si>
    <t>Estimated percentage of total household expenditures spent on 'Transportation' (past month, excl. humanitarian aid) [BASELINE] broken down by households displaced from the territory of active hostilities and not receiving idp payments on the admin of overall</t>
  </si>
  <si>
    <t>Estimated percentage of total household expenditures spent on 'Transportation' (past month, excl. humanitarian aid) [BASELINE] broken down by households evacuated from the territory of active hostilities within the last 30 days on the admin of overall</t>
  </si>
  <si>
    <t>Estimated percentage of total household expenditures spent on 'Transportation' (past month, excl. humanitarian aid) [BASELINE] broken down by households partially or fully damaged on the admin of overall</t>
  </si>
  <si>
    <t>Estimated percentage of total household expenditures spent on 'Transportation' (past month, excl. humanitarian aid) [BASELINE] broken down by households whose members were injured or killed as a result of hostilities on the admin of overall</t>
  </si>
  <si>
    <t>Estimated percentage of total household expenditures spent on 'Transportation' (past month, excl. humanitarian aid) [BASELINE] broken down by total eligibility quantiled on the admin of overall</t>
  </si>
  <si>
    <t>Estimated percentage of total household expenditures spent on 'Communication' (past month, excl. humanitarian aid) [BASELINE] on the admin of overall</t>
  </si>
  <si>
    <t>Estimated percentage of total household expenditures spent on 'Communication' (past month, excl. humanitarian aid) [BASELINE] broken down by households with 3 or more children under 18 years of age on the admin of overall</t>
  </si>
  <si>
    <t>Estimated percentage of total household expenditures spent on 'Communication' (past month, excl. humanitarian aid) [BASELINE] broken down by households with children under 1 year of age on the admin of overall</t>
  </si>
  <si>
    <t>Estimated percentage of total household expenditures spent on 'Communication' (past month, excl. humanitarian aid) [BASELINE] broken down by households with pregnant women on the admin of overall</t>
  </si>
  <si>
    <t>Estimated percentage of total household expenditures spent on 'Communication' (past month, excl. humanitarian aid) [BASELINE] broken down by households with people with disabilities of group 1 or 2 on the admin of overall</t>
  </si>
  <si>
    <t>Estimated percentage of total household expenditures spent on 'Communication' (past month, excl. humanitarian aid) [BASELINE] broken down by households with people with severe chronic diseases on the admin of overall</t>
  </si>
  <si>
    <t>Estimated percentage of total household expenditures spent on 'Communication' (past month, excl. humanitarian aid) [BASELINE] broken down by households where all adult members are 60 y.o.+ on the admin of overall</t>
  </si>
  <si>
    <t>Estimated percentage of total household expenditures spent on 'Communication' (past month, excl. humanitarian aid) [BASELINE] broken down by households headed by women on the admin of overall</t>
  </si>
  <si>
    <t>Estimated percentage of total household expenditures spent on 'Communication' (past month, excl. humanitarian aid) [BASELINE] broken down by single headed households with child(ren) or older person(s) (60 y.o.+) on the admin of overall</t>
  </si>
  <si>
    <t>Estimated percentage of total household expenditures spent on 'Communication' (past month, excl. humanitarian aid) [BASELINE] broken down by households displaced from the territory of active hostilities and not receiving idp payments on the admin of overall</t>
  </si>
  <si>
    <t>Estimated percentage of total household expenditures spent on 'Communication' (past month, excl. humanitarian aid) [BASELINE] broken down by households evacuated from the territory of active hostilities within the last 30 days on the admin of overall</t>
  </si>
  <si>
    <t>Estimated percentage of total household expenditures spent on 'Communication' (past month, excl. humanitarian aid) [BASELINE] broken down by households partially or fully damaged on the admin of overall</t>
  </si>
  <si>
    <t>Estimated percentage of total household expenditures spent on 'Communication' (past month, excl. humanitarian aid) [BASELINE] broken down by households whose members were injured or killed as a result of hostilities on the admin of overall</t>
  </si>
  <si>
    <t>Estimated percentage of total household expenditures spent on 'Communication' (past month, excl. humanitarian aid) [BASELINE] broken down by total eligibility quantiled on the admin of overall</t>
  </si>
  <si>
    <t>Estimated percentage of total household expenditures spent on 'Education materials' (past month, excl. humanitarian aid) [BASELINE] on the admin of overall</t>
  </si>
  <si>
    <t>Estimated percentage of total household expenditures spent on 'Education materials' (past month, excl. humanitarian aid) [BASELINE] broken down by households with 3 or more children under 18 years of age on the admin of overall</t>
  </si>
  <si>
    <t>Estimated percentage of total household expenditures spent on 'Education materials' (past month, excl. humanitarian aid) [BASELINE] broken down by households with children under 1 year of age on the admin of overall</t>
  </si>
  <si>
    <t>Estimated percentage of total household expenditures spent on 'Education materials' (past month, excl. humanitarian aid) [BASELINE] broken down by households with pregnant women on the admin of overall</t>
  </si>
  <si>
    <t>Estimated percentage of total household expenditures spent on 'Education materials' (past month, excl. humanitarian aid) [BASELINE] broken down by households with people with disabilities of group 1 or 2 on the admin of overall</t>
  </si>
  <si>
    <t>Estimated percentage of total household expenditures spent on 'Education materials' (past month, excl. humanitarian aid) [BASELINE] broken down by households with people with severe chronic diseases on the admin of overall</t>
  </si>
  <si>
    <t>Estimated percentage of total household expenditures spent on 'Education materials' (past month, excl. humanitarian aid) [BASELINE] broken down by households where all adult members are 60 y.o.+ on the admin of overall</t>
  </si>
  <si>
    <t>Estimated percentage of total household expenditures spent on 'Education materials' (past month, excl. humanitarian aid) [BASELINE] broken down by households headed by women on the admin of overall</t>
  </si>
  <si>
    <t>Estimated percentage of total household expenditures spent on 'Education materials' (past month, excl. humanitarian aid) [BASELINE] broken down by single headed households with child(ren) or older person(s) (60 y.o.+) on the admin of overall</t>
  </si>
  <si>
    <t>Estimated percentage of total household expenditures spent on 'Education materials' (past month, excl. humanitarian aid) [BASELINE] broken down by households displaced from the territory of active hostilities and not receiving idp payments on the admin of overall</t>
  </si>
  <si>
    <t>Estimated percentage of total household expenditures spent on 'Education materials' (past month, excl. humanitarian aid) [BASELINE] broken down by households evacuated from the territory of active hostilities within the last 30 days on the admin of overall</t>
  </si>
  <si>
    <t>Estimated percentage of total household expenditures spent on 'Education materials' (past month, excl. humanitarian aid) [BASELINE] broken down by households partially or fully damaged on the admin of overall</t>
  </si>
  <si>
    <t>Estimated percentage of total household expenditures spent on 'Education materials' (past month, excl. humanitarian aid) [BASELINE] broken down by households whose members were injured or killed as a result of hostilities on the admin of overall</t>
  </si>
  <si>
    <t>Estimated percentage of total household expenditures spent on 'Education materials' (past month, excl. humanitarian aid) [BASELINE] broken down by total eligibility quantiled on the admin of overall</t>
  </si>
  <si>
    <t>Estimated percentage of total household expenditures spent on 'Other' (past month, excl. humanitarian aid) [ENDLINE] on the admin of overall</t>
  </si>
  <si>
    <t>Estimated percentage of total household expenditures spent on 'Other' (past month, excl. humanitarian aid) [ENDLINE] broken down by households with 3 or more children under 18 years of age on the admin of overall</t>
  </si>
  <si>
    <t>Estimated percentage of total household expenditures spent on 'Other' (past month, excl. humanitarian aid) [ENDLINE] broken down by households with children under 1 year of age on the admin of overall</t>
  </si>
  <si>
    <t>Estimated percentage of total household expenditures spent on 'Other' (past month, excl. humanitarian aid) [ENDLINE] broken down by households with pregnant women on the admin of overall</t>
  </si>
  <si>
    <t>Estimated percentage of total household expenditures spent on 'Other' (past month, excl. humanitarian aid) [ENDLINE] broken down by households with people with disabilities of group 1 or 2 on the admin of overall</t>
  </si>
  <si>
    <t>Estimated percentage of total household expenditures spent on 'Other' (past month, excl. humanitarian aid) [ENDLINE] broken down by households with people with severe chronic diseases on the admin of overall</t>
  </si>
  <si>
    <t>Estimated percentage of total household expenditures spent on 'Other' (past month, excl. humanitarian aid) [ENDLINE] broken down by households where all adult members are 60 y.o.+ on the admin of overall</t>
  </si>
  <si>
    <t>Estimated percentage of total household expenditures spent on 'Other' (past month, excl. humanitarian aid) [ENDLINE] broken down by households headed by women on the admin of overall</t>
  </si>
  <si>
    <t>Estimated percentage of total household expenditures spent on 'Other' (past month, excl. humanitarian aid) [ENDLINE] broken down by single headed households with child(ren) or older person(s) (60 y.o.+) on the admin of overall</t>
  </si>
  <si>
    <t>Estimated percentage of total household expenditures spent on 'Other' (past month, excl. humanitarian aid) [ENDLINE] broken down by households displaced from the territory of active hostilities and not receiving idp payments on the admin of overall</t>
  </si>
  <si>
    <t>Estimated percentage of total household expenditures spent on 'Other' (past month, excl. humanitarian aid) [ENDLINE] broken down by households evacuated from the territory of active hostilities within the last 30 days on the admin of overall</t>
  </si>
  <si>
    <t>Estimated percentage of total household expenditures spent on 'Other' (past month, excl. humanitarian aid) [ENDLINE] broken down by households partially or fully damaged on the admin of overall</t>
  </si>
  <si>
    <t>Estimated percentage of total household expenditures spent on 'Other' (past month, excl. humanitarian aid) [ENDLINE] broken down by households whose members were injured or killed as a result of hostilities on the admin of overall</t>
  </si>
  <si>
    <t>Estimated percentage of total household expenditures spent on 'Other' (past month, excl. humanitarian aid) [ENDLINE] broken down by total eligibility quantiled on the admin of overall</t>
  </si>
  <si>
    <t>Estimated percentage of total household expenditures spent on 'Food' (past month, excl. humanitarian aid) [ENDLINE] on the admin of overall</t>
  </si>
  <si>
    <t>Estimated percentage of total household expenditures spent on 'Food' (past month, excl. humanitarian aid) [ENDLINE] broken down by households with 3 or more children under 18 years of age on the admin of overall</t>
  </si>
  <si>
    <t>Estimated percentage of total household expenditures spent on 'Food' (past month, excl. humanitarian aid) [ENDLINE] broken down by households with children under 1 year of age on the admin of overall</t>
  </si>
  <si>
    <t>Estimated percentage of total household expenditures spent on 'Food' (past month, excl. humanitarian aid) [ENDLINE] broken down by households with pregnant women on the admin of overall</t>
  </si>
  <si>
    <t>Estimated percentage of total household expenditures spent on 'Food' (past month, excl. humanitarian aid) [ENDLINE] broken down by households with people with disabilities of group 1 or 2 on the admin of overall</t>
  </si>
  <si>
    <t>Estimated percentage of total household expenditures spent on 'Food' (past month, excl. humanitarian aid) [ENDLINE] broken down by households with people with severe chronic diseases on the admin of overall</t>
  </si>
  <si>
    <t>Estimated percentage of total household expenditures spent on 'Food' (past month, excl. humanitarian aid) [ENDLINE] broken down by households where all adult members are 60 y.o.+ on the admin of overall</t>
  </si>
  <si>
    <t>Estimated percentage of total household expenditures spent on 'Food' (past month, excl. humanitarian aid) [ENDLINE] broken down by households headed by women on the admin of overall</t>
  </si>
  <si>
    <t>Estimated percentage of total household expenditures spent on 'Food' (past month, excl. humanitarian aid) [ENDLINE] broken down by single headed households with child(ren) or older person(s) (60 y.o.+) on the admin of overall</t>
  </si>
  <si>
    <t>Estimated percentage of total household expenditures spent on 'Food' (past month, excl. humanitarian aid) [ENDLINE] broken down by households displaced from the territory of active hostilities and not receiving idp payments on the admin of overall</t>
  </si>
  <si>
    <t>Estimated percentage of total household expenditures spent on 'Food' (past month, excl. humanitarian aid) [ENDLINE] broken down by households evacuated from the territory of active hostilities within the last 30 days on the admin of overall</t>
  </si>
  <si>
    <t>Estimated percentage of total household expenditures spent on 'Food' (past month, excl. humanitarian aid) [ENDLINE] broken down by households partially or fully damaged on the admin of overall</t>
  </si>
  <si>
    <t>Estimated percentage of total household expenditures spent on 'Food' (past month, excl. humanitarian aid) [ENDLINE] broken down by households whose members were injured or killed as a result of hostilities on the admin of overall</t>
  </si>
  <si>
    <t>Estimated percentage of total household expenditures spent on 'Food' (past month, excl. humanitarian aid) [ENDLINE] broken down by total eligibility quantiled on the admin of overall</t>
  </si>
  <si>
    <t>Estimated percentage of total household expenditures spent on 'Personal hygiene' (past month, excl. humanitarian aid) [ENDLINE] on the admin of overall</t>
  </si>
  <si>
    <t>Estimated percentage of total household expenditures spent on 'Personal hygiene' (past month, excl. humanitarian aid) [ENDLINE] broken down by households with 3 or more children under 18 years of age on the admin of overall</t>
  </si>
  <si>
    <t>Estimated percentage of total household expenditures spent on 'Personal hygiene' (past month, excl. humanitarian aid) [ENDLINE] broken down by households with children under 1 year of age on the admin of overall</t>
  </si>
  <si>
    <t>Estimated percentage of total household expenditures spent on 'Personal hygiene' (past month, excl. humanitarian aid) [ENDLINE] broken down by households with pregnant women on the admin of overall</t>
  </si>
  <si>
    <t>Estimated percentage of total household expenditures spent on 'Personal hygiene' (past month, excl. humanitarian aid) [ENDLINE] broken down by households with people with disabilities of group 1 or 2 on the admin of overall</t>
  </si>
  <si>
    <t>Estimated percentage of total household expenditures spent on 'Personal hygiene' (past month, excl. humanitarian aid) [ENDLINE] broken down by households with people with severe chronic diseases on the admin of overall</t>
  </si>
  <si>
    <t>Estimated percentage of total household expenditures spent on 'Personal hygiene' (past month, excl. humanitarian aid) [ENDLINE] broken down by households where all adult members are 60 y.o.+ on the admin of overall</t>
  </si>
  <si>
    <t>Estimated percentage of total household expenditures spent on 'Personal hygiene' (past month, excl. humanitarian aid) [ENDLINE] broken down by households headed by women on the admin of overall</t>
  </si>
  <si>
    <t>Estimated percentage of total household expenditures spent on 'Personal hygiene' (past month, excl. humanitarian aid) [ENDLINE] broken down by single headed households with child(ren) or older person(s) (60 y.o.+) on the admin of overall</t>
  </si>
  <si>
    <t>Estimated percentage of total household expenditures spent on 'Personal hygiene' (past month, excl. humanitarian aid) [ENDLINE] broken down by households displaced from the territory of active hostilities and not receiving idp payments on the admin of overall</t>
  </si>
  <si>
    <t>Estimated percentage of total household expenditures spent on 'Personal hygiene' (past month, excl. humanitarian aid) [ENDLINE] broken down by households evacuated from the territory of active hostilities within the last 30 days on the admin of overall</t>
  </si>
  <si>
    <t>Estimated percentage of total household expenditures spent on 'Personal hygiene' (past month, excl. humanitarian aid) [ENDLINE] broken down by households partially or fully damaged on the admin of overall</t>
  </si>
  <si>
    <t>Estimated percentage of total household expenditures spent on 'Personal hygiene' (past month, excl. humanitarian aid) [ENDLINE] broken down by households whose members were injured or killed as a result of hostilities on the admin of overall</t>
  </si>
  <si>
    <t>Estimated percentage of total household expenditures spent on 'Personal hygiene' (past month, excl. humanitarian aid) [ENDLINE] broken down by total eligibility quantiled on the admin of overall</t>
  </si>
  <si>
    <t>Estimated percentage of total household expenditures spent on 'Cleaning items' (past month, excl. humanitarian aid) [ENDLINE] on the admin of overall</t>
  </si>
  <si>
    <t>Estimated percentage of total household expenditures spent on 'Cleaning items' (past month, excl. humanitarian aid) [ENDLINE] broken down by households with 3 or more children under 18 years of age on the admin of overall</t>
  </si>
  <si>
    <t>Estimated percentage of total household expenditures spent on 'Cleaning items' (past month, excl. humanitarian aid) [ENDLINE] broken down by households with children under 1 year of age on the admin of overall</t>
  </si>
  <si>
    <t>Estimated percentage of total household expenditures spent on 'Cleaning items' (past month, excl. humanitarian aid) [ENDLINE] broken down by households with pregnant women on the admin of overall</t>
  </si>
  <si>
    <t>Estimated percentage of total household expenditures spent on 'Cleaning items' (past month, excl. humanitarian aid) [ENDLINE] broken down by households with people with disabilities of group 1 or 2 on the admin of overall</t>
  </si>
  <si>
    <t>Estimated percentage of total household expenditures spent on 'Cleaning items' (past month, excl. humanitarian aid) [ENDLINE] broken down by households with people with severe chronic diseases on the admin of overall</t>
  </si>
  <si>
    <t>Estimated percentage of total household expenditures spent on 'Cleaning items' (past month, excl. humanitarian aid) [ENDLINE] broken down by households where all adult members are 60 y.o.+ on the admin of overall</t>
  </si>
  <si>
    <t>Estimated percentage of total household expenditures spent on 'Cleaning items' (past month, excl. humanitarian aid) [ENDLINE] broken down by households headed by women on the admin of overall</t>
  </si>
  <si>
    <t>Estimated percentage of total household expenditures spent on 'Cleaning items' (past month, excl. humanitarian aid) [ENDLINE] broken down by single headed households with child(ren) or older person(s) (60 y.o.+) on the admin of overall</t>
  </si>
  <si>
    <t>Estimated percentage of total household expenditures spent on 'Cleaning items' (past month, excl. humanitarian aid) [ENDLINE] broken down by households displaced from the territory of active hostilities and not receiving idp payments on the admin of overall</t>
  </si>
  <si>
    <t>Estimated percentage of total household expenditures spent on 'Cleaning items' (past month, excl. humanitarian aid) [ENDLINE] broken down by households evacuated from the territory of active hostilities within the last 30 days on the admin of overall</t>
  </si>
  <si>
    <t>Estimated percentage of total household expenditures spent on 'Cleaning items' (past month, excl. humanitarian aid) [ENDLINE] broken down by households partially or fully damaged on the admin of overall</t>
  </si>
  <si>
    <t>Estimated percentage of total household expenditures spent on 'Cleaning items' (past month, excl. humanitarian aid) [ENDLINE] broken down by households whose members were injured or killed as a result of hostilities on the admin of overall</t>
  </si>
  <si>
    <t>Estimated percentage of total household expenditures spent on 'Cleaning items' (past month, excl. humanitarian aid) [ENDLINE] broken down by total eligibility quantiled on the admin of overall</t>
  </si>
  <si>
    <t>Estimated percentage of total household expenditures spent on 'Non-food items' (past month, excl. humanitarian aid) [ENDLINE] on the admin of overall</t>
  </si>
  <si>
    <t>Estimated percentage of total household expenditures spent on 'Non-food items' (past month, excl. humanitarian aid) [ENDLINE] broken down by households with 3 or more children under 18 years of age on the admin of overall</t>
  </si>
  <si>
    <t>Estimated percentage of total household expenditures spent on 'Non-food items' (past month, excl. humanitarian aid) [ENDLINE] broken down by households with children under 1 year of age on the admin of overall</t>
  </si>
  <si>
    <t>Estimated percentage of total household expenditures spent on 'Non-food items' (past month, excl. humanitarian aid) [ENDLINE] broken down by households with pregnant women on the admin of overall</t>
  </si>
  <si>
    <t>Estimated percentage of total household expenditures spent on 'Non-food items' (past month, excl. humanitarian aid) [ENDLINE] broken down by households with people with disabilities of group 1 or 2 on the admin of overall</t>
  </si>
  <si>
    <t>Estimated percentage of total household expenditures spent on 'Non-food items' (past month, excl. humanitarian aid) [ENDLINE] broken down by households with people with severe chronic diseases on the admin of overall</t>
  </si>
  <si>
    <t>Estimated percentage of total household expenditures spent on 'Non-food items' (past month, excl. humanitarian aid) [ENDLINE] broken down by households where all adult members are 60 y.o.+ on the admin of overall</t>
  </si>
  <si>
    <t>Estimated percentage of total household expenditures spent on 'Non-food items' (past month, excl. humanitarian aid) [ENDLINE] broken down by households headed by women on the admin of overall</t>
  </si>
  <si>
    <t>Estimated percentage of total household expenditures spent on 'Non-food items' (past month, excl. humanitarian aid) [ENDLINE] broken down by single headed households with child(ren) or older person(s) (60 y.o.+) on the admin of overall</t>
  </si>
  <si>
    <t>Estimated percentage of total household expenditures spent on 'Non-food items' (past month, excl. humanitarian aid) [ENDLINE] broken down by households displaced from the territory of active hostilities and not receiving idp payments on the admin of overall</t>
  </si>
  <si>
    <t>Estimated percentage of total household expenditures spent on 'Non-food items' (past month, excl. humanitarian aid) [ENDLINE] broken down by households evacuated from the territory of active hostilities within the last 30 days on the admin of overall</t>
  </si>
  <si>
    <t>Estimated percentage of total household expenditures spent on 'Non-food items' (past month, excl. humanitarian aid) [ENDLINE] broken down by households partially or fully damaged on the admin of overall</t>
  </si>
  <si>
    <t>Estimated percentage of total household expenditures spent on 'Non-food items' (past month, excl. humanitarian aid) [ENDLINE] broken down by households whose members were injured or killed as a result of hostilities on the admin of overall</t>
  </si>
  <si>
    <t>Estimated percentage of total household expenditures spent on 'Non-food items' (past month, excl. humanitarian aid) [ENDLINE] broken down by total eligibility quantiled on the admin of overall</t>
  </si>
  <si>
    <t>Estimated percentage of total household expenditures spent on 'Clothing and shoes' (past month, excl. humanitarian aid) [ENDLINE] on the admin of overall</t>
  </si>
  <si>
    <t>Estimated percentage of total household expenditures spent on 'Clothing and shoes' (past month, excl. humanitarian aid) [ENDLINE] broken down by households with 3 or more children under 18 years of age on the admin of overall</t>
  </si>
  <si>
    <t>Estimated percentage of total household expenditures spent on 'Clothing and shoes' (past month, excl. humanitarian aid) [ENDLINE] broken down by households with children under 1 year of age on the admin of overall</t>
  </si>
  <si>
    <t>Estimated percentage of total household expenditures spent on 'Clothing and shoes' (past month, excl. humanitarian aid) [ENDLINE] broken down by households with pregnant women on the admin of overall</t>
  </si>
  <si>
    <t>Estimated percentage of total household expenditures spent on 'Clothing and shoes' (past month, excl. humanitarian aid) [ENDLINE] broken down by households with people with disabilities of group 1 or 2 on the admin of overall</t>
  </si>
  <si>
    <t>Estimated percentage of total household expenditures spent on 'Clothing and shoes' (past month, excl. humanitarian aid) [ENDLINE] broken down by households with people with severe chronic diseases on the admin of overall</t>
  </si>
  <si>
    <t>Estimated percentage of total household expenditures spent on 'Clothing and shoes' (past month, excl. humanitarian aid) [ENDLINE] broken down by households where all adult members are 60 y.o.+ on the admin of overall</t>
  </si>
  <si>
    <t>Estimated percentage of total household expenditures spent on 'Clothing and shoes' (past month, excl. humanitarian aid) [ENDLINE] broken down by households headed by women on the admin of overall</t>
  </si>
  <si>
    <t>Estimated percentage of total household expenditures spent on 'Clothing and shoes' (past month, excl. humanitarian aid) [ENDLINE] broken down by single headed households with child(ren) or older person(s) (60 y.o.+) on the admin of overall</t>
  </si>
  <si>
    <t>Estimated percentage of total household expenditures spent on 'Clothing and shoes' (past month, excl. humanitarian aid) [ENDLINE] broken down by households displaced from the territory of active hostilities and not receiving idp payments on the admin of overall</t>
  </si>
  <si>
    <t>Estimated percentage of total household expenditures spent on 'Clothing and shoes' (past month, excl. humanitarian aid) [ENDLINE] broken down by households evacuated from the territory of active hostilities within the last 30 days on the admin of overall</t>
  </si>
  <si>
    <t>Estimated percentage of total household expenditures spent on 'Clothing and shoes' (past month, excl. humanitarian aid) [ENDLINE] broken down by households partially or fully damaged on the admin of overall</t>
  </si>
  <si>
    <t>Estimated percentage of total household expenditures spent on 'Clothing and shoes' (past month, excl. humanitarian aid) [ENDLINE] broken down by households whose members were injured or killed as a result of hostilities on the admin of overall</t>
  </si>
  <si>
    <t>Estimated percentage of total household expenditures spent on 'Clothing and shoes' (past month, excl. humanitarian aid) [ENDLINE] broken down by total eligibility quantiled on the admin of overall</t>
  </si>
  <si>
    <t>Estimated percentage of total household expenditures spent on 'Heating fuel' (past month, excl. humanitarian aid) [ENDLINE] on the admin of overall</t>
  </si>
  <si>
    <t>Estimated percentage of total household expenditures spent on 'Heating fuel' (past month, excl. humanitarian aid) [ENDLINE] broken down by households with 3 or more children under 18 years of age on the admin of overall</t>
  </si>
  <si>
    <t>Estimated percentage of total household expenditures spent on 'Heating fuel' (past month, excl. humanitarian aid) [ENDLINE] broken down by households with children under 1 year of age on the admin of overall</t>
  </si>
  <si>
    <t>Estimated percentage of total household expenditures spent on 'Heating fuel' (past month, excl. humanitarian aid) [ENDLINE] broken down by households with pregnant women on the admin of overall</t>
  </si>
  <si>
    <t>Estimated percentage of total household expenditures spent on 'Heating fuel' (past month, excl. humanitarian aid) [ENDLINE] broken down by households with people with disabilities of group 1 or 2 on the admin of overall</t>
  </si>
  <si>
    <t>Estimated percentage of total household expenditures spent on 'Heating fuel' (past month, excl. humanitarian aid) [ENDLINE] broken down by households with people with severe chronic diseases on the admin of overall</t>
  </si>
  <si>
    <t>Estimated percentage of total household expenditures spent on 'Heating fuel' (past month, excl. humanitarian aid) [ENDLINE] broken down by households where all adult members are 60 y.o.+ on the admin of overall</t>
  </si>
  <si>
    <t>Estimated percentage of total household expenditures spent on 'Heating fuel' (past month, excl. humanitarian aid) [ENDLINE] broken down by households headed by women on the admin of overall</t>
  </si>
  <si>
    <t>Estimated percentage of total household expenditures spent on 'Heating fuel' (past month, excl. humanitarian aid) [ENDLINE] broken down by single headed households with child(ren) or older person(s) (60 y.o.+) on the admin of overall</t>
  </si>
  <si>
    <t>Estimated percentage of total household expenditures spent on 'Heating fuel' (past month, excl. humanitarian aid) [ENDLINE] broken down by households displaced from the territory of active hostilities and not receiving idp payments on the admin of overall</t>
  </si>
  <si>
    <t>Estimated percentage of total household expenditures spent on 'Heating fuel' (past month, excl. humanitarian aid) [ENDLINE] broken down by households evacuated from the territory of active hostilities within the last 30 days on the admin of overall</t>
  </si>
  <si>
    <t>Estimated percentage of total household expenditures spent on 'Heating fuel' (past month, excl. humanitarian aid) [ENDLINE] broken down by households partially or fully damaged on the admin of overall</t>
  </si>
  <si>
    <t>Estimated percentage of total household expenditures spent on 'Heating fuel' (past month, excl. humanitarian aid) [ENDLINE] broken down by households whose members were injured or killed as a result of hostilities on the admin of overall</t>
  </si>
  <si>
    <t>Estimated percentage of total household expenditures spent on 'Heating fuel' (past month, excl. humanitarian aid) [ENDLINE] broken down by total eligibility quantiled on the admin of overall</t>
  </si>
  <si>
    <t>Estimated percentage of total household expenditures spent on 'Safe water' (past month, excl. humanitarian aid) [ENDLINE] on the admin of overall</t>
  </si>
  <si>
    <t>Estimated percentage of total household expenditures spent on 'Safe water' (past month, excl. humanitarian aid) [ENDLINE] broken down by households with 3 or more children under 18 years of age on the admin of overall</t>
  </si>
  <si>
    <t>Estimated percentage of total household expenditures spent on 'Safe water' (past month, excl. humanitarian aid) [ENDLINE] broken down by households with children under 1 year of age on the admin of overall</t>
  </si>
  <si>
    <t>Estimated percentage of total household expenditures spent on 'Safe water' (past month, excl. humanitarian aid) [ENDLINE] broken down by households with pregnant women on the admin of overall</t>
  </si>
  <si>
    <t>Estimated percentage of total household expenditures spent on 'Safe water' (past month, excl. humanitarian aid) [ENDLINE] broken down by households with people with disabilities of group 1 or 2 on the admin of overall</t>
  </si>
  <si>
    <t>Estimated percentage of total household expenditures spent on 'Safe water' (past month, excl. humanitarian aid) [ENDLINE] broken down by households with people with severe chronic diseases on the admin of overall</t>
  </si>
  <si>
    <t>Estimated percentage of total household expenditures spent on 'Safe water' (past month, excl. humanitarian aid) [ENDLINE] broken down by households where all adult members are 60 y.o.+ on the admin of overall</t>
  </si>
  <si>
    <t>Estimated percentage of total household expenditures spent on 'Safe water' (past month, excl. humanitarian aid) [ENDLINE] broken down by households headed by women on the admin of overall</t>
  </si>
  <si>
    <t>Estimated percentage of total household expenditures spent on 'Safe water' (past month, excl. humanitarian aid) [ENDLINE] broken down by single headed households with child(ren) or older person(s) (60 y.o.+) on the admin of overall</t>
  </si>
  <si>
    <t>Estimated percentage of total household expenditures spent on 'Safe water' (past month, excl. humanitarian aid) [ENDLINE] broken down by households displaced from the territory of active hostilities and not receiving idp payments on the admin of overall</t>
  </si>
  <si>
    <t>Estimated percentage of total household expenditures spent on 'Safe water' (past month, excl. humanitarian aid) [ENDLINE] broken down by households evacuated from the territory of active hostilities within the last 30 days on the admin of overall</t>
  </si>
  <si>
    <t>Estimated percentage of total household expenditures spent on 'Safe water' (past month, excl. humanitarian aid) [ENDLINE] broken down by households partially or fully damaged on the admin of overall</t>
  </si>
  <si>
    <t>Estimated percentage of total household expenditures spent on 'Safe water' (past month, excl. humanitarian aid) [ENDLINE] broken down by households whose members were injured or killed as a result of hostilities on the admin of overall</t>
  </si>
  <si>
    <t>Estimated percentage of total household expenditures spent on 'Safe water' (past month, excl. humanitarian aid) [ENDLINE] broken down by total eligibility quantiled on the admin of overall</t>
  </si>
  <si>
    <t>Estimated percentage of total household expenditures spent on 'Utilities' (past month, excl. humanitarian aid) [ENDLINE] on the admin of overall</t>
  </si>
  <si>
    <t>Estimated percentage of total household expenditures spent on 'Utilities' (past month, excl. humanitarian aid) [ENDLINE] broken down by households with 3 or more children under 18 years of age on the admin of overall</t>
  </si>
  <si>
    <t>Estimated percentage of total household expenditures spent on 'Utilities' (past month, excl. humanitarian aid) [ENDLINE] broken down by households with children under 1 year of age on the admin of overall</t>
  </si>
  <si>
    <t>Estimated percentage of total household expenditures spent on 'Utilities' (past month, excl. humanitarian aid) [ENDLINE] broken down by households with pregnant women on the admin of overall</t>
  </si>
  <si>
    <t>Estimated percentage of total household expenditures spent on 'Utilities' (past month, excl. humanitarian aid) [ENDLINE] broken down by households with people with disabilities of group 1 or 2 on the admin of overall</t>
  </si>
  <si>
    <t>Estimated percentage of total household expenditures spent on 'Utilities' (past month, excl. humanitarian aid) [ENDLINE] broken down by households with people with severe chronic diseases on the admin of overall</t>
  </si>
  <si>
    <t>Estimated percentage of total household expenditures spent on 'Utilities' (past month, excl. humanitarian aid) [ENDLINE] broken down by households where all adult members are 60 y.o.+ on the admin of overall</t>
  </si>
  <si>
    <t>Estimated percentage of total household expenditures spent on 'Utilities' (past month, excl. humanitarian aid) [ENDLINE] broken down by households headed by women on the admin of overall</t>
  </si>
  <si>
    <t>Estimated percentage of total household expenditures spent on 'Utilities' (past month, excl. humanitarian aid) [ENDLINE] broken down by single headed households with child(ren) or older person(s) (60 y.o.+) on the admin of overall</t>
  </si>
  <si>
    <t>Estimated percentage of total household expenditures spent on 'Utilities' (past month, excl. humanitarian aid) [ENDLINE] broken down by households displaced from the territory of active hostilities and not receiving idp payments on the admin of overall</t>
  </si>
  <si>
    <t>Estimated percentage of total household expenditures spent on 'Utilities' (past month, excl. humanitarian aid) [ENDLINE] broken down by households evacuated from the territory of active hostilities within the last 30 days on the admin of overall</t>
  </si>
  <si>
    <t>Estimated percentage of total household expenditures spent on 'Utilities' (past month, excl. humanitarian aid) [ENDLINE] broken down by households partially or fully damaged on the admin of overall</t>
  </si>
  <si>
    <t>Estimated percentage of total household expenditures spent on 'Utilities' (past month, excl. humanitarian aid) [ENDLINE] broken down by households whose members were injured or killed as a result of hostilities on the admin of overall</t>
  </si>
  <si>
    <t>Estimated percentage of total household expenditures spent on 'Utilities' (past month, excl. humanitarian aid) [ENDLINE] broken down by total eligibility quantiled on the admin of overall</t>
  </si>
  <si>
    <t>Estimated percentage of total household expenditures spent on 'Water supply' (past month, excl. humanitarian aid) [ENDLINE] on the admin of overall</t>
  </si>
  <si>
    <t>Estimated percentage of total household expenditures spent on 'Water supply' (past month, excl. humanitarian aid) [ENDLINE] broken down by households with 3 or more children under 18 years of age on the admin of overall</t>
  </si>
  <si>
    <t>Estimated percentage of total household expenditures spent on 'Water supply' (past month, excl. humanitarian aid) [ENDLINE] broken down by households with children under 1 year of age on the admin of overall</t>
  </si>
  <si>
    <t>Estimated percentage of total household expenditures spent on 'Water supply' (past month, excl. humanitarian aid) [ENDLINE] broken down by households with pregnant women on the admin of overall</t>
  </si>
  <si>
    <t>Estimated percentage of total household expenditures spent on 'Water supply' (past month, excl. humanitarian aid) [ENDLINE] broken down by households with people with disabilities of group 1 or 2 on the admin of overall</t>
  </si>
  <si>
    <t>Estimated percentage of total household expenditures spent on 'Water supply' (past month, excl. humanitarian aid) [ENDLINE] broken down by households with people with severe chronic diseases on the admin of overall</t>
  </si>
  <si>
    <t>Estimated percentage of total household expenditures spent on 'Water supply' (past month, excl. humanitarian aid) [ENDLINE] broken down by households where all adult members are 60 y.o.+ on the admin of overall</t>
  </si>
  <si>
    <t>Estimated percentage of total household expenditures spent on 'Water supply' (past month, excl. humanitarian aid) [ENDLINE] broken down by households headed by women on the admin of overall</t>
  </si>
  <si>
    <t>Estimated percentage of total household expenditures spent on 'Water supply' (past month, excl. humanitarian aid) [ENDLINE] broken down by single headed households with child(ren) or older person(s) (60 y.o.+) on the admin of overall</t>
  </si>
  <si>
    <t>Estimated percentage of total household expenditures spent on 'Water supply' (past month, excl. humanitarian aid) [ENDLINE] broken down by households displaced from the territory of active hostilities and not receiving idp payments on the admin of overall</t>
  </si>
  <si>
    <t>Estimated percentage of total household expenditures spent on 'Water supply' (past month, excl. humanitarian aid) [ENDLINE] broken down by households evacuated from the territory of active hostilities within the last 30 days on the admin of overall</t>
  </si>
  <si>
    <t>Estimated percentage of total household expenditures spent on 'Water supply' (past month, excl. humanitarian aid) [ENDLINE] broken down by households partially or fully damaged on the admin of overall</t>
  </si>
  <si>
    <t>Estimated percentage of total household expenditures spent on 'Water supply' (past month, excl. humanitarian aid) [ENDLINE] broken down by households whose members were injured or killed as a result of hostilities on the admin of overall</t>
  </si>
  <si>
    <t>Estimated percentage of total household expenditures spent on 'Water supply' (past month, excl. humanitarian aid) [ENDLINE] broken down by total eligibility quantiled on the admin of overall</t>
  </si>
  <si>
    <t>Estimated percentage of total household expenditures spent on 'Rent' (past month, excl. humanitarian aid) [ENDLINE] on the admin of overall</t>
  </si>
  <si>
    <t>Estimated percentage of total household expenditures spent on 'Rent' (past month, excl. humanitarian aid) [ENDLINE] broken down by households with 3 or more children under 18 years of age on the admin of overall</t>
  </si>
  <si>
    <t>Estimated percentage of total household expenditures spent on 'Rent' (past month, excl. humanitarian aid) [ENDLINE] broken down by households with children under 1 year of age on the admin of overall</t>
  </si>
  <si>
    <t>Estimated percentage of total household expenditures spent on 'Rent' (past month, excl. humanitarian aid) [ENDLINE] broken down by households with pregnant women on the admin of overall</t>
  </si>
  <si>
    <t>Estimated percentage of total household expenditures spent on 'Rent' (past month, excl. humanitarian aid) [ENDLINE] broken down by households with people with disabilities of group 1 or 2 on the admin of overall</t>
  </si>
  <si>
    <t>Estimated percentage of total household expenditures spent on 'Rent' (past month, excl. humanitarian aid) [ENDLINE] broken down by households with people with severe chronic diseases on the admin of overall</t>
  </si>
  <si>
    <t>Estimated percentage of total household expenditures spent on 'Rent' (past month, excl. humanitarian aid) [ENDLINE] broken down by households where all adult members are 60 y.o.+ on the admin of overall</t>
  </si>
  <si>
    <t>Estimated percentage of total household expenditures spent on 'Rent' (past month, excl. humanitarian aid) [ENDLINE] broken down by households headed by women on the admin of overall</t>
  </si>
  <si>
    <t>Estimated percentage of total household expenditures spent on 'Rent' (past month, excl. humanitarian aid) [ENDLINE] broken down by single headed households with child(ren) or older person(s) (60 y.o.+) on the admin of overall</t>
  </si>
  <si>
    <t>Estimated percentage of total household expenditures spent on 'Rent' (past month, excl. humanitarian aid) [ENDLINE] broken down by households displaced from the territory of active hostilities and not receiving idp payments on the admin of overall</t>
  </si>
  <si>
    <t>Estimated percentage of total household expenditures spent on 'Rent' (past month, excl. humanitarian aid) [ENDLINE] broken down by households evacuated from the territory of active hostilities within the last 30 days on the admin of overall</t>
  </si>
  <si>
    <t>Estimated percentage of total household expenditures spent on 'Rent' (past month, excl. humanitarian aid) [ENDLINE] broken down by households partially or fully damaged on the admin of overall</t>
  </si>
  <si>
    <t>Estimated percentage of total household expenditures spent on 'Rent' (past month, excl. humanitarian aid) [ENDLINE] broken down by households whose members were injured or killed as a result of hostilities on the admin of overall</t>
  </si>
  <si>
    <t>Estimated percentage of total household expenditures spent on 'Rent' (past month, excl. humanitarian aid) [ENDLINE] broken down by total eligibility quantiled on the admin of overall</t>
  </si>
  <si>
    <t>Estimated percentage of total household expenditures spent on 'Assistive products' (past month, excl. humanitarian aid) [ENDLINE] on the admin of overall</t>
  </si>
  <si>
    <t>Estimated percentage of total household expenditures spent on 'Assistive products' (past month, excl. humanitarian aid) [ENDLINE] broken down by households with 3 or more children under 18 years of age on the admin of overall</t>
  </si>
  <si>
    <t>Estimated percentage of total household expenditures spent on 'Assistive products' (past month, excl. humanitarian aid) [ENDLINE] broken down by households with children under 1 year of age on the admin of overall</t>
  </si>
  <si>
    <t>Estimated percentage of total household expenditures spent on 'Assistive products' (past month, excl. humanitarian aid) [ENDLINE] broken down by households with pregnant women on the admin of overall</t>
  </si>
  <si>
    <t>Estimated percentage of total household expenditures spent on 'Assistive products' (past month, excl. humanitarian aid) [ENDLINE] broken down by households with people with disabilities of group 1 or 2 on the admin of overall</t>
  </si>
  <si>
    <t>Estimated percentage of total household expenditures spent on 'Assistive products' (past month, excl. humanitarian aid) [ENDLINE] broken down by households with people with severe chronic diseases on the admin of overall</t>
  </si>
  <si>
    <t>Estimated percentage of total household expenditures spent on 'Assistive products' (past month, excl. humanitarian aid) [ENDLINE] broken down by households where all adult members are 60 y.o.+ on the admin of overall</t>
  </si>
  <si>
    <t>Estimated percentage of total household expenditures spent on 'Assistive products' (past month, excl. humanitarian aid) [ENDLINE] broken down by households headed by women on the admin of overall</t>
  </si>
  <si>
    <t>Estimated percentage of total household expenditures spent on 'Assistive products' (past month, excl. humanitarian aid) [ENDLINE] broken down by single headed households with child(ren) or older person(s) (60 y.o.+) on the admin of overall</t>
  </si>
  <si>
    <t>Estimated percentage of total household expenditures spent on 'Assistive products' (past month, excl. humanitarian aid) [ENDLINE] broken down by households displaced from the territory of active hostilities and not receiving idp payments on the admin of overall</t>
  </si>
  <si>
    <t>Estimated percentage of total household expenditures spent on 'Assistive products' (past month, excl. humanitarian aid) [ENDLINE] broken down by households evacuated from the territory of active hostilities within the last 30 days on the admin of overall</t>
  </si>
  <si>
    <t>Estimated percentage of total household expenditures spent on 'Assistive products' (past month, excl. humanitarian aid) [ENDLINE] broken down by households partially or fully damaged on the admin of overall</t>
  </si>
  <si>
    <t>Estimated percentage of total household expenditures spent on 'Assistive products' (past month, excl. humanitarian aid) [ENDLINE] broken down by households whose members were injured or killed as a result of hostilities on the admin of overall</t>
  </si>
  <si>
    <t>Estimated percentage of total household expenditures spent on 'Assistive products' (past month, excl. humanitarian aid) [ENDLINE] broken down by total eligibility quantiled on the admin of overall</t>
  </si>
  <si>
    <t>Estimated percentage of total household expenditures spent on 'Medication' (past month, excl. humanitarian aid) [ENDLINE] on the admin of overall</t>
  </si>
  <si>
    <t>Estimated percentage of total household expenditures spent on 'Medication' (past month, excl. humanitarian aid) [ENDLINE] broken down by households with 3 or more children under 18 years of age on the admin of overall</t>
  </si>
  <si>
    <t>Estimated percentage of total household expenditures spent on 'Medication' (past month, excl. humanitarian aid) [ENDLINE] broken down by households with children under 1 year of age on the admin of overall</t>
  </si>
  <si>
    <t>Estimated percentage of total household expenditures spent on 'Medication' (past month, excl. humanitarian aid) [ENDLINE] broken down by households with pregnant women on the admin of overall</t>
  </si>
  <si>
    <t>Estimated percentage of total household expenditures spent on 'Medication' (past month, excl. humanitarian aid) [ENDLINE] broken down by households with people with disabilities of group 1 or 2 on the admin of overall</t>
  </si>
  <si>
    <t>Estimated percentage of total household expenditures spent on 'Medication' (past month, excl. humanitarian aid) [ENDLINE] broken down by households with people with severe chronic diseases on the admin of overall</t>
  </si>
  <si>
    <t>Estimated percentage of total household expenditures spent on 'Medication' (past month, excl. humanitarian aid) [ENDLINE] broken down by households where all adult members are 60 y.o.+ on the admin of overall</t>
  </si>
  <si>
    <t>Estimated percentage of total household expenditures spent on 'Medication' (past month, excl. humanitarian aid) [ENDLINE] broken down by households headed by women on the admin of overall</t>
  </si>
  <si>
    <t>Estimated percentage of total household expenditures spent on 'Medication' (past month, excl. humanitarian aid) [ENDLINE] broken down by single headed households with child(ren) or older person(s) (60 y.o.+) on the admin of overall</t>
  </si>
  <si>
    <t>Estimated percentage of total household expenditures spent on 'Medication' (past month, excl. humanitarian aid) [ENDLINE] broken down by households displaced from the territory of active hostilities and not receiving idp payments on the admin of overall</t>
  </si>
  <si>
    <t>Estimated percentage of total household expenditures spent on 'Medication' (past month, excl. humanitarian aid) [ENDLINE] broken down by households evacuated from the territory of active hostilities within the last 30 days on the admin of overall</t>
  </si>
  <si>
    <t>Estimated percentage of total household expenditures spent on 'Medication' (past month, excl. humanitarian aid) [ENDLINE] broken down by households partially or fully damaged on the admin of overall</t>
  </si>
  <si>
    <t>Estimated percentage of total household expenditures spent on 'Medication' (past month, excl. humanitarian aid) [ENDLINE] broken down by households whose members were injured or killed as a result of hostilities on the admin of overall</t>
  </si>
  <si>
    <t>Estimated percentage of total household expenditures spent on 'Medication' (past month, excl. humanitarian aid) [ENDLINE] broken down by total eligibility quantiled on the admin of overall</t>
  </si>
  <si>
    <t>Estimated percentage of total household expenditures spent on 'Agricultural inputs' (past month, excl. humanitarian aid) [ENDLINE] on the admin of overall</t>
  </si>
  <si>
    <t>Estimated percentage of total household expenditures spent on 'Agricultural inputs' (past month, excl. humanitarian aid) [ENDLINE] broken down by households with 3 or more children under 18 years of age on the admin of overall</t>
  </si>
  <si>
    <t>Estimated percentage of total household expenditures spent on 'Agricultural inputs' (past month, excl. humanitarian aid) [ENDLINE] broken down by households with children under 1 year of age on the admin of overall</t>
  </si>
  <si>
    <t>Estimated percentage of total household expenditures spent on 'Agricultural inputs' (past month, excl. humanitarian aid) [ENDLINE] broken down by households with pregnant women on the admin of overall</t>
  </si>
  <si>
    <t>Estimated percentage of total household expenditures spent on 'Agricultural inputs' (past month, excl. humanitarian aid) [ENDLINE] broken down by households with people with disabilities of group 1 or 2 on the admin of overall</t>
  </si>
  <si>
    <t>Estimated percentage of total household expenditures spent on 'Agricultural inputs' (past month, excl. humanitarian aid) [ENDLINE] broken down by households with people with severe chronic diseases on the admin of overall</t>
  </si>
  <si>
    <t>Estimated percentage of total household expenditures spent on 'Agricultural inputs' (past month, excl. humanitarian aid) [ENDLINE] broken down by households where all adult members are 60 y.o.+ on the admin of overall</t>
  </si>
  <si>
    <t>Estimated percentage of total household expenditures spent on 'Agricultural inputs' (past month, excl. humanitarian aid) [ENDLINE] broken down by households headed by women on the admin of overall</t>
  </si>
  <si>
    <t>Estimated percentage of total household expenditures spent on 'Agricultural inputs' (past month, excl. humanitarian aid) [ENDLINE] broken down by single headed households with child(ren) or older person(s) (60 y.o.+) on the admin of overall</t>
  </si>
  <si>
    <t>Estimated percentage of total household expenditures spent on 'Agricultural inputs' (past month, excl. humanitarian aid) [ENDLINE] broken down by households displaced from the territory of active hostilities and not receiving idp payments on the admin of overall</t>
  </si>
  <si>
    <t>Estimated percentage of total household expenditures spent on 'Agricultural inputs' (past month, excl. humanitarian aid) [ENDLINE] broken down by households evacuated from the territory of active hostilities within the last 30 days on the admin of overall</t>
  </si>
  <si>
    <t>Estimated percentage of total household expenditures spent on 'Agricultural inputs' (past month, excl. humanitarian aid) [ENDLINE] broken down by households partially or fully damaged on the admin of overall</t>
  </si>
  <si>
    <t>Estimated percentage of total household expenditures spent on 'Agricultural inputs' (past month, excl. humanitarian aid) [ENDLINE] broken down by households whose members were injured or killed as a result of hostilities on the admin of overall</t>
  </si>
  <si>
    <t>Estimated percentage of total household expenditures spent on 'Agricultural inputs' (past month, excl. humanitarian aid) [ENDLINE] broken down by total eligibility quantiled on the admin of overall</t>
  </si>
  <si>
    <t>Estimated percentage of total household expenditures spent on 'Shelter maintenance' (past month, excl. humanitarian aid) [ENDLINE] on the admin of overall</t>
  </si>
  <si>
    <t>Estimated percentage of total household expenditures spent on 'Shelter maintenance' (past month, excl. humanitarian aid) [ENDLINE] broken down by households with 3 or more children under 18 years of age on the admin of overall</t>
  </si>
  <si>
    <t>Estimated percentage of total household expenditures spent on 'Shelter maintenance' (past month, excl. humanitarian aid) [ENDLINE] broken down by households with children under 1 year of age on the admin of overall</t>
  </si>
  <si>
    <t>Estimated percentage of total household expenditures spent on 'Shelter maintenance' (past month, excl. humanitarian aid) [ENDLINE] broken down by households with pregnant women on the admin of overall</t>
  </si>
  <si>
    <t>Estimated percentage of total household expenditures spent on 'Shelter maintenance' (past month, excl. humanitarian aid) [ENDLINE] broken down by households with people with disabilities of group 1 or 2 on the admin of overall</t>
  </si>
  <si>
    <t>Estimated percentage of total household expenditures spent on 'Shelter maintenance' (past month, excl. humanitarian aid) [ENDLINE] broken down by households with people with severe chronic diseases on the admin of overall</t>
  </si>
  <si>
    <t>Estimated percentage of total household expenditures spent on 'Shelter maintenance' (past month, excl. humanitarian aid) [ENDLINE] broken down by households where all adult members are 60 y.o.+ on the admin of overall</t>
  </si>
  <si>
    <t>Estimated percentage of total household expenditures spent on 'Shelter maintenance' (past month, excl. humanitarian aid) [ENDLINE] broken down by households headed by women on the admin of overall</t>
  </si>
  <si>
    <t>Estimated percentage of total household expenditures spent on 'Shelter maintenance' (past month, excl. humanitarian aid) [ENDLINE] broken down by single headed households with child(ren) or older person(s) (60 y.o.+) on the admin of overall</t>
  </si>
  <si>
    <t>Estimated percentage of total household expenditures spent on 'Shelter maintenance' (past month, excl. humanitarian aid) [ENDLINE] broken down by households displaced from the territory of active hostilities and not receiving idp payments on the admin of overall</t>
  </si>
  <si>
    <t>Estimated percentage of total household expenditures spent on 'Shelter maintenance' (past month, excl. humanitarian aid) [ENDLINE] broken down by households evacuated from the territory of active hostilities within the last 30 days on the admin of overall</t>
  </si>
  <si>
    <t>Estimated percentage of total household expenditures spent on 'Shelter maintenance' (past month, excl. humanitarian aid) [ENDLINE] broken down by households partially or fully damaged on the admin of overall</t>
  </si>
  <si>
    <t>Estimated percentage of total household expenditures spent on 'Shelter maintenance' (past month, excl. humanitarian aid) [ENDLINE] broken down by households whose members were injured or killed as a result of hostilities on the admin of overall</t>
  </si>
  <si>
    <t>Estimated percentage of total household expenditures spent on 'Shelter maintenance' (past month, excl. humanitarian aid) [ENDLINE] broken down by total eligibility quantiled on the admin of overall</t>
  </si>
  <si>
    <t>Estimated percentage of total household expenditures spent on 'Future savings' (past month, excl. humanitarian aid) [ENDLINE] on the admin of overall</t>
  </si>
  <si>
    <t>Estimated percentage of total household expenditures spent on 'Future savings' (past month, excl. humanitarian aid) [ENDLINE] broken down by households with 3 or more children under 18 years of age on the admin of overall</t>
  </si>
  <si>
    <t>Estimated percentage of total household expenditures spent on 'Future savings' (past month, excl. humanitarian aid) [ENDLINE] broken down by households with children under 1 year of age on the admin of overall</t>
  </si>
  <si>
    <t>Estimated percentage of total household expenditures spent on 'Future savings' (past month, excl. humanitarian aid) [ENDLINE] broken down by households with pregnant women on the admin of overall</t>
  </si>
  <si>
    <t>Estimated percentage of total household expenditures spent on 'Future savings' (past month, excl. humanitarian aid) [ENDLINE] broken down by households with people with disabilities of group 1 or 2 on the admin of overall</t>
  </si>
  <si>
    <t>Estimated percentage of total household expenditures spent on 'Future savings' (past month, excl. humanitarian aid) [ENDLINE] broken down by households with people with severe chronic diseases on the admin of overall</t>
  </si>
  <si>
    <t>Estimated percentage of total household expenditures spent on 'Future savings' (past month, excl. humanitarian aid) [ENDLINE] broken down by households where all adult members are 60 y.o.+ on the admin of overall</t>
  </si>
  <si>
    <t>Estimated percentage of total household expenditures spent on 'Future savings' (past month, excl. humanitarian aid) [ENDLINE] broken down by households headed by women on the admin of overall</t>
  </si>
  <si>
    <t>Estimated percentage of total household expenditures spent on 'Future savings' (past month, excl. humanitarian aid) [ENDLINE] broken down by single headed households with child(ren) or older person(s) (60 y.o.+) on the admin of overall</t>
  </si>
  <si>
    <t>Estimated percentage of total household expenditures spent on 'Future savings' (past month, excl. humanitarian aid) [ENDLINE] broken down by households displaced from the territory of active hostilities and not receiving idp payments on the admin of overall</t>
  </si>
  <si>
    <t>Estimated percentage of total household expenditures spent on 'Future savings' (past month, excl. humanitarian aid) [ENDLINE] broken down by households evacuated from the territory of active hostilities within the last 30 days on the admin of overall</t>
  </si>
  <si>
    <t>Estimated percentage of total household expenditures spent on 'Future savings' (past month, excl. humanitarian aid) [ENDLINE] broken down by households partially or fully damaged on the admin of overall</t>
  </si>
  <si>
    <t>Estimated percentage of total household expenditures spent on 'Future savings' (past month, excl. humanitarian aid) [ENDLINE] broken down by households whose members were injured or killed as a result of hostilities on the admin of overall</t>
  </si>
  <si>
    <t>Estimated percentage of total household expenditures spent on 'Future savings' (past month, excl. humanitarian aid) [ENDLINE] broken down by total eligibility quantiled on the admin of overall</t>
  </si>
  <si>
    <t>Estimated percentage of total household expenditures spent on 'Shared with others' (past month, excl. humanitarian aid) [ENDLINE] on the admin of overall</t>
  </si>
  <si>
    <t>Estimated percentage of total household expenditures spent on 'Shared with others' (past month, excl. humanitarian aid) [ENDLINE] broken down by households with 3 or more children under 18 years of age on the admin of overall</t>
  </si>
  <si>
    <t>Estimated percentage of total household expenditures spent on 'Shared with others' (past month, excl. humanitarian aid) [ENDLINE] broken down by households with children under 1 year of age on the admin of overall</t>
  </si>
  <si>
    <t>Estimated percentage of total household expenditures spent on 'Shared with others' (past month, excl. humanitarian aid) [ENDLINE] broken down by households with pregnant women on the admin of overall</t>
  </si>
  <si>
    <t>Estimated percentage of total household expenditures spent on 'Shared with others' (past month, excl. humanitarian aid) [ENDLINE] broken down by households with people with disabilities of group 1 or 2 on the admin of overall</t>
  </si>
  <si>
    <t>Estimated percentage of total household expenditures spent on 'Shared with others' (past month, excl. humanitarian aid) [ENDLINE] broken down by households with people with severe chronic diseases on the admin of overall</t>
  </si>
  <si>
    <t>Estimated percentage of total household expenditures spent on 'Shared with others' (past month, excl. humanitarian aid) [ENDLINE] broken down by households where all adult members are 60 y.o.+ on the admin of overall</t>
  </si>
  <si>
    <t>Estimated percentage of total household expenditures spent on 'Shared with others' (past month, excl. humanitarian aid) [ENDLINE] broken down by households headed by women on the admin of overall</t>
  </si>
  <si>
    <t>Estimated percentage of total household expenditures spent on 'Shared with others' (past month, excl. humanitarian aid) [ENDLINE] broken down by single headed households with child(ren) or older person(s) (60 y.o.+) on the admin of overall</t>
  </si>
  <si>
    <t>Estimated percentage of total household expenditures spent on 'Shared with others' (past month, excl. humanitarian aid) [ENDLINE] broken down by households displaced from the territory of active hostilities and not receiving idp payments on the admin of overall</t>
  </si>
  <si>
    <t>Estimated percentage of total household expenditures spent on 'Shared with others' (past month, excl. humanitarian aid) [ENDLINE] broken down by households evacuated from the territory of active hostilities within the last 30 days on the admin of overall</t>
  </si>
  <si>
    <t>Estimated percentage of total household expenditures spent on 'Shared with others' (past month, excl. humanitarian aid) [ENDLINE] broken down by households partially or fully damaged on the admin of overall</t>
  </si>
  <si>
    <t>Estimated percentage of total household expenditures spent on 'Shared with others' (past month, excl. humanitarian aid) [ENDLINE] broken down by households whose members were injured or killed as a result of hostilities on the admin of overall</t>
  </si>
  <si>
    <t>Estimated percentage of total household expenditures spent on 'Shared with others' (past month, excl. humanitarian aid) [ENDLINE] broken down by total eligibility quantiled on the admin of overall</t>
  </si>
  <si>
    <t>Estimated percentage of total household expenditures spent on 'Transportation' (past month, excl. humanitarian aid) [ENDLINE] on the admin of overall</t>
  </si>
  <si>
    <t>Estimated percentage of total household expenditures spent on 'Transportation' (past month, excl. humanitarian aid) [ENDLINE] broken down by households with 3 or more children under 18 years of age on the admin of overall</t>
  </si>
  <si>
    <t>Estimated percentage of total household expenditures spent on 'Transportation' (past month, excl. humanitarian aid) [ENDLINE] broken down by households with children under 1 year of age on the admin of overall</t>
  </si>
  <si>
    <t>Estimated percentage of total household expenditures spent on 'Transportation' (past month, excl. humanitarian aid) [ENDLINE] broken down by households with pregnant women on the admin of overall</t>
  </si>
  <si>
    <t>Estimated percentage of total household expenditures spent on 'Transportation' (past month, excl. humanitarian aid) [ENDLINE] broken down by households with people with disabilities of group 1 or 2 on the admin of overall</t>
  </si>
  <si>
    <t>Estimated percentage of total household expenditures spent on 'Transportation' (past month, excl. humanitarian aid) [ENDLINE] broken down by households with people with severe chronic diseases on the admin of overall</t>
  </si>
  <si>
    <t>Estimated percentage of total household expenditures spent on 'Transportation' (past month, excl. humanitarian aid) [ENDLINE] broken down by households where all adult members are 60 y.o.+ on the admin of overall</t>
  </si>
  <si>
    <t>Estimated percentage of total household expenditures spent on 'Transportation' (past month, excl. humanitarian aid) [ENDLINE] broken down by households headed by women on the admin of overall</t>
  </si>
  <si>
    <t>Estimated percentage of total household expenditures spent on 'Transportation' (past month, excl. humanitarian aid) [ENDLINE] broken down by single headed households with child(ren) or older person(s) (60 y.o.+) on the admin of overall</t>
  </si>
  <si>
    <t>Estimated percentage of total household expenditures spent on 'Transportation' (past month, excl. humanitarian aid) [ENDLINE] broken down by households displaced from the territory of active hostilities and not receiving idp payments on the admin of overall</t>
  </si>
  <si>
    <t>Estimated percentage of total household expenditures spent on 'Transportation' (past month, excl. humanitarian aid) [ENDLINE] broken down by households evacuated from the territory of active hostilities within the last 30 days on the admin of overall</t>
  </si>
  <si>
    <t>Estimated percentage of total household expenditures spent on 'Transportation' (past month, excl. humanitarian aid) [ENDLINE] broken down by households partially or fully damaged on the admin of overall</t>
  </si>
  <si>
    <t>Estimated percentage of total household expenditures spent on 'Transportation' (past month, excl. humanitarian aid) [ENDLINE] broken down by households whose members were injured or killed as a result of hostilities on the admin of overall</t>
  </si>
  <si>
    <t>Estimated percentage of total household expenditures spent on 'Transportation' (past month, excl. humanitarian aid) [ENDLINE] broken down by total eligibility quantiled on the admin of overall</t>
  </si>
  <si>
    <t>Estimated percentage of total household expenditures spent on 'Communication' (past month, excl. humanitarian aid) [ENDLINE] on the admin of overall</t>
  </si>
  <si>
    <t>Estimated percentage of total household expenditures spent on 'Communication' (past month, excl. humanitarian aid) [ENDLINE] broken down by households with 3 or more children under 18 years of age on the admin of overall</t>
  </si>
  <si>
    <t>Estimated percentage of total household expenditures spent on 'Communication' (past month, excl. humanitarian aid) [ENDLINE] broken down by households with children under 1 year of age on the admin of overall</t>
  </si>
  <si>
    <t>Estimated percentage of total household expenditures spent on 'Communication' (past month, excl. humanitarian aid) [ENDLINE] broken down by households with pregnant women on the admin of overall</t>
  </si>
  <si>
    <t>Estimated percentage of total household expenditures spent on 'Communication' (past month, excl. humanitarian aid) [ENDLINE] broken down by households with people with disabilities of group 1 or 2 on the admin of overall</t>
  </si>
  <si>
    <t>Estimated percentage of total household expenditures spent on 'Communication' (past month, excl. humanitarian aid) [ENDLINE] broken down by households with people with severe chronic diseases on the admin of overall</t>
  </si>
  <si>
    <t>Estimated percentage of total household expenditures spent on 'Communication' (past month, excl. humanitarian aid) [ENDLINE] broken down by households where all adult members are 60 y.o.+ on the admin of overall</t>
  </si>
  <si>
    <t>Estimated percentage of total household expenditures spent on 'Communication' (past month, excl. humanitarian aid) [ENDLINE] broken down by households headed by women on the admin of overall</t>
  </si>
  <si>
    <t>Estimated percentage of total household expenditures spent on 'Communication' (past month, excl. humanitarian aid) [ENDLINE] broken down by single headed households with child(ren) or older person(s) (60 y.o.+) on the admin of overall</t>
  </si>
  <si>
    <t>Estimated percentage of total household expenditures spent on 'Communication' (past month, excl. humanitarian aid) [ENDLINE] broken down by households displaced from the territory of active hostilities and not receiving idp payments on the admin of overall</t>
  </si>
  <si>
    <t>Estimated percentage of total household expenditures spent on 'Communication' (past month, excl. humanitarian aid) [ENDLINE] broken down by households evacuated from the territory of active hostilities within the last 30 days on the admin of overall</t>
  </si>
  <si>
    <t>Estimated percentage of total household expenditures spent on 'Communication' (past month, excl. humanitarian aid) [ENDLINE] broken down by households partially or fully damaged on the admin of overall</t>
  </si>
  <si>
    <t>Estimated percentage of total household expenditures spent on 'Communication' (past month, excl. humanitarian aid) [ENDLINE] broken down by households whose members were injured or killed as a result of hostilities on the admin of overall</t>
  </si>
  <si>
    <t>Estimated percentage of total household expenditures spent on 'Communication' (past month, excl. humanitarian aid) [ENDLINE] broken down by total eligibility quantiled on the admin of overall</t>
  </si>
  <si>
    <t>Estimated percentage of total household expenditures spent on 'Education materials' (past month, excl. humanitarian aid) [ENDLINE] on the admin of overall</t>
  </si>
  <si>
    <t>Estimated percentage of total household expenditures spent on 'Education materials' (past month, excl. humanitarian aid) [ENDLINE] broken down by households with 3 or more children under 18 years of age on the admin of overall</t>
  </si>
  <si>
    <t>Estimated percentage of total household expenditures spent on 'Education materials' (past month, excl. humanitarian aid) [ENDLINE] broken down by households with children under 1 year of age on the admin of overall</t>
  </si>
  <si>
    <t>Estimated percentage of total household expenditures spent on 'Education materials' (past month, excl. humanitarian aid) [ENDLINE] broken down by households with pregnant women on the admin of overall</t>
  </si>
  <si>
    <t>Estimated percentage of total household expenditures spent on 'Education materials' (past month, excl. humanitarian aid) [ENDLINE] broken down by households with people with disabilities of group 1 or 2 on the admin of overall</t>
  </si>
  <si>
    <t>Estimated percentage of total household expenditures spent on 'Education materials' (past month, excl. humanitarian aid) [ENDLINE] broken down by households with people with severe chronic diseases on the admin of overall</t>
  </si>
  <si>
    <t>Estimated percentage of total household expenditures spent on 'Education materials' (past month, excl. humanitarian aid) [ENDLINE] broken down by households where all adult members are 60 y.o.+ on the admin of overall</t>
  </si>
  <si>
    <t>Estimated percentage of total household expenditures spent on 'Education materials' (past month, excl. humanitarian aid) [ENDLINE] broken down by households headed by women on the admin of overall</t>
  </si>
  <si>
    <t>Estimated percentage of total household expenditures spent on 'Education materials' (past month, excl. humanitarian aid) [ENDLINE] broken down by single headed households with child(ren) or older person(s) (60 y.o.+) on the admin of overall</t>
  </si>
  <si>
    <t>Estimated percentage of total household expenditures spent on 'Education materials' (past month, excl. humanitarian aid) [ENDLINE] broken down by households displaced from the territory of active hostilities and not receiving idp payments on the admin of overall</t>
  </si>
  <si>
    <t>Estimated percentage of total household expenditures spent on 'Education materials' (past month, excl. humanitarian aid) [ENDLINE] broken down by households evacuated from the territory of active hostilities within the last 30 days on the admin of overall</t>
  </si>
  <si>
    <t>Estimated percentage of total household expenditures spent on 'Education materials' (past month, excl. humanitarian aid) [ENDLINE] broken down by households partially or fully damaged on the admin of overall</t>
  </si>
  <si>
    <t>Estimated percentage of total household expenditures spent on 'Education materials' (past month, excl. humanitarian aid) [ENDLINE] broken down by households whose members were injured or killed as a result of hostilities on the admin of overall</t>
  </si>
  <si>
    <t>Estimated percentage of total household expenditures spent on 'Education materials' (past month, excl. humanitarian aid) [ENDLINE] broken down by total eligibility quantiled on the admin of 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</si>
</sst>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0\%"/>
  </numFmts>
  <fonts count="24" x14ac:knownFonts="1">
    <font>
      <sz val="11"/>
      <color theme="1"/>
      <name val="Aptos Narrow"/>
      <family val="2"/>
      <scheme val="minor"/>
    </font>
    <font>
      <sz val="11"/>
      <color theme="1"/>
      <name val="Aptos Narrow"/>
      <family val="2"/>
      <scheme val="minor"/>
    </font>
    <font>
      <b/>
      <sz val="11"/>
      <color theme="1"/>
      <name val="Aptos Narrow"/>
      <family val="2"/>
      <scheme val="minor"/>
    </font>
    <font>
      <b/>
      <sz val="20"/>
      <color theme="1"/>
      <name val="Arial Narrow"/>
      <family val="2"/>
    </font>
    <font>
      <b/>
      <u/>
      <sz val="14"/>
      <color rgb="FF000000"/>
      <name val="Arial Narrow"/>
      <family val="2"/>
    </font>
    <font>
      <b/>
      <sz val="14"/>
      <color theme="1"/>
      <name val="Aptos Narrow"/>
      <family val="2"/>
      <scheme val="minor"/>
    </font>
    <font>
      <b/>
      <sz val="14"/>
      <color rgb="FFFF0000"/>
      <name val="Aptos Narrow"/>
      <family val="2"/>
      <scheme val="minor"/>
    </font>
    <font>
      <b/>
      <sz val="14"/>
      <name val="Aptos Narrow"/>
      <family val="2"/>
      <scheme val="minor"/>
    </font>
    <font>
      <sz val="12"/>
      <color theme="1"/>
      <name val="Aptos Narrow"/>
      <family val="2"/>
      <scheme val="minor"/>
    </font>
    <font>
      <u/>
      <sz val="12"/>
      <color theme="1"/>
      <name val="Aptos Narrow"/>
      <family val="2"/>
      <scheme val="minor"/>
    </font>
    <font>
      <b/>
      <sz val="16"/>
      <color rgb="FFFFFFFF"/>
      <name val="Aptos Narrow"/>
      <family val="2"/>
      <scheme val="minor"/>
    </font>
    <font>
      <b/>
      <sz val="11"/>
      <color rgb="FF0000FF"/>
      <name val="Calibri"/>
      <family val="2"/>
    </font>
    <font>
      <sz val="12"/>
      <name val="Arial Narrow"/>
      <family val="2"/>
    </font>
    <font>
      <b/>
      <sz val="12"/>
      <name val="Arial Narrow"/>
      <family val="2"/>
    </font>
    <font>
      <sz val="12"/>
      <color rgb="FF000000"/>
      <name val="Arial Narrow"/>
      <family val="2"/>
    </font>
    <font>
      <b/>
      <sz val="20"/>
      <color rgb="FF000000"/>
      <name val="Arial Narrow"/>
      <family val="2"/>
    </font>
    <font>
      <b/>
      <sz val="14"/>
      <color rgb="FFFFFFFF"/>
      <name val="Arial Narrow"/>
      <family val="2"/>
    </font>
    <font>
      <b/>
      <sz val="11"/>
      <name val="Calibri"/>
      <family val="2"/>
    </font>
    <font>
      <b/>
      <sz val="11"/>
      <color theme="0"/>
      <name val="Aptos Narrow"/>
      <family val="2"/>
      <scheme val="minor"/>
    </font>
    <font>
      <sz val="11"/>
      <color theme="0"/>
      <name val="Aptos Narrow"/>
      <family val="2"/>
      <scheme val="minor"/>
    </font>
    <font>
      <sz val="11"/>
      <name val="Aptos Narrow"/>
      <family val="2"/>
      <scheme val="minor"/>
    </font>
    <font>
      <b/>
      <sz val="14"/>
      <color rgb="FFFF2F2F"/>
      <name val="Aptos Narrow"/>
      <family val="2"/>
      <scheme val="minor"/>
    </font>
    <font>
      <sz val="12"/>
      <color rgb="FF000000"/>
      <name val="Arial Narrow"/>
    </font>
    <font>
      <b/>
      <sz val="12"/>
      <color rgb="FF000000"/>
      <name val="Arial Narrow"/>
    </font>
  </fonts>
  <fills count="9">
    <fill>
      <patternFill patternType="none"/>
    </fill>
    <fill>
      <patternFill patternType="gray125"/>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theme="0" tint="-0.14999847407452621"/>
        <bgColor theme="0" tint="-0.14999847407452621"/>
      </patternFill>
    </fill>
    <fill>
      <patternFill patternType="solid">
        <fgColor rgb="FFFF4F4F"/>
        <bgColor indexed="64"/>
      </patternFill>
    </fill>
    <fill>
      <patternFill patternType="solid">
        <fgColor theme="0"/>
        <bgColor rgb="FF000000"/>
      </patternFill>
    </fill>
    <fill>
      <patternFill patternType="solid">
        <fgColor theme="0"/>
        <bgColor rgb="FFA6A6A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43">
    <xf numFmtId="0" fontId="0" fillId="0" borderId="0" xfId="0"/>
    <xf numFmtId="0" fontId="4" fillId="0" borderId="0" xfId="1" applyFont="1" applyAlignment="1">
      <alignment horizontal="left" vertical="center"/>
    </xf>
    <xf numFmtId="0" fontId="2" fillId="0" borderId="0" xfId="0" applyFont="1"/>
    <xf numFmtId="0" fontId="5" fillId="0" borderId="0" xfId="0" applyFont="1" applyAlignment="1">
      <alignment horizontal="left"/>
    </xf>
    <xf numFmtId="0" fontId="5" fillId="0" borderId="0" xfId="0" applyFont="1" applyAlignment="1">
      <alignment horizontal="left" vertical="center"/>
    </xf>
    <xf numFmtId="0" fontId="8" fillId="0" borderId="0" xfId="0" applyFont="1" applyAlignment="1">
      <alignment horizontal="left" vertical="top"/>
    </xf>
    <xf numFmtId="0" fontId="10" fillId="2" borderId="4" xfId="1" applyFont="1" applyFill="1" applyBorder="1" applyAlignment="1">
      <alignment horizontal="center" vertical="center" wrapText="1"/>
    </xf>
    <xf numFmtId="0" fontId="10" fillId="2" borderId="3" xfId="1" applyFont="1" applyFill="1" applyBorder="1" applyAlignment="1">
      <alignment horizontal="center" vertical="center" wrapText="1"/>
    </xf>
    <xf numFmtId="10" fontId="0" fillId="0" borderId="0" xfId="0" applyNumberFormat="1"/>
    <xf numFmtId="0" fontId="12" fillId="3" borderId="1" xfId="1" applyFont="1" applyFill="1" applyBorder="1" applyAlignment="1">
      <alignment horizontal="left" vertical="top" wrapText="1"/>
    </xf>
    <xf numFmtId="0" fontId="13" fillId="3" borderId="1" xfId="1" applyFont="1" applyFill="1" applyBorder="1" applyAlignment="1">
      <alignment horizontal="center" vertical="center" wrapText="1"/>
    </xf>
    <xf numFmtId="0" fontId="12" fillId="0" borderId="5" xfId="1" applyFont="1" applyBorder="1" applyAlignment="1">
      <alignment horizontal="left" vertical="top" wrapText="1"/>
    </xf>
    <xf numFmtId="0" fontId="12" fillId="0" borderId="0" xfId="1" applyFont="1" applyAlignment="1">
      <alignment horizontal="left" vertical="top" wrapText="1"/>
    </xf>
    <xf numFmtId="0" fontId="13" fillId="3" borderId="1" xfId="1" applyFont="1" applyFill="1" applyBorder="1" applyAlignment="1">
      <alignment horizontal="left" vertical="top" wrapText="1"/>
    </xf>
    <xf numFmtId="0" fontId="14" fillId="4" borderId="2" xfId="1" applyFont="1" applyFill="1" applyBorder="1" applyAlignment="1">
      <alignment horizontal="left" vertical="top" wrapText="1"/>
    </xf>
    <xf numFmtId="0" fontId="16" fillId="2" borderId="1" xfId="1" applyFont="1" applyFill="1" applyBorder="1" applyAlignment="1">
      <alignment horizontal="left" vertical="top" wrapText="1"/>
    </xf>
    <xf numFmtId="0" fontId="13" fillId="3" borderId="6" xfId="1" applyFont="1" applyFill="1" applyBorder="1" applyAlignment="1">
      <alignment horizontal="center" vertical="center" wrapText="1"/>
    </xf>
    <xf numFmtId="0" fontId="17" fillId="0" borderId="0" xfId="0" applyFont="1"/>
    <xf numFmtId="0" fontId="17" fillId="5" borderId="0" xfId="0" applyFont="1" applyFill="1"/>
    <xf numFmtId="0" fontId="17" fillId="0" borderId="1" xfId="0" applyFont="1" applyBorder="1"/>
    <xf numFmtId="0" fontId="11" fillId="0" borderId="1" xfId="0" applyFont="1" applyBorder="1"/>
    <xf numFmtId="0" fontId="2" fillId="0" borderId="1" xfId="0" applyFont="1" applyBorder="1"/>
    <xf numFmtId="0" fontId="0" fillId="0" borderId="0" xfId="0" applyAlignment="1">
      <alignment wrapText="1"/>
    </xf>
    <xf numFmtId="10" fontId="0" fillId="0" borderId="0" xfId="2" applyNumberFormat="1" applyFont="1"/>
    <xf numFmtId="1" fontId="0" fillId="0" borderId="0" xfId="2" applyNumberFormat="1" applyFont="1"/>
    <xf numFmtId="2" fontId="0" fillId="0" borderId="0" xfId="0" applyNumberFormat="1"/>
    <xf numFmtId="1" fontId="0" fillId="0" borderId="0" xfId="0" applyNumberFormat="1"/>
    <xf numFmtId="0" fontId="18" fillId="6" borderId="0" xfId="0" applyFont="1" applyFill="1" applyAlignment="1">
      <alignment wrapText="1"/>
    </xf>
    <xf numFmtId="0" fontId="19" fillId="6" borderId="0" xfId="0" applyFont="1" applyFill="1" applyAlignment="1">
      <alignment wrapText="1"/>
    </xf>
    <xf numFmtId="164" fontId="0" fillId="0" borderId="0" xfId="0" applyNumberFormat="1"/>
    <xf numFmtId="165" fontId="0" fillId="0" borderId="0" xfId="0" applyNumberFormat="1"/>
    <xf numFmtId="0" fontId="18" fillId="0" borderId="0" xfId="0" applyFont="1"/>
    <xf numFmtId="0" fontId="20" fillId="0" borderId="0" xfId="0" applyFont="1"/>
    <xf numFmtId="0" fontId="13" fillId="7" borderId="1" xfId="1" applyFont="1" applyFill="1" applyBorder="1" applyAlignment="1">
      <alignment horizontal="center" vertical="center" wrapText="1"/>
    </xf>
    <xf numFmtId="0" fontId="12" fillId="7" borderId="2" xfId="1" applyFont="1" applyFill="1" applyBorder="1" applyAlignment="1">
      <alignment horizontal="left" vertical="top" wrapText="1"/>
    </xf>
    <xf numFmtId="0" fontId="13" fillId="7" borderId="6" xfId="1" applyFont="1" applyFill="1" applyBorder="1" applyAlignment="1">
      <alignment horizontal="center" vertical="center" wrapText="1"/>
    </xf>
    <xf numFmtId="0" fontId="14" fillId="8" borderId="2" xfId="1" applyFont="1" applyFill="1" applyBorder="1" applyAlignment="1">
      <alignment horizontal="left" vertical="top" wrapText="1"/>
    </xf>
    <xf numFmtId="0" fontId="14" fillId="4" borderId="1" xfId="1" applyFont="1" applyFill="1" applyBorder="1" applyAlignment="1">
      <alignment horizontal="left" vertical="top" wrapText="1"/>
    </xf>
    <xf numFmtId="0" fontId="14" fillId="4" borderId="1" xfId="1" applyFont="1" applyFill="1" applyBorder="1" applyAlignment="1">
      <alignment horizontal="left" vertical="center" wrapText="1"/>
    </xf>
    <xf numFmtId="0" fontId="22" fillId="8" borderId="2" xfId="1" applyFont="1" applyFill="1" applyBorder="1" applyAlignment="1">
      <alignment horizontal="left" vertical="top" wrapText="1"/>
    </xf>
    <xf numFmtId="0" fontId="15" fillId="0" borderId="1" xfId="1" applyFont="1" applyBorder="1" applyAlignment="1">
      <alignment horizontal="left" vertical="center" wrapText="1"/>
    </xf>
    <xf numFmtId="0" fontId="13" fillId="3" borderId="1" xfId="1" applyFont="1" applyFill="1" applyBorder="1" applyAlignment="1">
      <alignment horizontal="center" vertical="center" wrapText="1"/>
    </xf>
    <xf numFmtId="0" fontId="3" fillId="0" borderId="0" xfId="0" applyFont="1" applyAlignment="1">
      <alignment horizontal="center" vertical="center"/>
    </xf>
  </cellXfs>
  <cellStyles count="3">
    <cellStyle name="Normal 2" xfId="1" xr:uid="{8D1D12BB-6EC7-46B6-8574-968D1A7620B1}"/>
    <cellStyle name="Відсотковий" xfId="2" builtinId="5"/>
    <cellStyle name="Звичайний" xfId="0" builtinId="0"/>
  </cellStyles>
  <dxfs count="1966">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b/>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color auto="1"/>
        <name val="Calibri"/>
        <family val="2"/>
        <scheme val="none"/>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z val="9"/>
        <color rgb="FF0000FF"/>
        <name val="Calibri"/>
        <family val="2"/>
        <scheme val="none"/>
      </font>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color auto="1"/>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i val="0"/>
      </font>
      <border>
        <left style="thin">
          <color rgb="FFFF0000"/>
        </left>
        <right style="thin">
          <color rgb="FFFF0000"/>
        </right>
        <top style="thin">
          <color rgb="FFFF0000"/>
        </top>
        <bottom style="thin">
          <color rgb="FFFF0000"/>
        </bottom>
      </border>
    </dxf>
    <dxf>
      <border>
        <left style="thin">
          <color rgb="FFFF7979"/>
        </left>
        <right style="thin">
          <color rgb="FFFF7979"/>
        </right>
        <top style="thin">
          <color rgb="FFFF7979"/>
        </top>
        <bottom style="thin">
          <color rgb="FFFF7979"/>
        </bottom>
      </border>
    </dxf>
    <dxf>
      <fill>
        <patternFill>
          <fgColor rgb="FFFF0000"/>
        </patternFill>
      </fill>
    </dxf>
  </dxfs>
  <tableStyles count="2" defaultTableStyle="TableStyleMedium2" defaultPivotStyle="PivotStyleMedium9">
    <tableStyle name="Slicer Style 1" pivot="0" table="0" count="1" xr9:uid="{1FAAA918-F4B7-4453-9F2D-2AA177B8329B}">
      <tableStyleElement type="wholeTable" dxfId="1965"/>
    </tableStyle>
    <tableStyle name="Slicer Style 2" pivot="0" table="0" count="10" xr9:uid="{178D2275-586C-4B7E-9169-C1A231184D54}">
      <tableStyleElement type="wholeTable" dxfId="1964"/>
      <tableStyleElement type="headerRow" dxfId="1963"/>
    </tableStyle>
  </tableStyles>
  <colors>
    <mruColors>
      <color rgb="FFFF2F2F"/>
      <color rgb="FFFF4F4F"/>
      <color rgb="FFFF7979"/>
      <color rgb="FFFF0000"/>
      <color rgb="FFFFFF99"/>
      <color rgb="FFFFFF66"/>
      <color rgb="FFFFCCCC"/>
      <color rgb="FFFFD1D1"/>
    </mruColors>
  </colors>
  <extLst>
    <ext xmlns:x14="http://schemas.microsoft.com/office/spreadsheetml/2009/9/main" uri="{46F421CA-312F-682f-3DD2-61675219B42D}">
      <x14:dxfs count="8">
        <dxf>
          <fill>
            <gradientFill degree="90">
              <stop position="0">
                <color theme="0"/>
              </stop>
              <stop position="1">
                <color rgb="FFFFFF99"/>
              </stop>
            </gradientFill>
          </fill>
          <border>
            <left style="thin">
              <color auto="1"/>
            </left>
            <right style="thin">
              <color auto="1"/>
            </right>
            <top style="thin">
              <color auto="1"/>
            </top>
            <bottom style="thin">
              <color auto="1"/>
            </bottom>
          </border>
        </dxf>
        <dxf>
          <fill>
            <gradientFill degree="90">
              <stop position="0">
                <color theme="0"/>
              </stop>
              <stop position="1">
                <color rgb="FFFFFF99"/>
              </stop>
            </gradientFill>
          </fill>
          <border>
            <left style="thin">
              <color auto="1"/>
            </left>
            <right style="thin">
              <color auto="1"/>
            </right>
            <top style="thin">
              <color auto="1"/>
            </top>
            <bottom style="thin">
              <color auto="1"/>
            </bottom>
          </border>
        </dxf>
        <dxf>
          <fill>
            <gradientFill degree="90">
              <stop position="0">
                <color theme="0"/>
              </stop>
              <stop position="1">
                <color rgb="FFFFFF99"/>
              </stop>
            </gradientFill>
          </fill>
          <border>
            <left style="thin">
              <color auto="1"/>
            </left>
            <right style="thin">
              <color auto="1"/>
            </right>
            <top style="thin">
              <color auto="1"/>
            </top>
            <bottom style="thin">
              <color auto="1"/>
            </bottom>
          </border>
        </dxf>
        <dxf>
          <fill>
            <gradientFill degree="90">
              <stop position="0">
                <color theme="0"/>
              </stop>
              <stop position="1">
                <color rgb="FFFFFF99"/>
              </stop>
            </gradientFill>
          </fill>
          <border>
            <left style="thin">
              <color auto="1"/>
            </left>
            <right style="thin">
              <color auto="1"/>
            </right>
            <top style="thin">
              <color auto="1"/>
            </top>
            <bottom style="thin">
              <color auto="1"/>
            </bottom>
          </border>
        </dxf>
        <dxf>
          <font>
            <color theme="2" tint="-0.499984740745262"/>
          </font>
          <fill>
            <patternFill>
              <bgColor rgb="FFFFCCCC"/>
            </patternFill>
          </fill>
          <border>
            <left style="thin">
              <color theme="2" tint="-9.9948118533890809E-2"/>
            </left>
            <right style="thin">
              <color theme="2" tint="-9.9948118533890809E-2"/>
            </right>
            <top style="thin">
              <color theme="2" tint="-9.9948118533890809E-2"/>
            </top>
            <bottom style="thin">
              <color theme="2" tint="-9.9948118533890809E-2"/>
            </bottom>
          </border>
        </dxf>
        <dxf>
          <fill>
            <patternFill>
              <bgColor rgb="FFFF7979"/>
            </patternFill>
          </fill>
          <border>
            <left style="thin">
              <color auto="1"/>
            </left>
            <right style="thin">
              <color auto="1"/>
            </right>
            <top style="thin">
              <color auto="1"/>
            </top>
            <bottom style="thin">
              <color auto="1"/>
            </bottom>
          </border>
        </dxf>
        <dxf>
          <font>
            <color theme="2" tint="-0.499984740745262"/>
          </font>
          <fill>
            <patternFill>
              <bgColor rgb="FFFFCCCC"/>
            </patternFill>
          </fill>
          <border>
            <left style="thin">
              <color theme="2" tint="-9.9948118533890809E-2"/>
            </left>
            <right style="thin">
              <color theme="2" tint="-9.9948118533890809E-2"/>
            </right>
            <top style="thin">
              <color theme="2" tint="-9.9948118533890809E-2"/>
            </top>
            <bottom style="thin">
              <color theme="2" tint="-9.9948118533890809E-2"/>
            </bottom>
          </border>
        </dxf>
        <dxf>
          <font>
            <color theme="2" tint="-0.499984740745262"/>
          </font>
          <fill>
            <patternFill>
              <bgColor rgb="FFFFCCCC"/>
            </patternFill>
          </fill>
          <border diagonalUp="1">
            <left style="thin">
              <color theme="2" tint="-9.9917600024414813E-2"/>
            </left>
            <right style="thin">
              <color theme="2" tint="-9.9917600024414813E-2"/>
            </right>
            <top style="thin">
              <color theme="2" tint="-9.9917600024414813E-2"/>
            </top>
            <bottom style="thin">
              <color theme="2" tint="-9.9917600024414813E-2"/>
            </bottom>
            <diagonal style="thin">
              <color theme="2" tint="-9.9917600024414813E-2"/>
            </diagonal>
          </border>
        </dxf>
      </x14:dxfs>
    </ext>
    <ext xmlns:x14="http://schemas.microsoft.com/office/spreadsheetml/2009/9/main" uri="{EB79DEF2-80B8-43e5-95BD-54CBDDF9020C}">
      <x14:slicerStyles defaultSlicerStyle="Slicer Style 2">
        <x14:slicerStyle name="Slicer Style 1"/>
        <x14:slicerStyle name="Slicer Style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7362825</xdr:colOff>
      <xdr:row>0</xdr:row>
      <xdr:rowOff>415925</xdr:rowOff>
    </xdr:from>
    <xdr:to>
      <xdr:col>1</xdr:col>
      <xdr:colOff>11170444</xdr:colOff>
      <xdr:row>0</xdr:row>
      <xdr:rowOff>1303314</xdr:rowOff>
    </xdr:to>
    <xdr:pic>
      <xdr:nvPicPr>
        <xdr:cNvPr id="2" name="Picture 1">
          <a:extLst>
            <a:ext uri="{FF2B5EF4-FFF2-40B4-BE49-F238E27FC236}">
              <a16:creationId xmlns:a16="http://schemas.microsoft.com/office/drawing/2014/main" id="{C95665CC-BAF3-4B0D-B937-51BBE643F907}"/>
            </a:ext>
          </a:extLst>
        </xdr:cNvPr>
        <xdr:cNvPicPr>
          <a:picLocks noChangeAspect="1"/>
        </xdr:cNvPicPr>
      </xdr:nvPicPr>
      <xdr:blipFill>
        <a:blip xmlns:r="http://schemas.openxmlformats.org/officeDocument/2006/relationships" r:embed="rId1"/>
        <a:stretch>
          <a:fillRect/>
        </a:stretch>
      </xdr:blipFill>
      <xdr:spPr>
        <a:xfrm>
          <a:off x="9544050" y="415925"/>
          <a:ext cx="3807619" cy="887389"/>
        </a:xfrm>
        <a:prstGeom prst="rect">
          <a:avLst/>
        </a:prstGeom>
      </xdr:spPr>
    </xdr:pic>
    <xdr:clientData/>
  </xdr:twoCellAnchor>
  <xdr:twoCellAnchor editAs="oneCell">
    <xdr:from>
      <xdr:col>1</xdr:col>
      <xdr:colOff>11677650</xdr:colOff>
      <xdr:row>0</xdr:row>
      <xdr:rowOff>209550</xdr:rowOff>
    </xdr:from>
    <xdr:to>
      <xdr:col>1</xdr:col>
      <xdr:colOff>15602465</xdr:colOff>
      <xdr:row>0</xdr:row>
      <xdr:rowOff>1466850</xdr:rowOff>
    </xdr:to>
    <xdr:pic>
      <xdr:nvPicPr>
        <xdr:cNvPr id="4" name="Рисунок 3">
          <a:extLst>
            <a:ext uri="{FF2B5EF4-FFF2-40B4-BE49-F238E27FC236}">
              <a16:creationId xmlns:a16="http://schemas.microsoft.com/office/drawing/2014/main" id="{5C2CBA41-6C38-D625-A8BC-82F1BED5FE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25550" y="209550"/>
          <a:ext cx="392481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65231</xdr:colOff>
      <xdr:row>4</xdr:row>
      <xdr:rowOff>48268</xdr:rowOff>
    </xdr:from>
    <xdr:to>
      <xdr:col>1</xdr:col>
      <xdr:colOff>3390350</xdr:colOff>
      <xdr:row>4</xdr:row>
      <xdr:rowOff>2564594</xdr:rowOff>
    </xdr:to>
    <mc:AlternateContent xmlns:mc="http://schemas.openxmlformats.org/markup-compatibility/2006" xmlns:sle15="http://schemas.microsoft.com/office/drawing/2012/slicer">
      <mc:Choice Requires="sle15">
        <xdr:graphicFrame macro="">
          <xdr:nvGraphicFramePr>
            <xdr:cNvPr id="2" name="Sector">
              <a:extLst>
                <a:ext uri="{FF2B5EF4-FFF2-40B4-BE49-F238E27FC236}">
                  <a16:creationId xmlns:a16="http://schemas.microsoft.com/office/drawing/2014/main" id="{E8A0ACF2-E3FA-43DE-B6E6-F0EDB8A61E8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655146" y="1587720"/>
              <a:ext cx="3334297" cy="2515585"/>
            </a:xfrm>
            <a:prstGeom prst="rect">
              <a:avLst/>
            </a:prstGeom>
            <a:solidFill>
              <a:prstClr val="white"/>
            </a:solidFill>
            <a:ln w="1">
              <a:solidFill>
                <a:prstClr val="green"/>
              </a:solidFill>
            </a:ln>
          </xdr:spPr>
          <xdr:txBody>
            <a:bodyPr vertOverflow="clip" horzOverflow="clip"/>
            <a:lstStyle/>
            <a:p>
              <a:r>
                <a:rPr lang="uk-U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3389994</xdr:colOff>
      <xdr:row>4</xdr:row>
      <xdr:rowOff>86783</xdr:rowOff>
    </xdr:from>
    <xdr:to>
      <xdr:col>3</xdr:col>
      <xdr:colOff>163582</xdr:colOff>
      <xdr:row>4</xdr:row>
      <xdr:rowOff>2569104</xdr:rowOff>
    </xdr:to>
    <mc:AlternateContent xmlns:mc="http://schemas.openxmlformats.org/markup-compatibility/2006" xmlns:sle15="http://schemas.microsoft.com/office/drawing/2012/slicer">
      <mc:Choice Requires="sle15">
        <xdr:graphicFrame macro="">
          <xdr:nvGraphicFramePr>
            <xdr:cNvPr id="3" name="Indicator">
              <a:extLst>
                <a:ext uri="{FF2B5EF4-FFF2-40B4-BE49-F238E27FC236}">
                  <a16:creationId xmlns:a16="http://schemas.microsoft.com/office/drawing/2014/main" id="{CA96736F-1428-4DEA-BAB9-A7E05D7B39E3}"/>
                </a:ext>
                <a:ext uri="{147F2762-F138-4A5C-976F-8EAC2B608ADB}">
                  <a16:predDERef xmlns:a16="http://schemas.microsoft.com/office/drawing/2014/main" pred="{AB930590-EAA0-B3E2-35C9-2306082281E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Indicator"/>
            </a:graphicData>
          </a:graphic>
        </xdr:graphicFrame>
      </mc:Choice>
      <mc:Fallback xmlns="">
        <xdr:sp macro="" textlink="">
          <xdr:nvSpPr>
            <xdr:cNvPr id="0" name=""/>
            <xdr:cNvSpPr>
              <a:spLocks noTextEdit="1"/>
            </xdr:cNvSpPr>
          </xdr:nvSpPr>
          <xdr:spPr>
            <a:xfrm>
              <a:off x="4114800" y="1609725"/>
              <a:ext cx="6762750" cy="2505075"/>
            </a:xfrm>
            <a:prstGeom prst="rect">
              <a:avLst/>
            </a:prstGeom>
            <a:solidFill>
              <a:prstClr val="white"/>
            </a:solidFill>
            <a:ln w="1">
              <a:solidFill>
                <a:prstClr val="green"/>
              </a:solidFill>
            </a:ln>
          </xdr:spPr>
          <xdr:txBody>
            <a:bodyPr vertOverflow="clip" horzOverflow="clip"/>
            <a:lstStyle/>
            <a:p>
              <a:r>
                <a:rPr lang="uk-U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191706</xdr:colOff>
      <xdr:row>4</xdr:row>
      <xdr:rowOff>79224</xdr:rowOff>
    </xdr:from>
    <xdr:to>
      <xdr:col>4</xdr:col>
      <xdr:colOff>410748</xdr:colOff>
      <xdr:row>4</xdr:row>
      <xdr:rowOff>2602820</xdr:rowOff>
    </xdr:to>
    <mc:AlternateContent xmlns:mc="http://schemas.openxmlformats.org/markup-compatibility/2006" xmlns:sle15="http://schemas.microsoft.com/office/drawing/2012/slicer">
      <mc:Choice Requires="sle15">
        <xdr:graphicFrame macro="">
          <xdr:nvGraphicFramePr>
            <xdr:cNvPr id="4" name="Disaggregation">
              <a:extLst>
                <a:ext uri="{FF2B5EF4-FFF2-40B4-BE49-F238E27FC236}">
                  <a16:creationId xmlns:a16="http://schemas.microsoft.com/office/drawing/2014/main" id="{ADB95C98-DB36-41DE-B0F5-D1E02F633999}"/>
                </a:ext>
                <a:ext uri="{147F2762-F138-4A5C-976F-8EAC2B608ADB}">
                  <a16:predDERef xmlns:a16="http://schemas.microsoft.com/office/drawing/2014/main" pred="{A7409206-6AD3-6CEB-F8A6-75EC4F87CD9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isaggregation"/>
            </a:graphicData>
          </a:graphic>
        </xdr:graphicFrame>
      </mc:Choice>
      <mc:Fallback xmlns="">
        <xdr:sp macro="" textlink="">
          <xdr:nvSpPr>
            <xdr:cNvPr id="0" name=""/>
            <xdr:cNvSpPr>
              <a:spLocks noTextEdit="1"/>
            </xdr:cNvSpPr>
          </xdr:nvSpPr>
          <xdr:spPr>
            <a:xfrm>
              <a:off x="11425225" y="1637822"/>
              <a:ext cx="5552364" cy="2492940"/>
            </a:xfrm>
            <a:prstGeom prst="rect">
              <a:avLst/>
            </a:prstGeom>
            <a:solidFill>
              <a:prstClr val="white"/>
            </a:solidFill>
            <a:ln w="1">
              <a:solidFill>
                <a:prstClr val="green"/>
              </a:solidFill>
            </a:ln>
          </xdr:spPr>
          <xdr:txBody>
            <a:bodyPr vertOverflow="clip" horzOverflow="clip"/>
            <a:lstStyle/>
            <a:p>
              <a:r>
                <a:rPr lang="en-CH"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2B57C570-616A-46B8-9593-14FE37B98A2D}" sourceName="Baseline or Endline">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 xr10:uid="{950FFF7F-C5B3-4EC6-B31F-6F5AEF3846F5}" sourceName="Indicator and link to Frequency Tables">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aggregation" xr10:uid="{F5F5931B-696D-48AF-A8BD-FFB11EA47488}" sourceName="Disaggregation">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or" xr10:uid="{5C3E8243-90B4-471F-98D3-E70AB8717CDF}" cache="Slicer_Sector" caption="Baseline or Endline" lockedPosition="1" rowHeight="241300"/>
  <slicer name="Indicator" xr10:uid="{D903AD0B-46E0-4538-87EE-5EB392DE0F0B}" cache="Slicer_Indicator" caption="Indicator and link to Frequency Tables" lockedPosition="1" rowHeight="241300"/>
  <slicer name="Disaggregation" xr10:uid="{BAB18264-F882-4A44-8B44-65231FD90D39}" cache="Slicer_Disaggregation" caption="Disaggregation" startItem="6"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BE4FD5-1719-47A2-B97F-246013FA4F74}" name="Table1" displayName="Table1" ref="B6:E1955" totalsRowShown="0" tableBorderDxfId="1962">
  <autoFilter ref="B6:E1955" xr:uid="{588797F8-33D6-4BCB-82DD-097A78458192}">
    <filterColumn colId="0">
      <filters>
        <filter val="Endline assessment"/>
      </filters>
    </filterColumn>
  </autoFilter>
  <sortState xmlns:xlrd2="http://schemas.microsoft.com/office/spreadsheetml/2017/richdata2" ref="B9:E1955">
    <sortCondition ref="D6:D1955"/>
  </sortState>
  <tableColumns count="4">
    <tableColumn id="1" xr3:uid="{67B58B62-5DAE-477A-97C3-1FEE522D17CE}" name="Baseline or Endline" dataDxfId="1961"/>
    <tableColumn id="2" xr3:uid="{45B4BFAD-65D7-4E20-ACDD-9279FD4040BC}" name="Indicator and link to Frequency Tables" dataDxfId="1960"/>
    <tableColumn id="3" xr3:uid="{486A0132-48DA-466A-8DCD-FA6357EE2C7F}" name="Disaggregation" dataDxfId="1959"/>
    <tableColumn id="4" xr3:uid="{AB6A33A3-1CA2-46F1-B28D-4C9488510F14}" name="ID" dataDxfId="195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3960-CE01-4B43-B402-4E969DACFF3A}">
  <dimension ref="A1:B17"/>
  <sheetViews>
    <sheetView tabSelected="1" zoomScale="40" zoomScaleNormal="40" workbookViewId="0">
      <selection activeCell="M3" sqref="M3"/>
    </sheetView>
  </sheetViews>
  <sheetFormatPr defaultRowHeight="14.4" x14ac:dyDescent="0.3"/>
  <cols>
    <col min="1" max="1" width="32.6640625" customWidth="1"/>
    <col min="2" max="2" width="231.88671875" customWidth="1"/>
  </cols>
  <sheetData>
    <row r="1" spans="1:2" ht="139.5" customHeight="1" x14ac:dyDescent="0.3">
      <c r="A1" s="40" t="s">
        <v>0</v>
      </c>
      <c r="B1" s="40"/>
    </row>
    <row r="2" spans="1:2" ht="18" x14ac:dyDescent="0.3">
      <c r="A2" s="15" t="s">
        <v>1</v>
      </c>
      <c r="B2" s="15" t="s">
        <v>2</v>
      </c>
    </row>
    <row r="3" spans="1:2" ht="378.6" customHeight="1" x14ac:dyDescent="0.3">
      <c r="A3" s="10" t="s">
        <v>3</v>
      </c>
      <c r="B3" s="9" t="s">
        <v>4</v>
      </c>
    </row>
    <row r="4" spans="1:2" ht="15.6" x14ac:dyDescent="0.3">
      <c r="A4" s="33" t="s">
        <v>5</v>
      </c>
      <c r="B4" s="34" t="s">
        <v>6</v>
      </c>
    </row>
    <row r="5" spans="1:2" ht="15.6" x14ac:dyDescent="0.3">
      <c r="A5" s="33" t="s">
        <v>7</v>
      </c>
      <c r="B5" s="34" t="s">
        <v>8</v>
      </c>
    </row>
    <row r="6" spans="1:2" ht="15.6" x14ac:dyDescent="0.3">
      <c r="A6" s="33" t="s">
        <v>9</v>
      </c>
      <c r="B6" s="34" t="s">
        <v>10</v>
      </c>
    </row>
    <row r="7" spans="1:2" ht="169.5" customHeight="1" x14ac:dyDescent="0.3">
      <c r="A7" s="16" t="s">
        <v>11</v>
      </c>
      <c r="B7" s="14" t="s">
        <v>12</v>
      </c>
    </row>
    <row r="8" spans="1:2" ht="31.5" customHeight="1" x14ac:dyDescent="0.3">
      <c r="A8" s="35" t="s">
        <v>13</v>
      </c>
      <c r="B8" s="36" t="s">
        <v>14</v>
      </c>
    </row>
    <row r="9" spans="1:2" ht="79.5" customHeight="1" x14ac:dyDescent="0.3">
      <c r="A9" s="16" t="s">
        <v>15</v>
      </c>
      <c r="B9" s="14" t="s">
        <v>16</v>
      </c>
    </row>
    <row r="10" spans="1:2" ht="297.45" customHeight="1" x14ac:dyDescent="0.3">
      <c r="A10" s="35" t="s">
        <v>17</v>
      </c>
      <c r="B10" s="39" t="s">
        <v>18</v>
      </c>
    </row>
    <row r="11" spans="1:2" ht="15.6" x14ac:dyDescent="0.3">
      <c r="A11" s="41" t="s">
        <v>19</v>
      </c>
      <c r="B11" s="37" t="s">
        <v>20</v>
      </c>
    </row>
    <row r="12" spans="1:2" ht="15.6" x14ac:dyDescent="0.3">
      <c r="A12" s="41"/>
      <c r="B12" s="38" t="s">
        <v>21</v>
      </c>
    </row>
    <row r="13" spans="1:2" ht="15.6" x14ac:dyDescent="0.3">
      <c r="A13" s="11"/>
      <c r="B13" s="12"/>
    </row>
    <row r="14" spans="1:2" ht="18" x14ac:dyDescent="0.3">
      <c r="A14" s="15" t="s">
        <v>22</v>
      </c>
      <c r="B14" s="15" t="s">
        <v>2</v>
      </c>
    </row>
    <row r="15" spans="1:2" ht="15.6" x14ac:dyDescent="0.3">
      <c r="A15" s="13" t="s">
        <v>23</v>
      </c>
      <c r="B15" s="9" t="s">
        <v>24</v>
      </c>
    </row>
    <row r="16" spans="1:2" ht="15.6" x14ac:dyDescent="0.3">
      <c r="A16" s="13" t="s">
        <v>25</v>
      </c>
      <c r="B16" s="9" t="s">
        <v>26</v>
      </c>
    </row>
    <row r="17" spans="1:2" ht="15.6" x14ac:dyDescent="0.3">
      <c r="A17" s="13" t="s">
        <v>27</v>
      </c>
      <c r="B17" s="9" t="s">
        <v>28</v>
      </c>
    </row>
  </sheetData>
  <mergeCells count="2">
    <mergeCell ref="A1:B1"/>
    <mergeCell ref="A11:A1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31A2-16C1-4717-B078-25920FC88AC0}">
  <sheetPr>
    <tabColor rgb="FF92D050"/>
  </sheetPr>
  <dimension ref="B1:E2000"/>
  <sheetViews>
    <sheetView showGridLines="0" topLeftCell="B1" zoomScale="72" zoomScaleNormal="72" workbookViewId="0">
      <selection activeCell="B9" sqref="B9"/>
    </sheetView>
  </sheetViews>
  <sheetFormatPr defaultRowHeight="14.4" x14ac:dyDescent="0.3"/>
  <cols>
    <col min="2" max="2" width="50.88671875" style="2" customWidth="1"/>
    <col min="3" max="3" width="96.44140625" style="2" customWidth="1"/>
    <col min="4" max="4" width="82.109375" style="2" customWidth="1"/>
    <col min="5" max="5" width="8.6640625" style="2"/>
  </cols>
  <sheetData>
    <row r="1" spans="2:5" ht="50.1" customHeight="1" x14ac:dyDescent="0.3">
      <c r="B1" s="42" t="s">
        <v>29</v>
      </c>
      <c r="C1" s="42"/>
      <c r="D1" s="42"/>
      <c r="E1" s="42"/>
    </row>
    <row r="2" spans="2:5" ht="19.5" customHeight="1" x14ac:dyDescent="0.3">
      <c r="B2" s="1" t="s">
        <v>30</v>
      </c>
    </row>
    <row r="3" spans="2:5" ht="30" customHeight="1" x14ac:dyDescent="0.35">
      <c r="B3" s="3" t="s">
        <v>31</v>
      </c>
      <c r="C3" s="3" t="s">
        <v>32</v>
      </c>
      <c r="D3" s="3" t="s">
        <v>33</v>
      </c>
    </row>
    <row r="4" spans="2:5" ht="22.5" customHeight="1" x14ac:dyDescent="0.3">
      <c r="B4" s="4"/>
      <c r="C4" s="5" t="s">
        <v>34</v>
      </c>
      <c r="D4" s="5" t="s">
        <v>35</v>
      </c>
    </row>
    <row r="5" spans="2:5" ht="219" customHeight="1" x14ac:dyDescent="0.3"/>
    <row r="6" spans="2:5" ht="21" x14ac:dyDescent="0.3">
      <c r="B6" s="6" t="s">
        <v>36</v>
      </c>
      <c r="C6" s="7" t="s">
        <v>37</v>
      </c>
      <c r="D6" s="7" t="s">
        <v>38</v>
      </c>
      <c r="E6" s="7" t="s">
        <v>39</v>
      </c>
    </row>
    <row r="7" spans="2:5" hidden="1" x14ac:dyDescent="0.3">
      <c r="B7" s="19" t="s">
        <v>40</v>
      </c>
      <c r="C7" s="20" t="str">
        <f>HYPERLINK("#'Data'!A35",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7" s="19" t="s">
        <v>41</v>
      </c>
      <c r="E7" s="21">
        <v>8</v>
      </c>
    </row>
    <row r="8" spans="2:5" hidden="1" x14ac:dyDescent="0.3">
      <c r="B8" s="19" t="s">
        <v>40</v>
      </c>
      <c r="C8" s="20" t="str">
        <f>HYPERLINK("#'Data'!A109",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8" s="19" t="s">
        <v>41</v>
      </c>
      <c r="E8" s="21">
        <v>23</v>
      </c>
    </row>
    <row r="9" spans="2:5" x14ac:dyDescent="0.3">
      <c r="B9" s="19" t="s">
        <v>42</v>
      </c>
      <c r="C9" s="20" t="str">
        <f>HYPERLINK("#'Data'!A198",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9" s="19" t="s">
        <v>43</v>
      </c>
      <c r="E9" s="21">
        <v>41</v>
      </c>
    </row>
    <row r="10" spans="2:5" x14ac:dyDescent="0.3">
      <c r="B10" s="19" t="s">
        <v>42</v>
      </c>
      <c r="C10" s="20" t="str">
        <f>HYPERLINK("#'Data'!A272",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10" s="19" t="s">
        <v>43</v>
      </c>
      <c r="E10" s="21">
        <v>56</v>
      </c>
    </row>
    <row r="11" spans="2:5" hidden="1" x14ac:dyDescent="0.3">
      <c r="B11" s="19" t="s">
        <v>40</v>
      </c>
      <c r="C11" s="20" t="str">
        <f>HYPERLINK("#'Data'!A331", "Sources of income or financial support  household received in the last month [Baseline] broken down by households_consisting_of_elderly_people_60 on t...")</f>
        <v>Sources of income or financial support  household received in the last month [Baseline] broken down by households_consisting_of_elderly_people_60 on t...</v>
      </c>
      <c r="D11" s="19" t="s">
        <v>41</v>
      </c>
      <c r="E11" s="21">
        <v>68</v>
      </c>
    </row>
    <row r="12" spans="2:5" x14ac:dyDescent="0.3">
      <c r="B12" s="19" t="s">
        <v>42</v>
      </c>
      <c r="C12" s="20" t="str">
        <f>HYPERLINK("#'Data'!A420",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12" s="19" t="s">
        <v>43</v>
      </c>
      <c r="E12" s="21">
        <v>86</v>
      </c>
    </row>
    <row r="13" spans="2:5" hidden="1" x14ac:dyDescent="0.3">
      <c r="B13" s="19" t="s">
        <v>40</v>
      </c>
      <c r="C13" s="20" t="str">
        <f>HYPERLINK("#'Data'!A479",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13" s="19" t="s">
        <v>41</v>
      </c>
      <c r="E13" s="21">
        <v>98</v>
      </c>
    </row>
    <row r="14" spans="2:5" hidden="1" x14ac:dyDescent="0.3">
      <c r="B14" s="19" t="s">
        <v>40</v>
      </c>
      <c r="C14" s="20" t="str">
        <f>HYPERLINK("#'Data'!A553",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14" s="19" t="s">
        <v>41</v>
      </c>
      <c r="E14" s="21">
        <v>113</v>
      </c>
    </row>
    <row r="15" spans="2:5" x14ac:dyDescent="0.3">
      <c r="B15" s="19" t="s">
        <v>42</v>
      </c>
      <c r="C15" s="20" t="str">
        <f>HYPERLINK("#'Data'!A642",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15" s="19" t="s">
        <v>43</v>
      </c>
      <c r="E15" s="21">
        <v>131</v>
      </c>
    </row>
    <row r="16" spans="2:5" x14ac:dyDescent="0.3">
      <c r="B16" s="19" t="s">
        <v>42</v>
      </c>
      <c r="C16" s="20" t="str">
        <f>HYPERLINK("#'Data'!A716",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16" s="19" t="s">
        <v>43</v>
      </c>
      <c r="E16" s="21">
        <v>146</v>
      </c>
    </row>
    <row r="17" spans="2:5" hidden="1" x14ac:dyDescent="0.3">
      <c r="B17" s="19" t="s">
        <v>40</v>
      </c>
      <c r="C17" s="20" t="str">
        <f>HYPERLINK("#'Data'!A775", "Household expenditures by category over the past 30 days [or month] in UAH [Baseline] broken down by households_consisting_of_elderly_people_60 on the...")</f>
        <v>Household expenditures by category over the past 30 days [or month] in UAH [Baseline] broken down by households_consisting_of_elderly_people_60 on the...</v>
      </c>
      <c r="D17" s="19" t="s">
        <v>41</v>
      </c>
      <c r="E17" s="21">
        <v>158</v>
      </c>
    </row>
    <row r="18" spans="2:5" x14ac:dyDescent="0.3">
      <c r="B18" s="19" t="s">
        <v>42</v>
      </c>
      <c r="C18" s="20" t="str">
        <f>HYPERLINK("#'Data'!A864", "Household expenditures by category over the past 30 days [or month] in UAH [Endline] broken down by households_displaced_from_the_territory_of_active_...")</f>
        <v>Household expenditures by category over the past 30 days [or month] in UAH [Endline] broken down by households_displaced_from_the_territory_of_active_...</v>
      </c>
      <c r="D18" s="19" t="s">
        <v>43</v>
      </c>
      <c r="E18" s="21">
        <v>176</v>
      </c>
    </row>
    <row r="19" spans="2:5" hidden="1" x14ac:dyDescent="0.3">
      <c r="B19" s="19" t="s">
        <v>40</v>
      </c>
      <c r="C19" s="20" t="str">
        <f>HYPERLINK("#'Data'!A923", "Household's ability to meet basic needs (self-defined and prioritized) [Baseline] broken down by households_consisting_of_elderly_people_60 on the adm...")</f>
        <v>Household's ability to meet basic needs (self-defined and prioritized) [Baseline] broken down by households_consisting_of_elderly_people_60 on the adm...</v>
      </c>
      <c r="D19" s="19" t="s">
        <v>41</v>
      </c>
      <c r="E19" s="21">
        <v>188</v>
      </c>
    </row>
    <row r="20" spans="2:5" x14ac:dyDescent="0.3">
      <c r="B20" s="19" t="s">
        <v>42</v>
      </c>
      <c r="C20" s="20" t="str">
        <f>HYPERLINK("#'Data'!A1012", "Household's ability to meet basic needs (self-defined and prioritized) [Endline] broken down by households_displaced_from_the_territory_of_active_host...")</f>
        <v>Household's ability to meet basic needs (self-defined and prioritized) [Endline] broken down by households_displaced_from_the_territory_of_active_host...</v>
      </c>
      <c r="D20" s="19" t="s">
        <v>43</v>
      </c>
      <c r="E20" s="21">
        <v>206</v>
      </c>
    </row>
    <row r="21" spans="2:5" hidden="1" x14ac:dyDescent="0.3">
      <c r="B21" s="19" t="s">
        <v>40</v>
      </c>
      <c r="C21" s="20" t="str">
        <f>HYPERLINK("#'Data'!A1071", "Basic needs the household is currently unable to fulfill (if not all are met) [Baseline] broken down by households_consisting_of_elderly_people_60 on ...")</f>
        <v>Basic needs the household is currently unable to fulfill (if not all are met) [Baseline] broken down by households_consisting_of_elderly_people_60 on ...</v>
      </c>
      <c r="D21" s="19" t="s">
        <v>41</v>
      </c>
      <c r="E21" s="21">
        <v>218</v>
      </c>
    </row>
    <row r="22" spans="2:5" x14ac:dyDescent="0.3">
      <c r="B22" s="19" t="s">
        <v>42</v>
      </c>
      <c r="C22" s="20" t="str">
        <f>HYPERLINK("#'Data'!A1160", "Basic needs the household is currently unable to fulfill (if not all are met) [Endline] broken down by households_displaced_from_the_territory_of_acti...")</f>
        <v>Basic needs the household is currently unable to fulfill (if not all are met) [Endline] broken down by households_displaced_from_the_territory_of_acti...</v>
      </c>
      <c r="D22" s="19" t="s">
        <v>43</v>
      </c>
      <c r="E22" s="21">
        <v>236</v>
      </c>
    </row>
    <row r="23" spans="2:5" hidden="1" x14ac:dyDescent="0.3">
      <c r="B23" s="19" t="s">
        <v>40</v>
      </c>
      <c r="C23" s="20" t="str">
        <f>HYPERLINK("#'Data'!A1219", "Coping strategies used in the last 30 days due to insufficient resources to meet basic needs [Baseline] broken down by households_consisting_of_elderl...")</f>
        <v>Coping strategies used in the last 30 days due to insufficient resources to meet basic needs [Baseline] broken down by households_consisting_of_elderl...</v>
      </c>
      <c r="D23" s="19" t="s">
        <v>41</v>
      </c>
      <c r="E23" s="21">
        <v>248</v>
      </c>
    </row>
    <row r="24" spans="2:5" x14ac:dyDescent="0.3">
      <c r="B24" s="19" t="s">
        <v>42</v>
      </c>
      <c r="C24" s="20" t="str">
        <f>HYPERLINK("#'Data'!A1308", "Coping strategies used in the last 30 days due to insufficient resources to meet basic needs [Endline] broken down by households_displaced_from_the_te...")</f>
        <v>Coping strategies used in the last 30 days due to insufficient resources to meet basic needs [Endline] broken down by households_displaced_from_the_te...</v>
      </c>
      <c r="D24" s="19" t="s">
        <v>43</v>
      </c>
      <c r="E24" s="21">
        <v>266</v>
      </c>
    </row>
    <row r="25" spans="2:5" x14ac:dyDescent="0.3">
      <c r="B25" s="19" t="s">
        <v>42</v>
      </c>
      <c r="C25" s="20" t="str">
        <f>HYPERLINK("#'Data'!A1382", "Coping strategies avoided in the past 3 months due to receipt of MPCA [Endline] broken down by households_displaced_from_the_territory_of_active_hosti...")</f>
        <v>Coping strategies avoided in the past 3 months due to receipt of MPCA [Endline] broken down by households_displaced_from_the_territory_of_active_hosti...</v>
      </c>
      <c r="D25" s="19" t="s">
        <v>43</v>
      </c>
      <c r="E25" s="21">
        <v>281</v>
      </c>
    </row>
    <row r="26" spans="2:5" hidden="1" x14ac:dyDescent="0.3">
      <c r="B26" s="19" t="s">
        <v>40</v>
      </c>
      <c r="C26" s="20" t="str">
        <f>HYPERLINK("#'Data'!A1441", "Household perception of relevance of forthcoming MPCA (3,600 UAH for 3 months per member) [Baseline] broken down by households_consisting_of_elderly_p...")</f>
        <v>Household perception of relevance of forthcoming MPCA (3,600 UAH for 3 months per member) [Baseline] broken down by households_consisting_of_elderly_p...</v>
      </c>
      <c r="D26" s="19" t="s">
        <v>41</v>
      </c>
      <c r="E26" s="21">
        <v>293</v>
      </c>
    </row>
    <row r="27" spans="2:5" hidden="1" x14ac:dyDescent="0.3">
      <c r="B27" s="19" t="s">
        <v>40</v>
      </c>
      <c r="C27" s="20" t="str">
        <f>HYPERLINK("#'Data'!A1515", "Estimated percentage of household needs met by upcoming MPCA (if partially appropriate) [Baseline] broken down by households_consisting_of_elderly_peo...")</f>
        <v>Estimated percentage of household needs met by upcoming MPCA (if partially appropriate) [Baseline] broken down by households_consisting_of_elderly_peo...</v>
      </c>
      <c r="D27" s="19" t="s">
        <v>41</v>
      </c>
      <c r="E27" s="21">
        <v>308</v>
      </c>
    </row>
    <row r="28" spans="2:5" x14ac:dyDescent="0.3">
      <c r="B28" s="19" t="s">
        <v>42</v>
      </c>
      <c r="C28" s="20" t="str">
        <f>HYPERLINK("#'Data'!A1604", "Household opinion on adequacy of received MPCA (3,600 UAH for 3 months per member) [Endline] broken down by households_displaced_from_the_territory_of...")</f>
        <v>Household opinion on adequacy of received MPCA (3,600 UAH for 3 months per member) [Endline] broken down by households_displaced_from_the_territory_of...</v>
      </c>
      <c r="D28" s="19" t="s">
        <v>43</v>
      </c>
      <c r="E28" s="21">
        <v>326</v>
      </c>
    </row>
    <row r="29" spans="2:5" x14ac:dyDescent="0.3">
      <c r="B29" s="19" t="s">
        <v>42</v>
      </c>
      <c r="C29" s="20" t="str">
        <f>HYPERLINK("#'Data'!A1678", "Estimated percentage of household needs met by received MPCA (if partially appropriate) [Endline] broken down by households_displaced_from_the_territo...")</f>
        <v>Estimated percentage of household needs met by received MPCA (if partially appropriate) [Endline] broken down by households_displaced_from_the_territo...</v>
      </c>
      <c r="D29" s="19" t="s">
        <v>43</v>
      </c>
      <c r="E29" s="21">
        <v>341</v>
      </c>
    </row>
    <row r="30" spans="2:5" x14ac:dyDescent="0.3">
      <c r="B30" s="19" t="s">
        <v>42</v>
      </c>
      <c r="C30" s="20" t="str">
        <f>HYPERLINK("#'Data'!A1764", "Whether the household has already spent the received MPCA [Endline] broken down by households_displaced_from_the_territory_of_active_hostilities_and_n...")</f>
        <v>Whether the household has already spent the received MPCA [Endline] broken down by households_displaced_from_the_territory_of_active_hostilities_and_n...</v>
      </c>
      <c r="D30" s="19" t="s">
        <v>43</v>
      </c>
      <c r="E30" s="21">
        <v>359</v>
      </c>
    </row>
    <row r="31" spans="2:5" x14ac:dyDescent="0.3">
      <c r="B31" s="19" t="s">
        <v>42</v>
      </c>
      <c r="C31" s="20" t="str">
        <f>HYPERLINK("#'Data'!A1838", "Number of weeks MPCA lasted if fully spent [Endline] broken down by households_displaced_from_the_territory_of_active_hostilities_and_not_receiving_id...")</f>
        <v>Number of weeks MPCA lasted if fully spent [Endline] broken down by households_displaced_from_the_territory_of_active_hostilities_and_not_receiving_id...</v>
      </c>
      <c r="D31" s="19" t="s">
        <v>43</v>
      </c>
      <c r="E31" s="21">
        <v>374</v>
      </c>
    </row>
    <row r="32" spans="2:5" x14ac:dyDescent="0.3">
      <c r="B32" s="19" t="s">
        <v>42</v>
      </c>
      <c r="C32" s="20" t="str">
        <f>HYPERLINK("#'Data'!A1912", "Percentage of MPCA spent to date (if partially used) [Endline] broken down by households_displaced_from_the_territory_of_active_hostilities_and_not_re...")</f>
        <v>Percentage of MPCA spent to date (if partially used) [Endline] broken down by households_displaced_from_the_territory_of_active_hostilities_and_not_re...</v>
      </c>
      <c r="D32" s="19" t="s">
        <v>43</v>
      </c>
      <c r="E32" s="21">
        <v>389</v>
      </c>
    </row>
    <row r="33" spans="2:5" x14ac:dyDescent="0.3">
      <c r="B33" s="19" t="s">
        <v>42</v>
      </c>
      <c r="C33" s="20" t="str">
        <f>HYPERLINK("#'Data'!A1986", "Extent to which received MPCA helped cover household needs during usage period [Endline] broken down by households_displaced_from_the_territory_of_act...")</f>
        <v>Extent to which received MPCA helped cover household needs during usage period [Endline] broken down by households_displaced_from_the_territory_of_act...</v>
      </c>
      <c r="D33" s="19" t="s">
        <v>43</v>
      </c>
      <c r="E33" s="21">
        <v>404</v>
      </c>
    </row>
    <row r="34" spans="2:5" x14ac:dyDescent="0.3">
      <c r="B34" s="19" t="s">
        <v>42</v>
      </c>
      <c r="C34" s="20" t="str">
        <f>HYPERLINK("#'Data'!A2060", "Percentage of needs covered by MPCA (if partially met) [Endline] broken down by households_displaced_from_the_territory_of_active_hostilities_and_not_...")</f>
        <v>Percentage of needs covered by MPCA (if partially met) [Endline] broken down by households_displaced_from_the_territory_of_active_hostilities_and_not_...</v>
      </c>
      <c r="D34" s="19" t="s">
        <v>43</v>
      </c>
      <c r="E34" s="21">
        <v>419</v>
      </c>
    </row>
    <row r="35" spans="2:5" hidden="1" x14ac:dyDescent="0.3">
      <c r="B35" s="19" t="s">
        <v>40</v>
      </c>
      <c r="C35" s="20" t="str">
        <f>HYPERLINK("#'Data'!A2119", "Priority needs requiring financial aid, with importance level [Baseline] broken down by households_consisting_of_elderly_people_60 on the admin of Ove...")</f>
        <v>Priority needs requiring financial aid, with importance level [Baseline] broken down by households_consisting_of_elderly_people_60 on the admin of Ove...</v>
      </c>
      <c r="D35" s="19" t="s">
        <v>41</v>
      </c>
      <c r="E35" s="21">
        <v>431</v>
      </c>
    </row>
    <row r="36" spans="2:5" hidden="1" x14ac:dyDescent="0.3">
      <c r="B36" s="19" t="s">
        <v>40</v>
      </c>
      <c r="C36" s="20" t="str">
        <f>HYPERLINK("#'Data'!A2191", "Importance rating for 'Other' priority need requiring financial assistance [Baseline] broken down by households_consisting_of_elderly_people_60 on the...")</f>
        <v>Importance rating for 'Other' priority need requiring financial assistance [Baseline] broken down by households_consisting_of_elderly_people_60 on the...</v>
      </c>
      <c r="D36" s="19" t="s">
        <v>41</v>
      </c>
      <c r="E36" s="21">
        <v>446</v>
      </c>
    </row>
    <row r="37" spans="2:5" hidden="1" x14ac:dyDescent="0.3">
      <c r="B37" s="19" t="s">
        <v>40</v>
      </c>
      <c r="C37" s="20" t="str">
        <f>HYPERLINK("#'Data'!A2265", "Importance rating for 'Food' priority need requiring financial assistance [Baseline] broken down by households_consisting_of_elderly_people_60 on the ...")</f>
        <v>Importance rating for 'Food' priority need requiring financial assistance [Baseline] broken down by households_consisting_of_elderly_people_60 on the ...</v>
      </c>
      <c r="D37" s="19" t="s">
        <v>41</v>
      </c>
      <c r="E37" s="21">
        <v>461</v>
      </c>
    </row>
    <row r="38" spans="2:5" hidden="1" x14ac:dyDescent="0.3">
      <c r="B38" s="19" t="s">
        <v>40</v>
      </c>
      <c r="C38" s="20" t="str">
        <f>HYPERLINK("#'Data'!A2338", "Importance rating for 'Personal hygiene' priority need requiring financial assistance [Baseline] broken down by households_consisting_of_elderly_peopl...")</f>
        <v>Importance rating for 'Personal hygiene' priority need requiring financial assistance [Baseline] broken down by households_consisting_of_elderly_peopl...</v>
      </c>
      <c r="D38" s="19" t="s">
        <v>41</v>
      </c>
      <c r="E38" s="21">
        <v>476</v>
      </c>
    </row>
    <row r="39" spans="2:5" hidden="1" x14ac:dyDescent="0.3">
      <c r="B39" s="19" t="s">
        <v>40</v>
      </c>
      <c r="C39" s="20" t="str">
        <f>HYPERLINK("#'Data'!A2406", "Importance rating for 'Cleaning items' priority need requiring financial assistance [Baseline] broken down by households_consisting_of_elderly_people_...")</f>
        <v>Importance rating for 'Cleaning items' priority need requiring financial assistance [Baseline] broken down by households_consisting_of_elderly_people_...</v>
      </c>
      <c r="D39" s="19" t="s">
        <v>41</v>
      </c>
      <c r="E39" s="21">
        <v>491</v>
      </c>
    </row>
    <row r="40" spans="2:5" hidden="1" x14ac:dyDescent="0.3">
      <c r="B40" s="19" t="s">
        <v>40</v>
      </c>
      <c r="C40" s="20" t="str">
        <f>HYPERLINK("#'Data'!A2472", "Importance rating for 'Non-food items' priority need requiring financial assistance [Baseline] broken down by households_consisting_of_elderly_people_...")</f>
        <v>Importance rating for 'Non-food items' priority need requiring financial assistance [Baseline] broken down by households_consisting_of_elderly_people_...</v>
      </c>
      <c r="D40" s="19" t="s">
        <v>41</v>
      </c>
      <c r="E40" s="21">
        <v>506</v>
      </c>
    </row>
    <row r="41" spans="2:5" hidden="1" x14ac:dyDescent="0.3">
      <c r="B41" s="19" t="s">
        <v>40</v>
      </c>
      <c r="C41" s="20" t="str">
        <f>HYPERLINK("#'Data'!A2540", "Importance rating for 'Clothing and shoes' priority need requiring financial assistance [Baseline] broken down by households_consisting_of_elderly_peo...")</f>
        <v>Importance rating for 'Clothing and shoes' priority need requiring financial assistance [Baseline] broken down by households_consisting_of_elderly_peo...</v>
      </c>
      <c r="D41" s="19" t="s">
        <v>41</v>
      </c>
      <c r="E41" s="21">
        <v>521</v>
      </c>
    </row>
    <row r="42" spans="2:5" hidden="1" x14ac:dyDescent="0.3">
      <c r="B42" s="19" t="s">
        <v>40</v>
      </c>
      <c r="C42" s="20" t="str">
        <f>HYPERLINK("#'Data'!A2613", "Importance rating for 'Heating fuel' priority need requiring financial assistance [Baseline] broken down by households_consisting_of_elderly_people_60...")</f>
        <v>Importance rating for 'Heating fuel' priority need requiring financial assistance [Baseline] broken down by households_consisting_of_elderly_people_60...</v>
      </c>
      <c r="D42" s="19" t="s">
        <v>41</v>
      </c>
      <c r="E42" s="21">
        <v>536</v>
      </c>
    </row>
    <row r="43" spans="2:5" hidden="1" x14ac:dyDescent="0.3">
      <c r="B43" s="19" t="s">
        <v>40</v>
      </c>
      <c r="C43" s="20" t="str">
        <f>HYPERLINK("#'Data'!A2682", "Importance rating for 'Safe water' priority need requiring financial assistance [Baseline] broken down by households_consisting_of_elderly_people_60 o...")</f>
        <v>Importance rating for 'Safe water' priority need requiring financial assistance [Baseline] broken down by households_consisting_of_elderly_people_60 o...</v>
      </c>
      <c r="D43" s="19" t="s">
        <v>41</v>
      </c>
      <c r="E43" s="21">
        <v>551</v>
      </c>
    </row>
    <row r="44" spans="2:5" hidden="1" x14ac:dyDescent="0.3">
      <c r="B44" s="19" t="s">
        <v>40</v>
      </c>
      <c r="C44" s="20" t="str">
        <f>HYPERLINK("#'Data'!A2747", "Importance rating for 'Utilities' priority need requiring financial assistance [Baseline] broken down by households_consisting_of_elderly_people_60 on...")</f>
        <v>Importance rating for 'Utilities' priority need requiring financial assistance [Baseline] broken down by households_consisting_of_elderly_people_60 on...</v>
      </c>
      <c r="D44" s="19" t="s">
        <v>41</v>
      </c>
      <c r="E44" s="21">
        <v>566</v>
      </c>
    </row>
    <row r="45" spans="2:5" hidden="1" x14ac:dyDescent="0.3">
      <c r="B45" s="19" t="s">
        <v>40</v>
      </c>
      <c r="C45" s="20" t="str">
        <f>HYPERLINK("#'Data'!A2816", "Importance rating for 'Water supply' priority need requiring financial assistance [Baseline] broken down by households_consisting_of_elderly_people_60...")</f>
        <v>Importance rating for 'Water supply' priority need requiring financial assistance [Baseline] broken down by households_consisting_of_elderly_people_60...</v>
      </c>
      <c r="D45" s="19" t="s">
        <v>41</v>
      </c>
      <c r="E45" s="21">
        <v>581</v>
      </c>
    </row>
    <row r="46" spans="2:5" hidden="1" x14ac:dyDescent="0.3">
      <c r="B46" s="19" t="s">
        <v>40</v>
      </c>
      <c r="C46" s="20" t="str">
        <f>HYPERLINK("#'Data'!A2876", "Importance rating for 'Rent' priority need requiring financial assistance [Baseline] broken down by households_consisting_of_elderly_people_60 on the ...")</f>
        <v>Importance rating for 'Rent' priority need requiring financial assistance [Baseline] broken down by households_consisting_of_elderly_people_60 on the ...</v>
      </c>
      <c r="D46" s="19" t="s">
        <v>41</v>
      </c>
      <c r="E46" s="21">
        <v>596</v>
      </c>
    </row>
    <row r="47" spans="2:5" hidden="1" x14ac:dyDescent="0.3">
      <c r="B47" s="19" t="s">
        <v>40</v>
      </c>
      <c r="C47" s="20" t="str">
        <f>HYPERLINK("#'Data'!A2947", "Importance rating for 'Medication' priority need requiring financial assistance [Baseline] broken down by households_consisting_of_elderly_people_60 o...")</f>
        <v>Importance rating for 'Medication' priority need requiring financial assistance [Baseline] broken down by households_consisting_of_elderly_people_60 o...</v>
      </c>
      <c r="D47" s="19" t="s">
        <v>41</v>
      </c>
      <c r="E47" s="21">
        <v>611</v>
      </c>
    </row>
    <row r="48" spans="2:5" hidden="1" x14ac:dyDescent="0.3">
      <c r="B48" s="19" t="s">
        <v>40</v>
      </c>
      <c r="C48" s="20" t="str">
        <f>HYPERLINK("#'Data'!A3017", "Importance rating for 'Agricultural inputs' priority need requiring financial assistance [Baseline] broken down by households_consisting_of_elderly_pe...")</f>
        <v>Importance rating for 'Agricultural inputs' priority need requiring financial assistance [Baseline] broken down by households_consisting_of_elderly_pe...</v>
      </c>
      <c r="D48" s="19" t="s">
        <v>41</v>
      </c>
      <c r="E48" s="21">
        <v>626</v>
      </c>
    </row>
    <row r="49" spans="2:5" hidden="1" x14ac:dyDescent="0.3">
      <c r="B49" s="19" t="s">
        <v>40</v>
      </c>
      <c r="C49" s="20" t="str">
        <f>HYPERLINK("#'Data'!A3086", "Importance rating for 'Shelter maintenance' priority need requiring financial assistance [Baseline] broken down by households_consisting_of_elderly_pe...")</f>
        <v>Importance rating for 'Shelter maintenance' priority need requiring financial assistance [Baseline] broken down by households_consisting_of_elderly_pe...</v>
      </c>
      <c r="D49" s="19" t="s">
        <v>41</v>
      </c>
      <c r="E49" s="21">
        <v>641</v>
      </c>
    </row>
    <row r="50" spans="2:5" hidden="1" x14ac:dyDescent="0.3">
      <c r="B50" s="19" t="s">
        <v>40</v>
      </c>
      <c r="C50" s="20" t="str">
        <f>HYPERLINK("#'Data'!A3155", "Importance rating for 'Transportation' priority need requiring financial assistance [Baseline] broken down by households_consisting_of_elderly_people_...")</f>
        <v>Importance rating for 'Transportation' priority need requiring financial assistance [Baseline] broken down by households_consisting_of_elderly_people_...</v>
      </c>
      <c r="D50" s="19" t="s">
        <v>41</v>
      </c>
      <c r="E50" s="21">
        <v>656</v>
      </c>
    </row>
    <row r="51" spans="2:5" hidden="1" x14ac:dyDescent="0.3">
      <c r="B51" s="19" t="s">
        <v>40</v>
      </c>
      <c r="C51" s="20" t="str">
        <f>HYPERLINK("#'Data'!A3218", "Importance rating for 'Communication' priority need requiring financial assistance [Baseline] broken down by households_consisting_of_elderly_people_6...")</f>
        <v>Importance rating for 'Communication' priority need requiring financial assistance [Baseline] broken down by households_consisting_of_elderly_people_6...</v>
      </c>
      <c r="D51" s="19" t="s">
        <v>41</v>
      </c>
      <c r="E51" s="21">
        <v>671</v>
      </c>
    </row>
    <row r="52" spans="2:5" hidden="1" x14ac:dyDescent="0.3">
      <c r="B52" s="19" t="s">
        <v>40</v>
      </c>
      <c r="C52" s="20" t="str">
        <f>HYPERLINK("#'Data'!A3280", "Importance rating for 'Education materials' priority need requiring financial assistance [Baseline] broken down by households_consisting_of_elderly_pe...")</f>
        <v>Importance rating for 'Education materials' priority need requiring financial assistance [Baseline] broken down by households_consisting_of_elderly_pe...</v>
      </c>
      <c r="D52" s="19" t="s">
        <v>41</v>
      </c>
      <c r="E52" s="21">
        <v>686</v>
      </c>
    </row>
    <row r="53" spans="2:5" hidden="1" x14ac:dyDescent="0.3">
      <c r="B53" s="19" t="s">
        <v>40</v>
      </c>
      <c r="C53" s="20" t="str">
        <f>HYPERLINK("#'Data'!A3353", "Household needs met exclusively due to MPCA and their fulfillment level [Endline] broken down by households_consisting_of_elderly_people_60 on the adm...")</f>
        <v>Household needs met exclusively due to MPCA and their fulfillment level [Endline] broken down by households_consisting_of_elderly_people_60 on the adm...</v>
      </c>
      <c r="D53" s="19" t="s">
        <v>41</v>
      </c>
      <c r="E53" s="21">
        <v>701</v>
      </c>
    </row>
    <row r="54" spans="2:5" hidden="1" x14ac:dyDescent="0.3">
      <c r="B54" s="19" t="s">
        <v>40</v>
      </c>
      <c r="C54" s="20" t="str">
        <f>HYPERLINK("#'Data'!A3425", "Fulfillment level of 'Other' need met exclusively due to MPCA [Endline] broken down by households_consisting_of_elderly_people_60 on the admin of Over...")</f>
        <v>Fulfillment level of 'Other' need met exclusively due to MPCA [Endline] broken down by households_consisting_of_elderly_people_60 on the admin of Over...</v>
      </c>
      <c r="D54" s="19" t="s">
        <v>41</v>
      </c>
      <c r="E54" s="21">
        <v>716</v>
      </c>
    </row>
    <row r="55" spans="2:5" hidden="1" x14ac:dyDescent="0.3">
      <c r="B55" s="19" t="s">
        <v>40</v>
      </c>
      <c r="C55" s="20" t="str">
        <f>HYPERLINK("#'Data'!A3498", "Fulfillment level of 'Food' need met exclusively due to MPCA [Endline] broken down by households_consisting_of_elderly_people_60 on the admin of Overa...")</f>
        <v>Fulfillment level of 'Food' need met exclusively due to MPCA [Endline] broken down by households_consisting_of_elderly_people_60 on the admin of Overa...</v>
      </c>
      <c r="D55" s="19" t="s">
        <v>41</v>
      </c>
      <c r="E55" s="21">
        <v>731</v>
      </c>
    </row>
    <row r="56" spans="2:5" x14ac:dyDescent="0.3">
      <c r="B56" s="19" t="s">
        <v>42</v>
      </c>
      <c r="C56" s="20" t="str">
        <f>HYPERLINK("#'Data'!A3584", "Fulfillment level of 'Personal hygiene' need met exclusively due to MPCA [Endline] broken down by households_displaced_from_the_territory_of_active_ho...")</f>
        <v>Fulfillment level of 'Personal hygiene' need met exclusively due to MPCA [Endline] broken down by households_displaced_from_the_territory_of_active_ho...</v>
      </c>
      <c r="D56" s="19" t="s">
        <v>43</v>
      </c>
      <c r="E56" s="21">
        <v>749</v>
      </c>
    </row>
    <row r="57" spans="2:5" x14ac:dyDescent="0.3">
      <c r="B57" s="19" t="s">
        <v>42</v>
      </c>
      <c r="C57" s="20" t="str">
        <f>HYPERLINK("#'Data'!A3655", "Fulfillment level of 'Cleaning items' need met exclusively due to MPCA [Endline] broken down by households_displaced_from_the_territory_of_active_host...")</f>
        <v>Fulfillment level of 'Cleaning items' need met exclusively due to MPCA [Endline] broken down by households_displaced_from_the_territory_of_active_host...</v>
      </c>
      <c r="D57" s="19" t="s">
        <v>43</v>
      </c>
      <c r="E57" s="21">
        <v>764</v>
      </c>
    </row>
    <row r="58" spans="2:5" x14ac:dyDescent="0.3">
      <c r="B58" s="19" t="s">
        <v>42</v>
      </c>
      <c r="C58" s="20" t="str">
        <f>HYPERLINK("#'Data'!A3725", "Fulfillment level of 'Non-food items' need met exclusively due to MPCA [Endline] broken down by households_displaced_from_the_territory_of_active_host...")</f>
        <v>Fulfillment level of 'Non-food items' need met exclusively due to MPCA [Endline] broken down by households_displaced_from_the_territory_of_active_host...</v>
      </c>
      <c r="D58" s="19" t="s">
        <v>43</v>
      </c>
      <c r="E58" s="21">
        <v>779</v>
      </c>
    </row>
    <row r="59" spans="2:5" x14ac:dyDescent="0.3">
      <c r="B59" s="19" t="s">
        <v>42</v>
      </c>
      <c r="C59" s="20" t="str">
        <f>HYPERLINK("#'Data'!A3798", "Fulfillment level of 'Clothing and shoes' need met exclusively due to MPCA [Endline] broken down by households_displaced_from_the_territory_of_active_...")</f>
        <v>Fulfillment level of 'Clothing and shoes' need met exclusively due to MPCA [Endline] broken down by households_displaced_from_the_territory_of_active_...</v>
      </c>
      <c r="D59" s="19" t="s">
        <v>43</v>
      </c>
      <c r="E59" s="21">
        <v>794</v>
      </c>
    </row>
    <row r="60" spans="2:5" x14ac:dyDescent="0.3">
      <c r="B60" s="19" t="s">
        <v>42</v>
      </c>
      <c r="C60" s="20" t="str">
        <f>HYPERLINK("#'Data'!A3872", "Fulfillment level of 'Heating fuel' need met exclusively due to MPCA [Endline] broken down by households_displaced_from_the_territory_of_active_hostil...")</f>
        <v>Fulfillment level of 'Heating fuel' need met exclusively due to MPCA [Endline] broken down by households_displaced_from_the_territory_of_active_hostil...</v>
      </c>
      <c r="D60" s="19" t="s">
        <v>43</v>
      </c>
      <c r="E60" s="21">
        <v>809</v>
      </c>
    </row>
    <row r="61" spans="2:5" x14ac:dyDescent="0.3">
      <c r="B61" s="19" t="s">
        <v>42</v>
      </c>
      <c r="C61" s="20" t="str">
        <f>HYPERLINK("#'Data'!A3939", "Fulfillment level of 'Safe water' need met exclusively due to MPCA [Endline] broken down by households_displaced_from_the_territory_of_active_hostilit...")</f>
        <v>Fulfillment level of 'Safe water' need met exclusively due to MPCA [Endline] broken down by households_displaced_from_the_territory_of_active_hostilit...</v>
      </c>
      <c r="D61" s="19" t="s">
        <v>43</v>
      </c>
      <c r="E61" s="21">
        <v>824</v>
      </c>
    </row>
    <row r="62" spans="2:5" x14ac:dyDescent="0.3">
      <c r="B62" s="19" t="s">
        <v>42</v>
      </c>
      <c r="C62" s="20" t="str">
        <f>HYPERLINK("#'Data'!A4009", "Fulfillment level of 'Utilities' need met exclusively due to MPCA [Endline] broken down by households_displaced_from_the_territory_of_active_hostiliti...")</f>
        <v>Fulfillment level of 'Utilities' need met exclusively due to MPCA [Endline] broken down by households_displaced_from_the_territory_of_active_hostiliti...</v>
      </c>
      <c r="D62" s="19" t="s">
        <v>43</v>
      </c>
      <c r="E62" s="21">
        <v>839</v>
      </c>
    </row>
    <row r="63" spans="2:5" x14ac:dyDescent="0.3">
      <c r="B63" s="19" t="s">
        <v>42</v>
      </c>
      <c r="C63" s="20" t="str">
        <f>HYPERLINK("#'Data'!A4078", "Fulfillment level of 'Water supply' need met exclusively due to MPCA [Endline] broken down by households_displaced_from_the_territory_of_active_hostil...")</f>
        <v>Fulfillment level of 'Water supply' need met exclusively due to MPCA [Endline] broken down by households_displaced_from_the_territory_of_active_hostil...</v>
      </c>
      <c r="D63" s="19" t="s">
        <v>43</v>
      </c>
      <c r="E63" s="21">
        <v>854</v>
      </c>
    </row>
    <row r="64" spans="2:5" x14ac:dyDescent="0.3">
      <c r="B64" s="19" t="s">
        <v>42</v>
      </c>
      <c r="C64" s="20" t="str">
        <f>HYPERLINK("#'Data'!A4148", "Fulfillment level of 'Rent' need met exclusively due to MPCA [Endline] broken down by households_displaced_from_the_territory_of_active_hostilities_an...")</f>
        <v>Fulfillment level of 'Rent' need met exclusively due to MPCA [Endline] broken down by households_displaced_from_the_territory_of_active_hostilities_an...</v>
      </c>
      <c r="D64" s="19" t="s">
        <v>43</v>
      </c>
      <c r="E64" s="21">
        <v>869</v>
      </c>
    </row>
    <row r="65" spans="2:5" x14ac:dyDescent="0.3">
      <c r="B65" s="19" t="s">
        <v>42</v>
      </c>
      <c r="C65" s="20" t="str">
        <f>HYPERLINK("#'Data'!A4213", "Fulfillment level of 'Assistive products' need met exclusively due to MPCA [Endline] broken down by households_displaced_from_the_territory_of_active_...")</f>
        <v>Fulfillment level of 'Assistive products' need met exclusively due to MPCA [Endline] broken down by households_displaced_from_the_territory_of_active_...</v>
      </c>
      <c r="D65" s="19" t="s">
        <v>43</v>
      </c>
      <c r="E65" s="21">
        <v>884</v>
      </c>
    </row>
    <row r="66" spans="2:5" x14ac:dyDescent="0.3">
      <c r="B66" s="19" t="s">
        <v>42</v>
      </c>
      <c r="C66" s="20" t="str">
        <f>HYPERLINK("#'Data'!A4281", "Fulfillment level of 'Medication' need met exclusively due to MPCA [Endline] broken down by households_displaced_from_the_territory_of_active_hostilit...")</f>
        <v>Fulfillment level of 'Medication' need met exclusively due to MPCA [Endline] broken down by households_displaced_from_the_territory_of_active_hostilit...</v>
      </c>
      <c r="D66" s="19" t="s">
        <v>43</v>
      </c>
      <c r="E66" s="21">
        <v>899</v>
      </c>
    </row>
    <row r="67" spans="2:5" x14ac:dyDescent="0.3">
      <c r="B67" s="19" t="s">
        <v>42</v>
      </c>
      <c r="C67" s="20" t="str">
        <f>HYPERLINK("#'Data'!A4349", "Fulfillment level of 'Agricultural inputs' need met exclusively due to MPCA [Endline] broken down by households_displaced_from_the_territory_of_active...")</f>
        <v>Fulfillment level of 'Agricultural inputs' need met exclusively due to MPCA [Endline] broken down by households_displaced_from_the_territory_of_active...</v>
      </c>
      <c r="D67" s="19" t="s">
        <v>43</v>
      </c>
      <c r="E67" s="21">
        <v>914</v>
      </c>
    </row>
    <row r="68" spans="2:5" x14ac:dyDescent="0.3">
      <c r="B68" s="19" t="s">
        <v>42</v>
      </c>
      <c r="C68" s="20" t="str">
        <f>HYPERLINK("#'Data'!A4419", "Fulfillment level of 'Shelter maintenance' need met exclusively due to MPCA [Endline] broken down by households_displaced_from_the_territory_of_active...")</f>
        <v>Fulfillment level of 'Shelter maintenance' need met exclusively due to MPCA [Endline] broken down by households_displaced_from_the_territory_of_active...</v>
      </c>
      <c r="D68" s="19" t="s">
        <v>43</v>
      </c>
      <c r="E68" s="21">
        <v>929</v>
      </c>
    </row>
    <row r="69" spans="2:5" x14ac:dyDescent="0.3">
      <c r="B69" s="19" t="s">
        <v>42</v>
      </c>
      <c r="C69" s="20" t="str">
        <f>HYPERLINK("#'Data'!A4489", "Fulfillment level of 'Future savings' need met exclusively due to MPCA [Endline] broken down by households_displaced_from_the_territory_of_active_host...")</f>
        <v>Fulfillment level of 'Future savings' need met exclusively due to MPCA [Endline] broken down by households_displaced_from_the_territory_of_active_host...</v>
      </c>
      <c r="D69" s="19" t="s">
        <v>43</v>
      </c>
      <c r="E69" s="21">
        <v>944</v>
      </c>
    </row>
    <row r="70" spans="2:5" x14ac:dyDescent="0.3">
      <c r="B70" s="19" t="s">
        <v>42</v>
      </c>
      <c r="C70" s="20" t="str">
        <f>HYPERLINK("#'Data'!A4556", "Fulfillment level of 'Shared with others' need met exclusively due to MPCA [Endline] broken down by households_displaced_from_the_territory_of_active_...")</f>
        <v>Fulfillment level of 'Shared with others' need met exclusively due to MPCA [Endline] broken down by households_displaced_from_the_territory_of_active_...</v>
      </c>
      <c r="D70" s="19" t="s">
        <v>43</v>
      </c>
      <c r="E70" s="21">
        <v>959</v>
      </c>
    </row>
    <row r="71" spans="2:5" x14ac:dyDescent="0.3">
      <c r="B71" s="19" t="s">
        <v>42</v>
      </c>
      <c r="C71" s="20" t="str">
        <f>HYPERLINK("#'Data'!A4626", "Fulfillment level of 'Transportation' need met exclusively due to MPCA [Endline] broken down by households_displaced_from_the_territory_of_active_host...")</f>
        <v>Fulfillment level of 'Transportation' need met exclusively due to MPCA [Endline] broken down by households_displaced_from_the_territory_of_active_host...</v>
      </c>
      <c r="D71" s="19" t="s">
        <v>43</v>
      </c>
      <c r="E71" s="21">
        <v>974</v>
      </c>
    </row>
    <row r="72" spans="2:5" x14ac:dyDescent="0.3">
      <c r="B72" s="19" t="s">
        <v>42</v>
      </c>
      <c r="C72" s="20" t="str">
        <f>HYPERLINK("#'Data'!A4696", "Fulfillment level of 'Communication' need met exclusively due to MPCA [Endline] broken down by households_displaced_from_the_territory_of_active_hosti...")</f>
        <v>Fulfillment level of 'Communication' need met exclusively due to MPCA [Endline] broken down by households_displaced_from_the_territory_of_active_hosti...</v>
      </c>
      <c r="D72" s="19" t="s">
        <v>43</v>
      </c>
      <c r="E72" s="21">
        <v>989</v>
      </c>
    </row>
    <row r="73" spans="2:5" x14ac:dyDescent="0.3">
      <c r="B73" s="19" t="s">
        <v>42</v>
      </c>
      <c r="C73" s="20" t="str">
        <f>HYPERLINK("#'Data'!A4766", "Fulfillment level of 'Education materials' need met exclusively due to MPCA [Endline] broken down by households_displaced_from_the_territory_of_active...")</f>
        <v>Fulfillment level of 'Education materials' need met exclusively due to MPCA [Endline] broken down by households_displaced_from_the_territory_of_active...</v>
      </c>
      <c r="D73" s="19" t="s">
        <v>43</v>
      </c>
      <c r="E73" s="21">
        <v>1004</v>
      </c>
    </row>
    <row r="74" spans="2:5" x14ac:dyDescent="0.3">
      <c r="B74" s="19" t="s">
        <v>42</v>
      </c>
      <c r="C74" s="20" t="str">
        <f>HYPERLINK("#'Data'!A4840", "Estimated percentage of MPCA spent on each category of goods and services [Endline] broken down by households_displaced_from_the_territory_of_active_h...")</f>
        <v>Estimated percentage of MPCA spent on each category of goods and services [Endline] broken down by households_displaced_from_the_territory_of_active_h...</v>
      </c>
      <c r="D74" s="19" t="s">
        <v>43</v>
      </c>
      <c r="E74" s="21">
        <v>1019</v>
      </c>
    </row>
    <row r="75" spans="2:5" x14ac:dyDescent="0.3">
      <c r="B75" s="19" t="s">
        <v>42</v>
      </c>
      <c r="C75" s="20" t="str">
        <f>HYPERLINK("#'Data'!A4912", "Estimated percentage of MPCA spent on 'Other' category [Endline] broken down by households_displaced_from_the_territory_of_active_hostilities_and_not_...")</f>
        <v>Estimated percentage of MPCA spent on 'Other' category [Endline] broken down by households_displaced_from_the_territory_of_active_hostilities_and_not_...</v>
      </c>
      <c r="D75" s="19" t="s">
        <v>43</v>
      </c>
      <c r="E75" s="21">
        <v>1034</v>
      </c>
    </row>
    <row r="76" spans="2:5" x14ac:dyDescent="0.3">
      <c r="B76" s="19" t="s">
        <v>42</v>
      </c>
      <c r="C76" s="20" t="str">
        <f>HYPERLINK("#'Data'!A4985", "Estimated percentage of MPCA spent on 'Food' category [Endline] broken down by households_displaced_from_the_territory_of_active_hostilities_and_not_r...")</f>
        <v>Estimated percentage of MPCA spent on 'Food' category [Endline] broken down by households_displaced_from_the_territory_of_active_hostilities_and_not_r...</v>
      </c>
      <c r="D76" s="19" t="s">
        <v>43</v>
      </c>
      <c r="E76" s="21">
        <v>1049</v>
      </c>
    </row>
    <row r="77" spans="2:5" x14ac:dyDescent="0.3">
      <c r="B77" s="19" t="s">
        <v>42</v>
      </c>
      <c r="C77" s="20" t="str">
        <f>HYPERLINK("#'Data'!A5056", "Estimated percentage of MPCA spent on 'Personal hygiene' category [Endline] broken down by households_displaced_from_the_territory_of_active_hostiliti...")</f>
        <v>Estimated percentage of MPCA spent on 'Personal hygiene' category [Endline] broken down by households_displaced_from_the_territory_of_active_hostiliti...</v>
      </c>
      <c r="D77" s="19" t="s">
        <v>43</v>
      </c>
      <c r="E77" s="21">
        <v>1064</v>
      </c>
    </row>
    <row r="78" spans="2:5" x14ac:dyDescent="0.3">
      <c r="B78" s="19" t="s">
        <v>42</v>
      </c>
      <c r="C78" s="20" t="str">
        <f>HYPERLINK("#'Data'!A5128", "Estimated percentage of MPCA spent on 'Cleaning items' category [Endline] broken down by households_displaced_from_the_territory_of_active_hostilities...")</f>
        <v>Estimated percentage of MPCA spent on 'Cleaning items' category [Endline] broken down by households_displaced_from_the_territory_of_active_hostilities...</v>
      </c>
      <c r="D78" s="19" t="s">
        <v>43</v>
      </c>
      <c r="E78" s="21">
        <v>1079</v>
      </c>
    </row>
    <row r="79" spans="2:5" x14ac:dyDescent="0.3">
      <c r="B79" s="19" t="s">
        <v>42</v>
      </c>
      <c r="C79" s="20" t="str">
        <f>HYPERLINK("#'Data'!A5199", "Estimated percentage of MPCA spent on 'Non-food items' category [Endline] broken down by households_displaced_from_the_territory_of_active_hostilities...")</f>
        <v>Estimated percentage of MPCA spent on 'Non-food items' category [Endline] broken down by households_displaced_from_the_territory_of_active_hostilities...</v>
      </c>
      <c r="D79" s="19" t="s">
        <v>43</v>
      </c>
      <c r="E79" s="21">
        <v>1094</v>
      </c>
    </row>
    <row r="80" spans="2:5" x14ac:dyDescent="0.3">
      <c r="B80" s="19" t="s">
        <v>42</v>
      </c>
      <c r="C80" s="20" t="str">
        <f>HYPERLINK("#'Data'!A5272", "Estimated percentage of MPCA spent on 'Clothing and shoes' category [Endline] broken down by households_displaced_from_the_territory_of_active_hostili...")</f>
        <v>Estimated percentage of MPCA spent on 'Clothing and shoes' category [Endline] broken down by households_displaced_from_the_territory_of_active_hostili...</v>
      </c>
      <c r="D80" s="19" t="s">
        <v>43</v>
      </c>
      <c r="E80" s="21">
        <v>1109</v>
      </c>
    </row>
    <row r="81" spans="2:5" x14ac:dyDescent="0.3">
      <c r="B81" s="19" t="s">
        <v>42</v>
      </c>
      <c r="C81" s="20" t="str">
        <f>HYPERLINK("#'Data'!A5346", "Estimated percentage of MPCA spent on 'Heating fuel' category [Endline] broken down by households_displaced_from_the_territory_of_active_hostilities_a...")</f>
        <v>Estimated percentage of MPCA spent on 'Heating fuel' category [Endline] broken down by households_displaced_from_the_territory_of_active_hostilities_a...</v>
      </c>
      <c r="D81" s="19" t="s">
        <v>43</v>
      </c>
      <c r="E81" s="21">
        <v>1124</v>
      </c>
    </row>
    <row r="82" spans="2:5" x14ac:dyDescent="0.3">
      <c r="B82" s="19" t="s">
        <v>42</v>
      </c>
      <c r="C82" s="20" t="str">
        <f>HYPERLINK("#'Data'!A5413", "Estimated percentage of MPCA spent on 'Safe water' category [Endline] broken down by households_displaced_from_the_territory_of_active_hostilities_and...")</f>
        <v>Estimated percentage of MPCA spent on 'Safe water' category [Endline] broken down by households_displaced_from_the_territory_of_active_hostilities_and...</v>
      </c>
      <c r="D82" s="19" t="s">
        <v>43</v>
      </c>
      <c r="E82" s="21">
        <v>1139</v>
      </c>
    </row>
    <row r="83" spans="2:5" x14ac:dyDescent="0.3">
      <c r="B83" s="19" t="s">
        <v>42</v>
      </c>
      <c r="C83" s="20" t="str">
        <f>HYPERLINK("#'Data'!A5483", "Estimated percentage of MPCA spent on 'Utilities' category [Endline] broken down by households_displaced_from_the_territory_of_active_hostilities_and_...")</f>
        <v>Estimated percentage of MPCA spent on 'Utilities' category [Endline] broken down by households_displaced_from_the_territory_of_active_hostilities_and_...</v>
      </c>
      <c r="D83" s="19" t="s">
        <v>43</v>
      </c>
      <c r="E83" s="21">
        <v>1154</v>
      </c>
    </row>
    <row r="84" spans="2:5" x14ac:dyDescent="0.3">
      <c r="B84" s="19" t="s">
        <v>42</v>
      </c>
      <c r="C84" s="20" t="str">
        <f>HYPERLINK("#'Data'!A5552", "Estimated percentage of MPCA spent on 'Water supply' category [Endline] broken down by households_displaced_from_the_territory_of_active_hostilities_a...")</f>
        <v>Estimated percentage of MPCA spent on 'Water supply' category [Endline] broken down by households_displaced_from_the_territory_of_active_hostilities_a...</v>
      </c>
      <c r="D84" s="19" t="s">
        <v>43</v>
      </c>
      <c r="E84" s="21">
        <v>1169</v>
      </c>
    </row>
    <row r="85" spans="2:5" x14ac:dyDescent="0.3">
      <c r="B85" s="19" t="s">
        <v>42</v>
      </c>
      <c r="C85" s="20" t="str">
        <f>HYPERLINK("#'Data'!A5622", "Estimated percentage of MPCA spent on 'Rent' category [Endline] broken down by households_displaced_from_the_territory_of_active_hostilities_and_not_r...")</f>
        <v>Estimated percentage of MPCA spent on 'Rent' category [Endline] broken down by households_displaced_from_the_territory_of_active_hostilities_and_not_r...</v>
      </c>
      <c r="D85" s="19" t="s">
        <v>43</v>
      </c>
      <c r="E85" s="21">
        <v>1184</v>
      </c>
    </row>
    <row r="86" spans="2:5" x14ac:dyDescent="0.3">
      <c r="B86" s="19" t="s">
        <v>42</v>
      </c>
      <c r="C86" s="20" t="str">
        <f>HYPERLINK("#'Data'!A5687", "Estimated percentage of MPCA spent on 'Assistive products' category [Endline] broken down by households_displaced_from_the_territory_of_active_hostili...")</f>
        <v>Estimated percentage of MPCA spent on 'Assistive products' category [Endline] broken down by households_displaced_from_the_territory_of_active_hostili...</v>
      </c>
      <c r="D86" s="19" t="s">
        <v>43</v>
      </c>
      <c r="E86" s="21">
        <v>1199</v>
      </c>
    </row>
    <row r="87" spans="2:5" x14ac:dyDescent="0.3">
      <c r="B87" s="19" t="s">
        <v>42</v>
      </c>
      <c r="C87" s="20" t="str">
        <f>HYPERLINK("#'Data'!A5755", "Estimated percentage of MPCA spent on 'Medication' category [Endline] broken down by households_displaced_from_the_territory_of_active_hostilities_and...")</f>
        <v>Estimated percentage of MPCA spent on 'Medication' category [Endline] broken down by households_displaced_from_the_territory_of_active_hostilities_and...</v>
      </c>
      <c r="D87" s="19" t="s">
        <v>43</v>
      </c>
      <c r="E87" s="21">
        <v>1214</v>
      </c>
    </row>
    <row r="88" spans="2:5" x14ac:dyDescent="0.3">
      <c r="B88" s="19" t="s">
        <v>42</v>
      </c>
      <c r="C88" s="20" t="str">
        <f>HYPERLINK("#'Data'!A5825", "Estimated percentage of MPCA spent on 'Agricultural inputs' category [Endline] broken down by households_displaced_from_the_territory_of_active_hostil...")</f>
        <v>Estimated percentage of MPCA spent on 'Agricultural inputs' category [Endline] broken down by households_displaced_from_the_territory_of_active_hostil...</v>
      </c>
      <c r="D88" s="19" t="s">
        <v>43</v>
      </c>
      <c r="E88" s="21">
        <v>1229</v>
      </c>
    </row>
    <row r="89" spans="2:5" x14ac:dyDescent="0.3">
      <c r="B89" s="19" t="s">
        <v>42</v>
      </c>
      <c r="C89" s="20" t="str">
        <f>HYPERLINK("#'Data'!A5896", "Estimated percentage of MPCA spent on 'Shelter maintenance' category [Endline] broken down by households_displaced_from_the_territory_of_active_hostil...")</f>
        <v>Estimated percentage of MPCA spent on 'Shelter maintenance' category [Endline] broken down by households_displaced_from_the_territory_of_active_hostil...</v>
      </c>
      <c r="D89" s="19" t="s">
        <v>43</v>
      </c>
      <c r="E89" s="21">
        <v>1244</v>
      </c>
    </row>
    <row r="90" spans="2:5" x14ac:dyDescent="0.3">
      <c r="B90" s="19" t="s">
        <v>42</v>
      </c>
      <c r="C90" s="20" t="str">
        <f>HYPERLINK("#'Data'!A5966", "Estimated percentage of MPCA spent on 'Future savings' category [Endline] broken down by households_displaced_from_the_territory_of_active_hostilities...")</f>
        <v>Estimated percentage of MPCA spent on 'Future savings' category [Endline] broken down by households_displaced_from_the_territory_of_active_hostilities...</v>
      </c>
      <c r="D90" s="19" t="s">
        <v>43</v>
      </c>
      <c r="E90" s="21">
        <v>1259</v>
      </c>
    </row>
    <row r="91" spans="2:5" x14ac:dyDescent="0.3">
      <c r="B91" s="19" t="s">
        <v>42</v>
      </c>
      <c r="C91" s="20" t="str">
        <f>HYPERLINK("#'Data'!A6034", "Estimated percentage of MPCA spent on 'Shared with others' category [Endline] broken down by households_displaced_from_the_territory_of_active_hostili...")</f>
        <v>Estimated percentage of MPCA spent on 'Shared with others' category [Endline] broken down by households_displaced_from_the_territory_of_active_hostili...</v>
      </c>
      <c r="D91" s="19" t="s">
        <v>43</v>
      </c>
      <c r="E91" s="21">
        <v>1274</v>
      </c>
    </row>
    <row r="92" spans="2:5" x14ac:dyDescent="0.3">
      <c r="B92" s="19" t="s">
        <v>42</v>
      </c>
      <c r="C92" s="20" t="str">
        <f>HYPERLINK("#'Data'!A6104", "Estimated percentage of MPCA spent on 'Transportation' category [Endline] broken down by households_displaced_from_the_territory_of_active_hostilities...")</f>
        <v>Estimated percentage of MPCA spent on 'Transportation' category [Endline] broken down by households_displaced_from_the_territory_of_active_hostilities...</v>
      </c>
      <c r="D92" s="19" t="s">
        <v>43</v>
      </c>
      <c r="E92" s="21">
        <v>1289</v>
      </c>
    </row>
    <row r="93" spans="2:5" x14ac:dyDescent="0.3">
      <c r="B93" s="19" t="s">
        <v>42</v>
      </c>
      <c r="C93" s="20" t="str">
        <f>HYPERLINK("#'Data'!A6176", "Estimated percentage of MPCA spent on 'Communication' category [Endline] broken down by households_displaced_from_the_territory_of_active_hostilities_...")</f>
        <v>Estimated percentage of MPCA spent on 'Communication' category [Endline] broken down by households_displaced_from_the_territory_of_active_hostilities_...</v>
      </c>
      <c r="D93" s="19" t="s">
        <v>43</v>
      </c>
      <c r="E93" s="21">
        <v>1304</v>
      </c>
    </row>
    <row r="94" spans="2:5" x14ac:dyDescent="0.3">
      <c r="B94" s="19" t="s">
        <v>42</v>
      </c>
      <c r="C94" s="20" t="str">
        <f>HYPERLINK("#'Data'!A6246", "Estimated percentage of MPCA spent on 'Education materials' category [Endline] broken down by households_displaced_from_the_territory_of_active_hostil...")</f>
        <v>Estimated percentage of MPCA spent on 'Education materials' category [Endline] broken down by households_displaced_from_the_territory_of_active_hostil...</v>
      </c>
      <c r="D94" s="19" t="s">
        <v>43</v>
      </c>
      <c r="E94" s="21">
        <v>1319</v>
      </c>
    </row>
    <row r="95" spans="2:5" x14ac:dyDescent="0.3">
      <c r="B95" s="19" t="s">
        <v>42</v>
      </c>
      <c r="C95" s="20" t="str">
        <f>HYPERLINK("#'Data'!A6320", "Additional priority needs potentially met if MPCA duration extended to 6 months [Endline] broken down by households_displaced_from_the_territory_of_ac...")</f>
        <v>Additional priority needs potentially met if MPCA duration extended to 6 months [Endline] broken down by households_displaced_from_the_territory_of_ac...</v>
      </c>
      <c r="D95" s="19" t="s">
        <v>43</v>
      </c>
      <c r="E95" s="21">
        <v>1334</v>
      </c>
    </row>
    <row r="96" spans="2:5" x14ac:dyDescent="0.3">
      <c r="B96" s="19" t="s">
        <v>42</v>
      </c>
      <c r="C96" s="20" t="str">
        <f>HYPERLINK("#'Data'!A6394", "Additional priority needs potentially met with doubled MPCA amount over past 3 months [Endline] broken down by households_displaced_from_the_territory...")</f>
        <v>Additional priority needs potentially met with doubled MPCA amount over past 3 months [Endline] broken down by households_displaced_from_the_territory...</v>
      </c>
      <c r="D96" s="19" t="s">
        <v>43</v>
      </c>
      <c r="E96" s="21">
        <v>1349</v>
      </c>
    </row>
    <row r="97" spans="2:5" x14ac:dyDescent="0.3">
      <c r="B97" s="19" t="s">
        <v>42</v>
      </c>
      <c r="C97" s="20" t="str">
        <f>HYPERLINK("#'Data'!A6468", "Needs that MPCA is considered insufficient to address [Baseline] broken down by households_displaced_from_the_territory_of_active_hostilities_and_not_...")</f>
        <v>Needs that MPCA is considered insufficient to address [Baseline] broken down by households_displaced_from_the_territory_of_active_hostilities_and_not_...</v>
      </c>
      <c r="D97" s="19" t="s">
        <v>43</v>
      </c>
      <c r="E97" s="21">
        <v>1364</v>
      </c>
    </row>
    <row r="98" spans="2:5" x14ac:dyDescent="0.3">
      <c r="B98" s="19" t="s">
        <v>42</v>
      </c>
      <c r="C98" s="20" t="str">
        <f>HYPERLINK("#'Data'!A6542", "Needs that MPCA is considered insufficient to address [Endline] broken down by households_displaced_from_the_territory_of_active_hostilities_and_not_r...")</f>
        <v>Needs that MPCA is considered insufficient to address [Endline] broken down by households_displaced_from_the_territory_of_active_hostilities_and_not_r...</v>
      </c>
      <c r="D98" s="19" t="s">
        <v>43</v>
      </c>
      <c r="E98" s="21">
        <v>1379</v>
      </c>
    </row>
    <row r="99" spans="2:5" x14ac:dyDescent="0.3">
      <c r="B99" s="19" t="s">
        <v>42</v>
      </c>
      <c r="C99" s="20" t="str">
        <f>HYPERLINK("#'Data'!A6616", "Preferred type of assistance for meeting current household needs [Baseline] broken down by households_displaced_from_the_territory_of_active_hostiliti...")</f>
        <v>Preferred type of assistance for meeting current household needs [Baseline] broken down by households_displaced_from_the_territory_of_active_hostiliti...</v>
      </c>
      <c r="D99" s="19" t="s">
        <v>43</v>
      </c>
      <c r="E99" s="21">
        <v>1394</v>
      </c>
    </row>
    <row r="100" spans="2:5" hidden="1" x14ac:dyDescent="0.3">
      <c r="B100" s="19" t="s">
        <v>40</v>
      </c>
      <c r="C100" s="20" t="str">
        <f>HYPERLINK("#'Data'!A6675", "Preferred type of assistance for meeting current household needs [Endline] broken down by households_consisting_of_elderly_people_60 on the admin of O...")</f>
        <v>Preferred type of assistance for meeting current household needs [Endline] broken down by households_consisting_of_elderly_people_60 on the admin of O...</v>
      </c>
      <c r="D100" s="19" t="s">
        <v>41</v>
      </c>
      <c r="E100" s="21">
        <v>1406</v>
      </c>
    </row>
    <row r="101" spans="2:5" x14ac:dyDescent="0.3">
      <c r="B101" s="19" t="s">
        <v>42</v>
      </c>
      <c r="C101" s="20" t="str">
        <f>HYPERLINK("#'Data'!A6764", "Remaining needs after MPCA that require additional cash or in-kind assistance [Endline] broken down by households_displaced_from_the_territory_of_acti...")</f>
        <v>Remaining needs after MPCA that require additional cash or in-kind assistance [Endline] broken down by households_displaced_from_the_territory_of_acti...</v>
      </c>
      <c r="D101" s="19" t="s">
        <v>43</v>
      </c>
      <c r="E101" s="21">
        <v>1424</v>
      </c>
    </row>
    <row r="102" spans="2:5" hidden="1" x14ac:dyDescent="0.3">
      <c r="B102" s="19" t="s">
        <v>40</v>
      </c>
      <c r="C102" s="20" t="str">
        <f>HYPERLINK("#'Data'!A6823", "Remaining needs after MPCA that require additional cash or in-kind assistance [Endline] broken down by households_consisting_of_elderly_people_60 on t...")</f>
        <v>Remaining needs after MPCA that require additional cash or in-kind assistance [Endline] broken down by households_consisting_of_elderly_people_60 on t...</v>
      </c>
      <c r="D102" s="19" t="s">
        <v>41</v>
      </c>
      <c r="E102" s="21">
        <v>1436</v>
      </c>
    </row>
    <row r="103" spans="2:5" x14ac:dyDescent="0.3">
      <c r="B103" s="19" t="s">
        <v>42</v>
      </c>
      <c r="C103" s="20" t="str">
        <f>HYPERLINK("#'Data'!A6912", "Amount of multi-purpose cash assistance received over last 3 months in UAH [Endline] broken down by households_displaced_from_the_territory_of_active_...")</f>
        <v>Amount of multi-purpose cash assistance received over last 3 months in UAH [Endline] broken down by households_displaced_from_the_territory_of_active_...</v>
      </c>
      <c r="D103" s="19" t="s">
        <v>43</v>
      </c>
      <c r="E103" s="21">
        <v>1454</v>
      </c>
    </row>
    <row r="104" spans="2:5" x14ac:dyDescent="0.3">
      <c r="B104" s="19" t="s">
        <v>42</v>
      </c>
      <c r="C104" s="20" t="str">
        <f>HYPERLINK("#'Data'!A6986", "Amount of multi-purpose cash assistance received over last 3 months per hh member in UAH [Endline] broken down by households_displaced_from_the_territ...")</f>
        <v>Amount of multi-purpose cash assistance received over last 3 months per hh member in UAH [Endline] broken down by households_displaced_from_the_territ...</v>
      </c>
      <c r="D104" s="19" t="s">
        <v>43</v>
      </c>
      <c r="E104" s="21">
        <v>1469</v>
      </c>
    </row>
    <row r="105" spans="2:5" x14ac:dyDescent="0.3">
      <c r="B105" s="19" t="s">
        <v>42</v>
      </c>
      <c r="C105" s="20" t="str">
        <f>HYPERLINK("#'Data'!A7060", "Other types of humanitarian aid received in the previous three months [Endline] broken down by households_displaced_from_the_territory_of_active_hosti...")</f>
        <v>Other types of humanitarian aid received in the previous three months [Endline] broken down by households_displaced_from_the_territory_of_active_hosti...</v>
      </c>
      <c r="D105" s="19" t="s">
        <v>43</v>
      </c>
      <c r="E105" s="21">
        <v>1484</v>
      </c>
    </row>
    <row r="106" spans="2:5" x14ac:dyDescent="0.3">
      <c r="B106" s="19" t="s">
        <v>42</v>
      </c>
      <c r="C106" s="20" t="str">
        <f>HYPERLINK("#'Data'!A7128", "Estimated percentage of total household expenditures spent on 'Other' (past month, excl. humanitarian aid) [Baseline] broken down by households_displa...")</f>
        <v>Estimated percentage of total household expenditures spent on 'Other' (past month, excl. humanitarian aid) [Baseline] broken down by households_displa...</v>
      </c>
      <c r="D106" s="19" t="s">
        <v>43</v>
      </c>
      <c r="E106" s="21">
        <v>1499</v>
      </c>
    </row>
    <row r="107" spans="2:5" x14ac:dyDescent="0.3">
      <c r="B107" s="19" t="s">
        <v>42</v>
      </c>
      <c r="C107" s="20" t="str">
        <f>HYPERLINK("#'Data'!A7200", "Estimated percentage of total household expenditures spent on 'Food' (past month, excl. humanitarian aid) [Baseline] broken down by households_displac...")</f>
        <v>Estimated percentage of total household expenditures spent on 'Food' (past month, excl. humanitarian aid) [Baseline] broken down by households_displac...</v>
      </c>
      <c r="D107" s="19" t="s">
        <v>43</v>
      </c>
      <c r="E107" s="21">
        <v>1514</v>
      </c>
    </row>
    <row r="108" spans="2:5" x14ac:dyDescent="0.3">
      <c r="B108" s="19" t="s">
        <v>42</v>
      </c>
      <c r="C108" s="20" t="str">
        <f>HYPERLINK("#'Data'!A7273",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108" s="19" t="s">
        <v>43</v>
      </c>
      <c r="E108" s="21">
        <v>1529</v>
      </c>
    </row>
    <row r="109" spans="2:5" hidden="1" x14ac:dyDescent="0.3">
      <c r="B109" s="19" t="s">
        <v>40</v>
      </c>
      <c r="C109" s="20" t="str">
        <f>HYPERLINK("#'Data'!A7331",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109" s="19" t="s">
        <v>41</v>
      </c>
      <c r="E109" s="21">
        <v>1541</v>
      </c>
    </row>
    <row r="110" spans="2:5" hidden="1" x14ac:dyDescent="0.3">
      <c r="B110" s="19" t="s">
        <v>40</v>
      </c>
      <c r="C110" s="20" t="str">
        <f>HYPERLINK("#'Data'!A7401",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110" s="19" t="s">
        <v>41</v>
      </c>
      <c r="E110" s="21">
        <v>1556</v>
      </c>
    </row>
    <row r="111" spans="2:5" hidden="1" x14ac:dyDescent="0.3">
      <c r="B111" s="19" t="s">
        <v>40</v>
      </c>
      <c r="C111" s="20" t="str">
        <f>HYPERLINK("#'Data'!A7474",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111" s="19" t="s">
        <v>41</v>
      </c>
      <c r="E111" s="21">
        <v>1571</v>
      </c>
    </row>
    <row r="112" spans="2:5" hidden="1" x14ac:dyDescent="0.3">
      <c r="B112" s="19" t="s">
        <v>40</v>
      </c>
      <c r="C112" s="20" t="str">
        <f>HYPERLINK("#'Data'!A7545",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112" s="19" t="s">
        <v>41</v>
      </c>
      <c r="E112" s="21">
        <v>1586</v>
      </c>
    </row>
    <row r="113" spans="2:5" hidden="1" x14ac:dyDescent="0.3">
      <c r="B113" s="19" t="s">
        <v>40</v>
      </c>
      <c r="C113" s="20" t="str">
        <f>HYPERLINK("#'Data'!A7617", "Estimated percentage of total household expenditures spent on 'Safe water' (past month, excl. humanitarian aid) [Baseline] broken down by households_c...")</f>
        <v>Estimated percentage of total household expenditures spent on 'Safe water' (past month, excl. humanitarian aid) [Baseline] broken down by households_c...</v>
      </c>
      <c r="D113" s="19" t="s">
        <v>41</v>
      </c>
      <c r="E113" s="21">
        <v>1601</v>
      </c>
    </row>
    <row r="114" spans="2:5" hidden="1" x14ac:dyDescent="0.3">
      <c r="B114" s="19" t="s">
        <v>40</v>
      </c>
      <c r="C114" s="20" t="str">
        <f>HYPERLINK("#'Data'!A7691", "Estimated percentage of total household expenditures spent on 'Utilities' (past month, excl. humanitarian aid) [Baseline] broken down by households_co...")</f>
        <v>Estimated percentage of total household expenditures spent on 'Utilities' (past month, excl. humanitarian aid) [Baseline] broken down by households_co...</v>
      </c>
      <c r="D114" s="19" t="s">
        <v>41</v>
      </c>
      <c r="E114" s="21">
        <v>1616</v>
      </c>
    </row>
    <row r="115" spans="2:5" hidden="1" x14ac:dyDescent="0.3">
      <c r="B115" s="19" t="s">
        <v>40</v>
      </c>
      <c r="C115" s="20" t="str">
        <f>HYPERLINK("#'Data'!A7762",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115" s="19" t="s">
        <v>41</v>
      </c>
      <c r="E115" s="21">
        <v>1631</v>
      </c>
    </row>
    <row r="116" spans="2:5" hidden="1" x14ac:dyDescent="0.3">
      <c r="B116" s="19" t="s">
        <v>40</v>
      </c>
      <c r="C116" s="20" t="str">
        <f>HYPERLINK("#'Data'!A7833", "Estimated percentage of total household expenditures spent on 'Rent' (past month, excl. humanitarian aid) [Baseline] broken down by households_consist...")</f>
        <v>Estimated percentage of total household expenditures spent on 'Rent' (past month, excl. humanitarian aid) [Baseline] broken down by households_consist...</v>
      </c>
      <c r="D116" s="19" t="s">
        <v>41</v>
      </c>
      <c r="E116" s="21">
        <v>1646</v>
      </c>
    </row>
    <row r="117" spans="2:5" hidden="1" x14ac:dyDescent="0.3">
      <c r="B117" s="19" t="s">
        <v>40</v>
      </c>
      <c r="C117" s="20" t="str">
        <f>HYPERLINK("#'Data'!A7902",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117" s="19" t="s">
        <v>41</v>
      </c>
      <c r="E117" s="21">
        <v>1661</v>
      </c>
    </row>
    <row r="118" spans="2:5" hidden="1" x14ac:dyDescent="0.3">
      <c r="B118" s="19" t="s">
        <v>40</v>
      </c>
      <c r="C118" s="20" t="str">
        <f>HYPERLINK("#'Data'!A7975", "Estimated percentage of total household expenditures spent on 'Medication' (past month, excl. humanitarian aid) [Baseline] broken down by households_c...")</f>
        <v>Estimated percentage of total household expenditures spent on 'Medication' (past month, excl. humanitarian aid) [Baseline] broken down by households_c...</v>
      </c>
      <c r="D118" s="19" t="s">
        <v>41</v>
      </c>
      <c r="E118" s="21">
        <v>1676</v>
      </c>
    </row>
    <row r="119" spans="2:5" hidden="1" x14ac:dyDescent="0.3">
      <c r="B119" s="19" t="s">
        <v>40</v>
      </c>
      <c r="C119" s="20" t="str">
        <f>HYPERLINK("#'Data'!A8045",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119" s="19" t="s">
        <v>41</v>
      </c>
      <c r="E119" s="21">
        <v>1691</v>
      </c>
    </row>
    <row r="120" spans="2:5" hidden="1" x14ac:dyDescent="0.3">
      <c r="B120" s="19" t="s">
        <v>40</v>
      </c>
      <c r="C120" s="20" t="str">
        <f>HYPERLINK("#'Data'!A8115",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120" s="19" t="s">
        <v>41</v>
      </c>
      <c r="E120" s="21">
        <v>1706</v>
      </c>
    </row>
    <row r="121" spans="2:5" hidden="1" x14ac:dyDescent="0.3">
      <c r="B121" s="19" t="s">
        <v>40</v>
      </c>
      <c r="C121" s="20" t="str">
        <f>HYPERLINK("#'Data'!A8184",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121" s="19" t="s">
        <v>41</v>
      </c>
      <c r="E121" s="21">
        <v>1721</v>
      </c>
    </row>
    <row r="122" spans="2:5" hidden="1" x14ac:dyDescent="0.3">
      <c r="B122" s="19" t="s">
        <v>40</v>
      </c>
      <c r="C122" s="20" t="str">
        <f>HYPERLINK("#'Data'!A8253",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122" s="19" t="s">
        <v>41</v>
      </c>
      <c r="E122" s="21">
        <v>1736</v>
      </c>
    </row>
    <row r="123" spans="2:5" hidden="1" x14ac:dyDescent="0.3">
      <c r="B123" s="19" t="s">
        <v>40</v>
      </c>
      <c r="C123" s="20" t="str">
        <f>HYPERLINK("#'Data'!A8324",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123" s="19" t="s">
        <v>41</v>
      </c>
      <c r="E123" s="21">
        <v>1751</v>
      </c>
    </row>
    <row r="124" spans="2:5" hidden="1" x14ac:dyDescent="0.3">
      <c r="B124" s="19" t="s">
        <v>40</v>
      </c>
      <c r="C124" s="20" t="str">
        <f>HYPERLINK("#'Data'!A8398",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124" s="19" t="s">
        <v>41</v>
      </c>
      <c r="E124" s="21">
        <v>1766</v>
      </c>
    </row>
    <row r="125" spans="2:5" hidden="1" x14ac:dyDescent="0.3">
      <c r="B125" s="19" t="s">
        <v>40</v>
      </c>
      <c r="C125" s="20" t="str">
        <f>HYPERLINK("#'Data'!A8469",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125" s="19" t="s">
        <v>41</v>
      </c>
      <c r="E125" s="21">
        <v>1781</v>
      </c>
    </row>
    <row r="126" spans="2:5" hidden="1" x14ac:dyDescent="0.3">
      <c r="B126" s="19" t="s">
        <v>40</v>
      </c>
      <c r="C126" s="20" t="str">
        <f>HYPERLINK("#'Data'!A8538", "Estimated percentage of total household expenditures spent on 'Other' (past month, excl. humanitarian aid) [Endline] broken down by households_consist...")</f>
        <v>Estimated percentage of total household expenditures spent on 'Other' (past month, excl. humanitarian aid) [Endline] broken down by households_consist...</v>
      </c>
      <c r="D126" s="19" t="s">
        <v>41</v>
      </c>
      <c r="E126" s="21">
        <v>1796</v>
      </c>
    </row>
    <row r="127" spans="2:5" hidden="1" x14ac:dyDescent="0.3">
      <c r="B127" s="19" t="s">
        <v>40</v>
      </c>
      <c r="C127" s="20" t="str">
        <f>HYPERLINK("#'Data'!A8609", "Estimated percentage of total household expenditures spent on 'Food' (past month, excl. humanitarian aid) [Endline] broken down by households_consisti...")</f>
        <v>Estimated percentage of total household expenditures spent on 'Food' (past month, excl. humanitarian aid) [Endline] broken down by households_consisti...</v>
      </c>
      <c r="D127" s="19" t="s">
        <v>41</v>
      </c>
      <c r="E127" s="21">
        <v>1811</v>
      </c>
    </row>
    <row r="128" spans="2:5" hidden="1" x14ac:dyDescent="0.3">
      <c r="B128" s="19" t="s">
        <v>40</v>
      </c>
      <c r="C128" s="20" t="str">
        <f>HYPERLINK("#'Data'!A8682",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128" s="19" t="s">
        <v>41</v>
      </c>
      <c r="E128" s="21">
        <v>1826</v>
      </c>
    </row>
    <row r="129" spans="2:5" x14ac:dyDescent="0.3">
      <c r="B129" s="19" t="s">
        <v>42</v>
      </c>
      <c r="C129" s="20" t="str">
        <f>HYPERLINK("#'Data'!A8770",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129" s="19" t="s">
        <v>43</v>
      </c>
      <c r="E129" s="21">
        <v>1844</v>
      </c>
    </row>
    <row r="130" spans="2:5" x14ac:dyDescent="0.3">
      <c r="B130" s="19" t="s">
        <v>42</v>
      </c>
      <c r="C130" s="20" t="str">
        <f>HYPERLINK("#'Data'!A8842",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130" s="19" t="s">
        <v>43</v>
      </c>
      <c r="E130" s="21">
        <v>1859</v>
      </c>
    </row>
    <row r="131" spans="2:5" x14ac:dyDescent="0.3">
      <c r="B131" s="19" t="s">
        <v>42</v>
      </c>
      <c r="C131" s="20" t="str">
        <f>HYPERLINK("#'Data'!A8915",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131" s="19" t="s">
        <v>43</v>
      </c>
      <c r="E131" s="21">
        <v>1874</v>
      </c>
    </row>
    <row r="132" spans="2:5" x14ac:dyDescent="0.3">
      <c r="B132" s="19" t="s">
        <v>42</v>
      </c>
      <c r="C132" s="20" t="str">
        <f>HYPERLINK("#'Data'!A8989",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132" s="19" t="s">
        <v>43</v>
      </c>
      <c r="E132" s="21">
        <v>1889</v>
      </c>
    </row>
    <row r="133" spans="2:5" x14ac:dyDescent="0.3">
      <c r="B133" s="19" t="s">
        <v>42</v>
      </c>
      <c r="C133" s="20" t="str">
        <f>HYPERLINK("#'Data'!A9061", "Estimated percentage of total household expenditures spent on 'Safe water' (past month, excl. humanitarian aid) [Endline] broken down by households_di...")</f>
        <v>Estimated percentage of total household expenditures spent on 'Safe water' (past month, excl. humanitarian aid) [Endline] broken down by households_di...</v>
      </c>
      <c r="D133" s="19" t="s">
        <v>43</v>
      </c>
      <c r="E133" s="21">
        <v>1904</v>
      </c>
    </row>
    <row r="134" spans="2:5" x14ac:dyDescent="0.3">
      <c r="B134" s="19" t="s">
        <v>42</v>
      </c>
      <c r="C134" s="20" t="str">
        <f>HYPERLINK("#'Data'!A9135", "Estimated percentage of total household expenditures spent on 'Utilities' (past month, excl. humanitarian aid) [Endline] broken down by households_dis...")</f>
        <v>Estimated percentage of total household expenditures spent on 'Utilities' (past month, excl. humanitarian aid) [Endline] broken down by households_dis...</v>
      </c>
      <c r="D134" s="19" t="s">
        <v>43</v>
      </c>
      <c r="E134" s="21">
        <v>1919</v>
      </c>
    </row>
    <row r="135" spans="2:5" x14ac:dyDescent="0.3">
      <c r="B135" s="19" t="s">
        <v>42</v>
      </c>
      <c r="C135" s="20" t="str">
        <f>HYPERLINK("#'Data'!A9206",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135" s="19" t="s">
        <v>43</v>
      </c>
      <c r="E135" s="21">
        <v>1934</v>
      </c>
    </row>
    <row r="136" spans="2:5" x14ac:dyDescent="0.3">
      <c r="B136" s="19" t="s">
        <v>42</v>
      </c>
      <c r="C136" s="20" t="str">
        <f>HYPERLINK("#'Data'!A9275", "Estimated percentage of total household expenditures spent on 'Rent' (past month, excl. humanitarian aid) [Endline] broken down by households_displace...")</f>
        <v>Estimated percentage of total household expenditures spent on 'Rent' (past month, excl. humanitarian aid) [Endline] broken down by households_displace...</v>
      </c>
      <c r="D136" s="19" t="s">
        <v>43</v>
      </c>
      <c r="E136" s="21">
        <v>1949</v>
      </c>
    </row>
    <row r="137" spans="2:5" x14ac:dyDescent="0.3">
      <c r="B137" s="19" t="s">
        <v>42</v>
      </c>
      <c r="C137" s="20" t="str">
        <f>HYPERLINK("#'Data'!A9341",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137" s="19" t="s">
        <v>43</v>
      </c>
      <c r="E137" s="21">
        <v>1964</v>
      </c>
    </row>
    <row r="138" spans="2:5" x14ac:dyDescent="0.3">
      <c r="B138" s="19" t="s">
        <v>42</v>
      </c>
      <c r="C138" s="20" t="str">
        <f>HYPERLINK("#'Data'!A9412", "Estimated percentage of total household expenditures spent on 'Medication' (past month, excl. humanitarian aid) [Endline] broken down by households_di...")</f>
        <v>Estimated percentage of total household expenditures spent on 'Medication' (past month, excl. humanitarian aid) [Endline] broken down by households_di...</v>
      </c>
      <c r="D138" s="19" t="s">
        <v>43</v>
      </c>
      <c r="E138" s="21">
        <v>1979</v>
      </c>
    </row>
    <row r="139" spans="2:5" x14ac:dyDescent="0.3">
      <c r="B139" s="19" t="s">
        <v>42</v>
      </c>
      <c r="C139" s="20" t="str">
        <f>HYPERLINK("#'Data'!A9480",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139" s="19" t="s">
        <v>43</v>
      </c>
      <c r="E139" s="21">
        <v>1994</v>
      </c>
    </row>
    <row r="140" spans="2:5" x14ac:dyDescent="0.3">
      <c r="B140" s="19" t="s">
        <v>42</v>
      </c>
      <c r="C140" s="20" t="str">
        <f>HYPERLINK("#'Data'!A9547",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140" s="19" t="s">
        <v>43</v>
      </c>
      <c r="E140" s="21">
        <v>2009</v>
      </c>
    </row>
    <row r="141" spans="2:5" x14ac:dyDescent="0.3">
      <c r="B141" s="19" t="s">
        <v>42</v>
      </c>
      <c r="C141" s="20" t="str">
        <f>HYPERLINK("#'Data'!A9616",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141" s="19" t="s">
        <v>43</v>
      </c>
      <c r="E141" s="21">
        <v>2024</v>
      </c>
    </row>
    <row r="142" spans="2:5" x14ac:dyDescent="0.3">
      <c r="B142" s="19" t="s">
        <v>42</v>
      </c>
      <c r="C142" s="20" t="str">
        <f>HYPERLINK("#'Data'!A9679",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142" s="19" t="s">
        <v>43</v>
      </c>
      <c r="E142" s="21">
        <v>2039</v>
      </c>
    </row>
    <row r="143" spans="2:5" x14ac:dyDescent="0.3">
      <c r="B143" s="19" t="s">
        <v>42</v>
      </c>
      <c r="C143" s="20" t="str">
        <f>HYPERLINK("#'Data'!A9747",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143" s="19" t="s">
        <v>43</v>
      </c>
      <c r="E143" s="21">
        <v>2054</v>
      </c>
    </row>
    <row r="144" spans="2:5" x14ac:dyDescent="0.3">
      <c r="B144" s="19" t="s">
        <v>42</v>
      </c>
      <c r="C144" s="20" t="str">
        <f>HYPERLINK("#'Data'!A9819",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144" s="19" t="s">
        <v>43</v>
      </c>
      <c r="E144" s="21">
        <v>2069</v>
      </c>
    </row>
    <row r="145" spans="2:5" x14ac:dyDescent="0.3">
      <c r="B145" s="19" t="s">
        <v>42</v>
      </c>
      <c r="C145" s="20" t="str">
        <f>HYPERLINK("#'Data'!A9890",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145" s="19" t="s">
        <v>43</v>
      </c>
      <c r="E145" s="21">
        <v>2084</v>
      </c>
    </row>
    <row r="146" spans="2:5" hidden="1" x14ac:dyDescent="0.3">
      <c r="B146" s="19" t="s">
        <v>40</v>
      </c>
      <c r="C146" s="20" t="str">
        <f>HYPERLINK("#'Data'!A50",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146" s="19" t="s">
        <v>43</v>
      </c>
      <c r="E146" s="21">
        <v>11</v>
      </c>
    </row>
    <row r="147" spans="2:5" hidden="1" x14ac:dyDescent="0.3">
      <c r="B147" s="19" t="s">
        <v>40</v>
      </c>
      <c r="C147" s="20" t="str">
        <f>HYPERLINK("#'Data'!A124",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147" s="19" t="s">
        <v>43</v>
      </c>
      <c r="E147" s="21">
        <v>26</v>
      </c>
    </row>
    <row r="148" spans="2:5" x14ac:dyDescent="0.3">
      <c r="B148" s="19" t="s">
        <v>42</v>
      </c>
      <c r="C148" s="20" t="str">
        <f>HYPERLINK("#'Data'!A203",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148" s="19" t="s">
        <v>44</v>
      </c>
      <c r="E148" s="21">
        <v>42</v>
      </c>
    </row>
    <row r="149" spans="2:5" x14ac:dyDescent="0.3">
      <c r="B149" s="19" t="s">
        <v>42</v>
      </c>
      <c r="C149" s="20" t="str">
        <f>HYPERLINK("#'Data'!A277",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149" s="19" t="s">
        <v>44</v>
      </c>
      <c r="E149" s="21">
        <v>57</v>
      </c>
    </row>
    <row r="150" spans="2:5" hidden="1" x14ac:dyDescent="0.3">
      <c r="B150" s="19" t="s">
        <v>40</v>
      </c>
      <c r="C150" s="20" t="str">
        <f>HYPERLINK("#'Data'!A346", "Sources of income or financial support  household received in the last month [Baseline] broken down by households_displaced_from_the_territory_of_acti...")</f>
        <v>Sources of income or financial support  household received in the last month [Baseline] broken down by households_displaced_from_the_territory_of_acti...</v>
      </c>
      <c r="D150" s="19" t="s">
        <v>43</v>
      </c>
      <c r="E150" s="21">
        <v>71</v>
      </c>
    </row>
    <row r="151" spans="2:5" x14ac:dyDescent="0.3">
      <c r="B151" s="19" t="s">
        <v>42</v>
      </c>
      <c r="C151" s="20" t="str">
        <f>HYPERLINK("#'Data'!A425",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151" s="19" t="s">
        <v>44</v>
      </c>
      <c r="E151" s="21">
        <v>87</v>
      </c>
    </row>
    <row r="152" spans="2:5" hidden="1" x14ac:dyDescent="0.3">
      <c r="B152" s="19" t="s">
        <v>40</v>
      </c>
      <c r="C152" s="20" t="str">
        <f>HYPERLINK("#'Data'!A494",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152" s="19" t="s">
        <v>43</v>
      </c>
      <c r="E152" s="21">
        <v>101</v>
      </c>
    </row>
    <row r="153" spans="2:5" hidden="1" x14ac:dyDescent="0.3">
      <c r="B153" s="19" t="s">
        <v>40</v>
      </c>
      <c r="C153" s="20" t="str">
        <f>HYPERLINK("#'Data'!A568",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153" s="19" t="s">
        <v>43</v>
      </c>
      <c r="E153" s="21">
        <v>116</v>
      </c>
    </row>
    <row r="154" spans="2:5" x14ac:dyDescent="0.3">
      <c r="B154" s="19" t="s">
        <v>42</v>
      </c>
      <c r="C154" s="20" t="str">
        <f>HYPERLINK("#'Data'!A647",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154" s="19" t="s">
        <v>44</v>
      </c>
      <c r="E154" s="21">
        <v>132</v>
      </c>
    </row>
    <row r="155" spans="2:5" x14ac:dyDescent="0.3">
      <c r="B155" s="19" t="s">
        <v>42</v>
      </c>
      <c r="C155" s="20" t="str">
        <f>HYPERLINK("#'Data'!A721",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155" s="19" t="s">
        <v>44</v>
      </c>
      <c r="E155" s="21">
        <v>147</v>
      </c>
    </row>
    <row r="156" spans="2:5" hidden="1" x14ac:dyDescent="0.3">
      <c r="B156" s="19" t="s">
        <v>40</v>
      </c>
      <c r="C156" s="20" t="str">
        <f>HYPERLINK("#'Data'!A790", "Household expenditures by category over the past 30 days [or month] in UAH [Baseline] broken down by households_displaced_from_the_territory_of_active...")</f>
        <v>Household expenditures by category over the past 30 days [or month] in UAH [Baseline] broken down by households_displaced_from_the_territory_of_active...</v>
      </c>
      <c r="D156" s="19" t="s">
        <v>43</v>
      </c>
      <c r="E156" s="21">
        <v>161</v>
      </c>
    </row>
    <row r="157" spans="2:5" x14ac:dyDescent="0.3">
      <c r="B157" s="19" t="s">
        <v>42</v>
      </c>
      <c r="C157" s="20" t="str">
        <f>HYPERLINK("#'Data'!A869", "Household expenditures by category over the past 30 days [or month] in UAH [Endline] broken down by households_evacuated_from_the_territory_of_active_...")</f>
        <v>Household expenditures by category over the past 30 days [or month] in UAH [Endline] broken down by households_evacuated_from_the_territory_of_active_...</v>
      </c>
      <c r="D157" s="19" t="s">
        <v>44</v>
      </c>
      <c r="E157" s="21">
        <v>177</v>
      </c>
    </row>
    <row r="158" spans="2:5" hidden="1" x14ac:dyDescent="0.3">
      <c r="B158" s="19" t="s">
        <v>40</v>
      </c>
      <c r="C158" s="20" t="str">
        <f>HYPERLINK("#'Data'!A938", "Household's ability to meet basic needs (self-defined and prioritized) [Baseline] broken down by households_displaced_from_the_territory_of_active_hos...")</f>
        <v>Household's ability to meet basic needs (self-defined and prioritized) [Baseline] broken down by households_displaced_from_the_territory_of_active_hos...</v>
      </c>
      <c r="D158" s="19" t="s">
        <v>43</v>
      </c>
      <c r="E158" s="21">
        <v>191</v>
      </c>
    </row>
    <row r="159" spans="2:5" x14ac:dyDescent="0.3">
      <c r="B159" s="19" t="s">
        <v>42</v>
      </c>
      <c r="C159" s="20" t="str">
        <f>HYPERLINK("#'Data'!A1017", "Household's ability to meet basic needs (self-defined and prioritized) [Endline] broken down by households_evacuated_from_the_territory_of_active_host...")</f>
        <v>Household's ability to meet basic needs (self-defined and prioritized) [Endline] broken down by households_evacuated_from_the_territory_of_active_host...</v>
      </c>
      <c r="D159" s="19" t="s">
        <v>44</v>
      </c>
      <c r="E159" s="21">
        <v>207</v>
      </c>
    </row>
    <row r="160" spans="2:5" hidden="1" x14ac:dyDescent="0.3">
      <c r="B160" s="19" t="s">
        <v>40</v>
      </c>
      <c r="C160" s="20" t="str">
        <f>HYPERLINK("#'Data'!A1086", "Basic needs the household is currently unable to fulfill (if not all are met) [Baseline] broken down by households_displaced_from_the_territory_of_act...")</f>
        <v>Basic needs the household is currently unable to fulfill (if not all are met) [Baseline] broken down by households_displaced_from_the_territory_of_act...</v>
      </c>
      <c r="D160" s="19" t="s">
        <v>43</v>
      </c>
      <c r="E160" s="21">
        <v>221</v>
      </c>
    </row>
    <row r="161" spans="2:5" x14ac:dyDescent="0.3">
      <c r="B161" s="19" t="s">
        <v>42</v>
      </c>
      <c r="C161" s="20" t="str">
        <f>HYPERLINK("#'Data'!A1165", "Basic needs the household is currently unable to fulfill (if not all are met) [Endline] broken down by households_evacuated_from_the_territory_of_acti...")</f>
        <v>Basic needs the household is currently unable to fulfill (if not all are met) [Endline] broken down by households_evacuated_from_the_territory_of_acti...</v>
      </c>
      <c r="D161" s="19" t="s">
        <v>44</v>
      </c>
      <c r="E161" s="21">
        <v>237</v>
      </c>
    </row>
    <row r="162" spans="2:5" hidden="1" x14ac:dyDescent="0.3">
      <c r="B162" s="19" t="s">
        <v>40</v>
      </c>
      <c r="C162" s="20" t="str">
        <f>HYPERLINK("#'Data'!A1234", "Coping strategies used in the last 30 days due to insufficient resources to meet basic needs [Baseline] broken down by households_displaced_from_the_t...")</f>
        <v>Coping strategies used in the last 30 days due to insufficient resources to meet basic needs [Baseline] broken down by households_displaced_from_the_t...</v>
      </c>
      <c r="D162" s="19" t="s">
        <v>43</v>
      </c>
      <c r="E162" s="21">
        <v>251</v>
      </c>
    </row>
    <row r="163" spans="2:5" x14ac:dyDescent="0.3">
      <c r="B163" s="19" t="s">
        <v>42</v>
      </c>
      <c r="C163" s="20" t="str">
        <f>HYPERLINK("#'Data'!A1313", "Coping strategies used in the last 30 days due to insufficient resources to meet basic needs [Endline] broken down by households_evacuated_from_the_te...")</f>
        <v>Coping strategies used in the last 30 days due to insufficient resources to meet basic needs [Endline] broken down by households_evacuated_from_the_te...</v>
      </c>
      <c r="D163" s="19" t="s">
        <v>44</v>
      </c>
      <c r="E163" s="21">
        <v>267</v>
      </c>
    </row>
    <row r="164" spans="2:5" x14ac:dyDescent="0.3">
      <c r="B164" s="19" t="s">
        <v>42</v>
      </c>
      <c r="C164" s="20" t="str">
        <f>HYPERLINK("#'Data'!A1387", "Coping strategies avoided in the past 3 months due to receipt of MPCA [Endline] broken down by households_evacuated_from_the_territory_of_active_hosti...")</f>
        <v>Coping strategies avoided in the past 3 months due to receipt of MPCA [Endline] broken down by households_evacuated_from_the_territory_of_active_hosti...</v>
      </c>
      <c r="D164" s="19" t="s">
        <v>44</v>
      </c>
      <c r="E164" s="21">
        <v>282</v>
      </c>
    </row>
    <row r="165" spans="2:5" hidden="1" x14ac:dyDescent="0.3">
      <c r="B165" s="19" t="s">
        <v>40</v>
      </c>
      <c r="C165" s="20" t="str">
        <f>HYPERLINK("#'Data'!A1456", "Household perception of relevance of forthcoming MPCA (3,600 UAH for 3 months per member) [Baseline] broken down by households_displaced_from_the_terr...")</f>
        <v>Household perception of relevance of forthcoming MPCA (3,600 UAH for 3 months per member) [Baseline] broken down by households_displaced_from_the_terr...</v>
      </c>
      <c r="D165" s="19" t="s">
        <v>43</v>
      </c>
      <c r="E165" s="21">
        <v>296</v>
      </c>
    </row>
    <row r="166" spans="2:5" hidden="1" x14ac:dyDescent="0.3">
      <c r="B166" s="19" t="s">
        <v>40</v>
      </c>
      <c r="C166" s="20" t="str">
        <f>HYPERLINK("#'Data'!A1530", "Estimated percentage of household needs met by upcoming MPCA (if partially appropriate) [Baseline] broken down by households_displaced_from_the_territ...")</f>
        <v>Estimated percentage of household needs met by upcoming MPCA (if partially appropriate) [Baseline] broken down by households_displaced_from_the_territ...</v>
      </c>
      <c r="D166" s="19" t="s">
        <v>43</v>
      </c>
      <c r="E166" s="21">
        <v>311</v>
      </c>
    </row>
    <row r="167" spans="2:5" x14ac:dyDescent="0.3">
      <c r="B167" s="19" t="s">
        <v>42</v>
      </c>
      <c r="C167" s="20" t="str">
        <f>HYPERLINK("#'Data'!A1609", "Household opinion on adequacy of received MPCA (3,600 UAH for 3 months per member) [Endline] broken down by households_evacuated_from_the_territory_of...")</f>
        <v>Household opinion on adequacy of received MPCA (3,600 UAH for 3 months per member) [Endline] broken down by households_evacuated_from_the_territory_of...</v>
      </c>
      <c r="D167" s="19" t="s">
        <v>44</v>
      </c>
      <c r="E167" s="21">
        <v>327</v>
      </c>
    </row>
    <row r="168" spans="2:5" x14ac:dyDescent="0.3">
      <c r="B168" s="19" t="s">
        <v>42</v>
      </c>
      <c r="C168" s="20" t="str">
        <f>HYPERLINK("#'Data'!A1683", "Estimated percentage of household needs met by received MPCA (if partially appropriate) [Endline] broken down by households_evacuated_from_the_territo...")</f>
        <v>Estimated percentage of household needs met by received MPCA (if partially appropriate) [Endline] broken down by households_evacuated_from_the_territo...</v>
      </c>
      <c r="D168" s="19" t="s">
        <v>44</v>
      </c>
      <c r="E168" s="21">
        <v>342</v>
      </c>
    </row>
    <row r="169" spans="2:5" x14ac:dyDescent="0.3">
      <c r="B169" s="19" t="s">
        <v>42</v>
      </c>
      <c r="C169" s="20" t="str">
        <f>HYPERLINK("#'Data'!A1769", "Whether the household has already spent the received MPCA [Endline] broken down by households_evacuated_from_the_territory_of_active_hostilities_withi...")</f>
        <v>Whether the household has already spent the received MPCA [Endline] broken down by households_evacuated_from_the_territory_of_active_hostilities_withi...</v>
      </c>
      <c r="D169" s="19" t="s">
        <v>44</v>
      </c>
      <c r="E169" s="21">
        <v>360</v>
      </c>
    </row>
    <row r="170" spans="2:5" x14ac:dyDescent="0.3">
      <c r="B170" s="19" t="s">
        <v>42</v>
      </c>
      <c r="C170" s="20" t="str">
        <f>HYPERLINK("#'Data'!A1843", "Number of weeks MPCA lasted if fully spent [Endline] broken down by households_evacuated_from_the_territory_of_active_hostilities_within_the_last_30_d...")</f>
        <v>Number of weeks MPCA lasted if fully spent [Endline] broken down by households_evacuated_from_the_territory_of_active_hostilities_within_the_last_30_d...</v>
      </c>
      <c r="D170" s="19" t="s">
        <v>44</v>
      </c>
      <c r="E170" s="21">
        <v>375</v>
      </c>
    </row>
    <row r="171" spans="2:5" x14ac:dyDescent="0.3">
      <c r="B171" s="19" t="s">
        <v>42</v>
      </c>
      <c r="C171" s="20" t="str">
        <f>HYPERLINK("#'Data'!A1917", "Percentage of MPCA spent to date (if partially used) [Endline] broken down by households_evacuated_from_the_territory_of_active_hostilities_within_the...")</f>
        <v>Percentage of MPCA spent to date (if partially used) [Endline] broken down by households_evacuated_from_the_territory_of_active_hostilities_within_the...</v>
      </c>
      <c r="D171" s="19" t="s">
        <v>44</v>
      </c>
      <c r="E171" s="21">
        <v>390</v>
      </c>
    </row>
    <row r="172" spans="2:5" x14ac:dyDescent="0.3">
      <c r="B172" s="19" t="s">
        <v>42</v>
      </c>
      <c r="C172" s="20" t="str">
        <f>HYPERLINK("#'Data'!A1991", "Extent to which received MPCA helped cover household needs during usage period [Endline] broken down by households_evacuated_from_the_territory_of_act...")</f>
        <v>Extent to which received MPCA helped cover household needs during usage period [Endline] broken down by households_evacuated_from_the_territory_of_act...</v>
      </c>
      <c r="D172" s="19" t="s">
        <v>44</v>
      </c>
      <c r="E172" s="21">
        <v>405</v>
      </c>
    </row>
    <row r="173" spans="2:5" x14ac:dyDescent="0.3">
      <c r="B173" s="19" t="s">
        <v>42</v>
      </c>
      <c r="C173" s="20" t="str">
        <f>HYPERLINK("#'Data'!A2065", "Percentage of needs covered by MPCA (if partially met) [Endline] broken down by households_evacuated_from_the_territory_of_active_hostilities_within_t...")</f>
        <v>Percentage of needs covered by MPCA (if partially met) [Endline] broken down by households_evacuated_from_the_territory_of_active_hostilities_within_t...</v>
      </c>
      <c r="D173" s="19" t="s">
        <v>44</v>
      </c>
      <c r="E173" s="21">
        <v>420</v>
      </c>
    </row>
    <row r="174" spans="2:5" hidden="1" x14ac:dyDescent="0.3">
      <c r="B174" s="19" t="s">
        <v>40</v>
      </c>
      <c r="C174" s="20" t="str">
        <f>HYPERLINK("#'Data'!A2134", "Priority needs requiring financial aid, with importance level [Baseline] broken down by households_displaced_from_the_territory_of_active_hostilities_...")</f>
        <v>Priority needs requiring financial aid, with importance level [Baseline] broken down by households_displaced_from_the_territory_of_active_hostilities_...</v>
      </c>
      <c r="D174" s="19" t="s">
        <v>43</v>
      </c>
      <c r="E174" s="21">
        <v>434</v>
      </c>
    </row>
    <row r="175" spans="2:5" hidden="1" x14ac:dyDescent="0.3">
      <c r="B175" s="19" t="s">
        <v>40</v>
      </c>
      <c r="C175" s="20" t="str">
        <f>HYPERLINK("#'Data'!A2206", "Importance rating for 'Other' priority need requiring financial assistance [Baseline] broken down by households_displaced_from_the_territory_of_active...")</f>
        <v>Importance rating for 'Other' priority need requiring financial assistance [Baseline] broken down by households_displaced_from_the_territory_of_active...</v>
      </c>
      <c r="D175" s="19" t="s">
        <v>43</v>
      </c>
      <c r="E175" s="21">
        <v>449</v>
      </c>
    </row>
    <row r="176" spans="2:5" hidden="1" x14ac:dyDescent="0.3">
      <c r="B176" s="19" t="s">
        <v>40</v>
      </c>
      <c r="C176" s="20" t="str">
        <f>HYPERLINK("#'Data'!A2280", "Importance rating for 'Food' priority need requiring financial assistance [Baseline] broken down by households_displaced_from_the_territory_of_active_...")</f>
        <v>Importance rating for 'Food' priority need requiring financial assistance [Baseline] broken down by households_displaced_from_the_territory_of_active_...</v>
      </c>
      <c r="D176" s="19" t="s">
        <v>43</v>
      </c>
      <c r="E176" s="21">
        <v>464</v>
      </c>
    </row>
    <row r="177" spans="2:5" hidden="1" x14ac:dyDescent="0.3">
      <c r="B177" s="19" t="s">
        <v>40</v>
      </c>
      <c r="C177" s="20" t="str">
        <f>HYPERLINK("#'Data'!A2352", "Importance rating for 'Personal hygiene' priority need requiring financial assistance [Baseline] broken down by households_displaced_from_the_territor...")</f>
        <v>Importance rating for 'Personal hygiene' priority need requiring financial assistance [Baseline] broken down by households_displaced_from_the_territor...</v>
      </c>
      <c r="D177" s="19" t="s">
        <v>43</v>
      </c>
      <c r="E177" s="21">
        <v>479</v>
      </c>
    </row>
    <row r="178" spans="2:5" hidden="1" x14ac:dyDescent="0.3">
      <c r="B178" s="19" t="s">
        <v>40</v>
      </c>
      <c r="C178" s="20" t="str">
        <f>HYPERLINK("#'Data'!A2420", "Importance rating for 'Cleaning items' priority need requiring financial assistance [Baseline] broken down by households_displaced_from_the_territory_...")</f>
        <v>Importance rating for 'Cleaning items' priority need requiring financial assistance [Baseline] broken down by households_displaced_from_the_territory_...</v>
      </c>
      <c r="D178" s="19" t="s">
        <v>43</v>
      </c>
      <c r="E178" s="21">
        <v>494</v>
      </c>
    </row>
    <row r="179" spans="2:5" hidden="1" x14ac:dyDescent="0.3">
      <c r="B179" s="19" t="s">
        <v>40</v>
      </c>
      <c r="C179" s="20" t="str">
        <f>HYPERLINK("#'Data'!A2485", "Importance rating for 'Non-food items' priority need requiring financial assistance [Baseline] broken down by households_displaced_from_the_territory_...")</f>
        <v>Importance rating for 'Non-food items' priority need requiring financial assistance [Baseline] broken down by households_displaced_from_the_territory_...</v>
      </c>
      <c r="D179" s="19" t="s">
        <v>43</v>
      </c>
      <c r="E179" s="21">
        <v>509</v>
      </c>
    </row>
    <row r="180" spans="2:5" hidden="1" x14ac:dyDescent="0.3">
      <c r="B180" s="19" t="s">
        <v>40</v>
      </c>
      <c r="C180" s="20" t="str">
        <f>HYPERLINK("#'Data'!A2555", "Importance rating for 'Clothing and shoes' priority need requiring financial assistance [Baseline] broken down by households_displaced_from_the_territ...")</f>
        <v>Importance rating for 'Clothing and shoes' priority need requiring financial assistance [Baseline] broken down by households_displaced_from_the_territ...</v>
      </c>
      <c r="D180" s="19" t="s">
        <v>43</v>
      </c>
      <c r="E180" s="21">
        <v>524</v>
      </c>
    </row>
    <row r="181" spans="2:5" hidden="1" x14ac:dyDescent="0.3">
      <c r="B181" s="19" t="s">
        <v>40</v>
      </c>
      <c r="C181" s="20" t="str">
        <f>HYPERLINK("#'Data'!A2628", "Importance rating for 'Heating fuel' priority need requiring financial assistance [Baseline] broken down by households_displaced_from_the_territory_of...")</f>
        <v>Importance rating for 'Heating fuel' priority need requiring financial assistance [Baseline] broken down by households_displaced_from_the_territory_of...</v>
      </c>
      <c r="D181" s="19" t="s">
        <v>43</v>
      </c>
      <c r="E181" s="21">
        <v>539</v>
      </c>
    </row>
    <row r="182" spans="2:5" hidden="1" x14ac:dyDescent="0.3">
      <c r="B182" s="19" t="s">
        <v>40</v>
      </c>
      <c r="C182" s="20" t="str">
        <f>HYPERLINK("#'Data'!A2694", "Importance rating for 'Safe water' priority need requiring financial assistance [Baseline] broken down by households_displaced_from_the_territory_of_a...")</f>
        <v>Importance rating for 'Safe water' priority need requiring financial assistance [Baseline] broken down by households_displaced_from_the_territory_of_a...</v>
      </c>
      <c r="D182" s="19" t="s">
        <v>43</v>
      </c>
      <c r="E182" s="21">
        <v>554</v>
      </c>
    </row>
    <row r="183" spans="2:5" hidden="1" x14ac:dyDescent="0.3">
      <c r="B183" s="19" t="s">
        <v>40</v>
      </c>
      <c r="C183" s="20" t="str">
        <f>HYPERLINK("#'Data'!A2762", "Importance rating for 'Utilities' priority need requiring financial assistance [Baseline] broken down by households_displaced_from_the_territory_of_ac...")</f>
        <v>Importance rating for 'Utilities' priority need requiring financial assistance [Baseline] broken down by households_displaced_from_the_territory_of_ac...</v>
      </c>
      <c r="D183" s="19" t="s">
        <v>43</v>
      </c>
      <c r="E183" s="21">
        <v>569</v>
      </c>
    </row>
    <row r="184" spans="2:5" hidden="1" x14ac:dyDescent="0.3">
      <c r="B184" s="19" t="s">
        <v>40</v>
      </c>
      <c r="C184" s="20" t="str">
        <f>HYPERLINK("#'Data'!A2828", "Importance rating for 'Water supply' priority need requiring financial assistance [Baseline] broken down by households_displaced_from_the_territory_of...")</f>
        <v>Importance rating for 'Water supply' priority need requiring financial assistance [Baseline] broken down by households_displaced_from_the_territory_of...</v>
      </c>
      <c r="D184" s="19" t="s">
        <v>43</v>
      </c>
      <c r="E184" s="21">
        <v>584</v>
      </c>
    </row>
    <row r="185" spans="2:5" hidden="1" x14ac:dyDescent="0.3">
      <c r="B185" s="19" t="s">
        <v>40</v>
      </c>
      <c r="C185" s="20" t="str">
        <f>HYPERLINK("#'Data'!A2890", "Importance rating for 'Rent' priority need requiring financial assistance [Baseline] broken down by households_displaced_from_the_territory_of_active_...")</f>
        <v>Importance rating for 'Rent' priority need requiring financial assistance [Baseline] broken down by households_displaced_from_the_territory_of_active_...</v>
      </c>
      <c r="D185" s="19" t="s">
        <v>43</v>
      </c>
      <c r="E185" s="21">
        <v>599</v>
      </c>
    </row>
    <row r="186" spans="2:5" hidden="1" x14ac:dyDescent="0.3">
      <c r="B186" s="19" t="s">
        <v>40</v>
      </c>
      <c r="C186" s="20" t="str">
        <f>HYPERLINK("#'Data'!A2962", "Importance rating for 'Medication' priority need requiring financial assistance [Baseline] broken down by households_displaced_from_the_territory_of_a...")</f>
        <v>Importance rating for 'Medication' priority need requiring financial assistance [Baseline] broken down by households_displaced_from_the_territory_of_a...</v>
      </c>
      <c r="D186" s="19" t="s">
        <v>43</v>
      </c>
      <c r="E186" s="21">
        <v>614</v>
      </c>
    </row>
    <row r="187" spans="2:5" hidden="1" x14ac:dyDescent="0.3">
      <c r="B187" s="19" t="s">
        <v>40</v>
      </c>
      <c r="C187" s="20" t="str">
        <f>HYPERLINK("#'Data'!A3032", "Importance rating for 'Agricultural inputs' priority need requiring financial assistance [Baseline] broken down by households_displaced_from_the_terri...")</f>
        <v>Importance rating for 'Agricultural inputs' priority need requiring financial assistance [Baseline] broken down by households_displaced_from_the_terri...</v>
      </c>
      <c r="D187" s="19" t="s">
        <v>43</v>
      </c>
      <c r="E187" s="21">
        <v>629</v>
      </c>
    </row>
    <row r="188" spans="2:5" hidden="1" x14ac:dyDescent="0.3">
      <c r="B188" s="19" t="s">
        <v>40</v>
      </c>
      <c r="C188" s="20" t="str">
        <f>HYPERLINK("#'Data'!A3101", "Importance rating for 'Shelter maintenance' priority need requiring financial assistance [Baseline] broken down by households_displaced_from_the_terri...")</f>
        <v>Importance rating for 'Shelter maintenance' priority need requiring financial assistance [Baseline] broken down by households_displaced_from_the_terri...</v>
      </c>
      <c r="D188" s="19" t="s">
        <v>43</v>
      </c>
      <c r="E188" s="21">
        <v>644</v>
      </c>
    </row>
    <row r="189" spans="2:5" hidden="1" x14ac:dyDescent="0.3">
      <c r="B189" s="19" t="s">
        <v>40</v>
      </c>
      <c r="C189" s="20" t="str">
        <f>HYPERLINK("#'Data'!A3168", "Importance rating for 'Transportation' priority need requiring financial assistance [Baseline] broken down by households_displaced_from_the_territory_...")</f>
        <v>Importance rating for 'Transportation' priority need requiring financial assistance [Baseline] broken down by households_displaced_from_the_territory_...</v>
      </c>
      <c r="D189" s="19" t="s">
        <v>43</v>
      </c>
      <c r="E189" s="21">
        <v>659</v>
      </c>
    </row>
    <row r="190" spans="2:5" hidden="1" x14ac:dyDescent="0.3">
      <c r="B190" s="19" t="s">
        <v>40</v>
      </c>
      <c r="C190" s="20" t="str">
        <f>HYPERLINK("#'Data'!A3230", "Importance rating for 'Communication' priority need requiring financial assistance [Baseline] broken down by households_displaced_from_the_territory_o...")</f>
        <v>Importance rating for 'Communication' priority need requiring financial assistance [Baseline] broken down by households_displaced_from_the_territory_o...</v>
      </c>
      <c r="D190" s="19" t="s">
        <v>43</v>
      </c>
      <c r="E190" s="21">
        <v>674</v>
      </c>
    </row>
    <row r="191" spans="2:5" hidden="1" x14ac:dyDescent="0.3">
      <c r="B191" s="19" t="s">
        <v>40</v>
      </c>
      <c r="C191" s="20" t="str">
        <f>HYPERLINK("#'Data'!A3295", "Importance rating for 'Education materials' priority need requiring financial assistance [Baseline] broken down by households_displaced_from_the_terri...")</f>
        <v>Importance rating for 'Education materials' priority need requiring financial assistance [Baseline] broken down by households_displaced_from_the_terri...</v>
      </c>
      <c r="D191" s="19" t="s">
        <v>43</v>
      </c>
      <c r="E191" s="21">
        <v>689</v>
      </c>
    </row>
    <row r="192" spans="2:5" hidden="1" x14ac:dyDescent="0.3">
      <c r="B192" s="19" t="s">
        <v>40</v>
      </c>
      <c r="C192" s="20" t="str">
        <f>HYPERLINK("#'Data'!A3368", "Household needs met exclusively due to MPCA and their fulfillment level [Endline] broken down by households_displaced_from_the_territory_of_active_hos...")</f>
        <v>Household needs met exclusively due to MPCA and their fulfillment level [Endline] broken down by households_displaced_from_the_territory_of_active_hos...</v>
      </c>
      <c r="D192" s="19" t="s">
        <v>43</v>
      </c>
      <c r="E192" s="21">
        <v>704</v>
      </c>
    </row>
    <row r="193" spans="2:5" hidden="1" x14ac:dyDescent="0.3">
      <c r="B193" s="19" t="s">
        <v>40</v>
      </c>
      <c r="C193" s="20" t="str">
        <f>HYPERLINK("#'Data'!A3440", "Fulfillment level of 'Other' need met exclusively due to MPCA [Endline] broken down by households_displaced_from_the_territory_of_active_hostilities_a...")</f>
        <v>Fulfillment level of 'Other' need met exclusively due to MPCA [Endline] broken down by households_displaced_from_the_territory_of_active_hostilities_a...</v>
      </c>
      <c r="D193" s="19" t="s">
        <v>43</v>
      </c>
      <c r="E193" s="21">
        <v>719</v>
      </c>
    </row>
    <row r="194" spans="2:5" hidden="1" x14ac:dyDescent="0.3">
      <c r="B194" s="19" t="s">
        <v>40</v>
      </c>
      <c r="C194" s="20" t="str">
        <f>HYPERLINK("#'Data'!A3513", "Fulfillment level of 'Food' need met exclusively due to MPCA [Endline] broken down by households_displaced_from_the_territory_of_active_hostilities_an...")</f>
        <v>Fulfillment level of 'Food' need met exclusively due to MPCA [Endline] broken down by households_displaced_from_the_territory_of_active_hostilities_an...</v>
      </c>
      <c r="D194" s="19" t="s">
        <v>43</v>
      </c>
      <c r="E194" s="21">
        <v>734</v>
      </c>
    </row>
    <row r="195" spans="2:5" x14ac:dyDescent="0.3">
      <c r="B195" s="19" t="s">
        <v>42</v>
      </c>
      <c r="C195" s="20" t="str">
        <f>HYPERLINK("#'Data'!A3589", "Fulfillment level of 'Personal hygiene' need met exclusively due to MPCA [Endline] broken down by households_evacuated_from_the_territory_of_active_ho...")</f>
        <v>Fulfillment level of 'Personal hygiene' need met exclusively due to MPCA [Endline] broken down by households_evacuated_from_the_territory_of_active_ho...</v>
      </c>
      <c r="D195" s="19" t="s">
        <v>44</v>
      </c>
      <c r="E195" s="21">
        <v>750</v>
      </c>
    </row>
    <row r="196" spans="2:5" x14ac:dyDescent="0.3">
      <c r="B196" s="19" t="s">
        <v>42</v>
      </c>
      <c r="C196" s="20" t="str">
        <f>HYPERLINK("#'Data'!A3660", "Fulfillment level of 'Cleaning items' need met exclusively due to MPCA [Endline] broken down by households_evacuated_from_the_territory_of_active_host...")</f>
        <v>Fulfillment level of 'Cleaning items' need met exclusively due to MPCA [Endline] broken down by households_evacuated_from_the_territory_of_active_host...</v>
      </c>
      <c r="D196" s="19" t="s">
        <v>44</v>
      </c>
      <c r="E196" s="21">
        <v>765</v>
      </c>
    </row>
    <row r="197" spans="2:5" x14ac:dyDescent="0.3">
      <c r="B197" s="19" t="s">
        <v>42</v>
      </c>
      <c r="C197" s="20" t="str">
        <f>HYPERLINK("#'Data'!A3730", "Fulfillment level of 'Non-food items' need met exclusively due to MPCA [Endline] broken down by households_evacuated_from_the_territory_of_active_host...")</f>
        <v>Fulfillment level of 'Non-food items' need met exclusively due to MPCA [Endline] broken down by households_evacuated_from_the_territory_of_active_host...</v>
      </c>
      <c r="D197" s="19" t="s">
        <v>44</v>
      </c>
      <c r="E197" s="21">
        <v>780</v>
      </c>
    </row>
    <row r="198" spans="2:5" x14ac:dyDescent="0.3">
      <c r="B198" s="19" t="s">
        <v>42</v>
      </c>
      <c r="C198" s="20" t="str">
        <f>HYPERLINK("#'Data'!A3803", "Fulfillment level of 'Clothing and shoes' need met exclusively due to MPCA [Endline] broken down by households_evacuated_from_the_territory_of_active_...")</f>
        <v>Fulfillment level of 'Clothing and shoes' need met exclusively due to MPCA [Endline] broken down by households_evacuated_from_the_territory_of_active_...</v>
      </c>
      <c r="D198" s="19" t="s">
        <v>44</v>
      </c>
      <c r="E198" s="21">
        <v>795</v>
      </c>
    </row>
    <row r="199" spans="2:5" x14ac:dyDescent="0.3">
      <c r="B199" s="19" t="s">
        <v>42</v>
      </c>
      <c r="C199" s="20" t="str">
        <f>HYPERLINK("#'Data'!A3877", "Fulfillment level of 'Heating fuel' need met exclusively due to MPCA [Endline] broken down by households_evacuated_from_the_territory_of_active_hostil...")</f>
        <v>Fulfillment level of 'Heating fuel' need met exclusively due to MPCA [Endline] broken down by households_evacuated_from_the_territory_of_active_hostil...</v>
      </c>
      <c r="D199" s="19" t="s">
        <v>44</v>
      </c>
      <c r="E199" s="21">
        <v>810</v>
      </c>
    </row>
    <row r="200" spans="2:5" x14ac:dyDescent="0.3">
      <c r="B200" s="19" t="s">
        <v>42</v>
      </c>
      <c r="C200" s="20" t="str">
        <f>HYPERLINK("#'Data'!A3943", "Fulfillment level of 'Safe water' need met exclusively due to MPCA [Endline] broken down by households_evacuated_from_the_territory_of_active_hostilit...")</f>
        <v>Fulfillment level of 'Safe water' need met exclusively due to MPCA [Endline] broken down by households_evacuated_from_the_territory_of_active_hostilit...</v>
      </c>
      <c r="D200" s="19" t="s">
        <v>44</v>
      </c>
      <c r="E200" s="21">
        <v>825</v>
      </c>
    </row>
    <row r="201" spans="2:5" x14ac:dyDescent="0.3">
      <c r="B201" s="19" t="s">
        <v>42</v>
      </c>
      <c r="C201" s="20" t="str">
        <f>HYPERLINK("#'Data'!A4014", "Fulfillment level of 'Utilities' need met exclusively due to MPCA [Endline] broken down by households_evacuated_from_the_territory_of_active_hostiliti...")</f>
        <v>Fulfillment level of 'Utilities' need met exclusively due to MPCA [Endline] broken down by households_evacuated_from_the_territory_of_active_hostiliti...</v>
      </c>
      <c r="D201" s="19" t="s">
        <v>44</v>
      </c>
      <c r="E201" s="21">
        <v>840</v>
      </c>
    </row>
    <row r="202" spans="2:5" x14ac:dyDescent="0.3">
      <c r="B202" s="19" t="s">
        <v>42</v>
      </c>
      <c r="C202" s="20" t="str">
        <f>HYPERLINK("#'Data'!A4083", "Fulfillment level of 'Water supply' need met exclusively due to MPCA [Endline] broken down by households_evacuated_from_the_territory_of_active_hostil...")</f>
        <v>Fulfillment level of 'Water supply' need met exclusively due to MPCA [Endline] broken down by households_evacuated_from_the_territory_of_active_hostil...</v>
      </c>
      <c r="D202" s="19" t="s">
        <v>44</v>
      </c>
      <c r="E202" s="21">
        <v>855</v>
      </c>
    </row>
    <row r="203" spans="2:5" x14ac:dyDescent="0.3">
      <c r="B203" s="19" t="s">
        <v>42</v>
      </c>
      <c r="C203" s="20" t="str">
        <f>HYPERLINK("#'Data'!A4153", "Fulfillment level of 'Rent' need met exclusively due to MPCA [Endline] broken down by households_evacuated_from_the_territory_of_active_hostilities_wi...")</f>
        <v>Fulfillment level of 'Rent' need met exclusively due to MPCA [Endline] broken down by households_evacuated_from_the_territory_of_active_hostilities_wi...</v>
      </c>
      <c r="D203" s="19" t="s">
        <v>44</v>
      </c>
      <c r="E203" s="21">
        <v>870</v>
      </c>
    </row>
    <row r="204" spans="2:5" x14ac:dyDescent="0.3">
      <c r="B204" s="19" t="s">
        <v>42</v>
      </c>
      <c r="C204" s="20" t="str">
        <f>HYPERLINK("#'Data'!A4217", "Fulfillment level of 'Assistive products' need met exclusively due to MPCA [Endline] broken down by households_evacuated_from_the_territory_of_active_...")</f>
        <v>Fulfillment level of 'Assistive products' need met exclusively due to MPCA [Endline] broken down by households_evacuated_from_the_territory_of_active_...</v>
      </c>
      <c r="D204" s="19" t="s">
        <v>44</v>
      </c>
      <c r="E204" s="21">
        <v>885</v>
      </c>
    </row>
    <row r="205" spans="2:5" x14ac:dyDescent="0.3">
      <c r="B205" s="19" t="s">
        <v>42</v>
      </c>
      <c r="C205" s="20" t="str">
        <f>HYPERLINK("#'Data'!A4286", "Fulfillment level of 'Medication' need met exclusively due to MPCA [Endline] broken down by households_evacuated_from_the_territory_of_active_hostilit...")</f>
        <v>Fulfillment level of 'Medication' need met exclusively due to MPCA [Endline] broken down by households_evacuated_from_the_territory_of_active_hostilit...</v>
      </c>
      <c r="D205" s="19" t="s">
        <v>44</v>
      </c>
      <c r="E205" s="21">
        <v>900</v>
      </c>
    </row>
    <row r="206" spans="2:5" x14ac:dyDescent="0.3">
      <c r="B206" s="19" t="s">
        <v>42</v>
      </c>
      <c r="C206" s="20" t="str">
        <f>HYPERLINK("#'Data'!A4353", "Fulfillment level of 'Agricultural inputs' need met exclusively due to MPCA [Endline] broken down by households_evacuated_from_the_territory_of_active...")</f>
        <v>Fulfillment level of 'Agricultural inputs' need met exclusively due to MPCA [Endline] broken down by households_evacuated_from_the_territory_of_active...</v>
      </c>
      <c r="D206" s="19" t="s">
        <v>44</v>
      </c>
      <c r="E206" s="21">
        <v>915</v>
      </c>
    </row>
    <row r="207" spans="2:5" x14ac:dyDescent="0.3">
      <c r="B207" s="19" t="s">
        <v>42</v>
      </c>
      <c r="C207" s="20" t="str">
        <f>HYPERLINK("#'Data'!A4424", "Fulfillment level of 'Shelter maintenance' need met exclusively due to MPCA [Endline] broken down by households_evacuated_from_the_territory_of_active...")</f>
        <v>Fulfillment level of 'Shelter maintenance' need met exclusively due to MPCA [Endline] broken down by households_evacuated_from_the_territory_of_active...</v>
      </c>
      <c r="D207" s="19" t="s">
        <v>44</v>
      </c>
      <c r="E207" s="21">
        <v>930</v>
      </c>
    </row>
    <row r="208" spans="2:5" x14ac:dyDescent="0.3">
      <c r="B208" s="19" t="s">
        <v>42</v>
      </c>
      <c r="C208" s="20" t="str">
        <f>HYPERLINK("#'Data'!A4494", "Fulfillment level of 'Future savings' need met exclusively due to MPCA [Endline] broken down by households_evacuated_from_the_territory_of_active_host...")</f>
        <v>Fulfillment level of 'Future savings' need met exclusively due to MPCA [Endline] broken down by households_evacuated_from_the_territory_of_active_host...</v>
      </c>
      <c r="D208" s="19" t="s">
        <v>44</v>
      </c>
      <c r="E208" s="21">
        <v>945</v>
      </c>
    </row>
    <row r="209" spans="2:5" x14ac:dyDescent="0.3">
      <c r="B209" s="19" t="s">
        <v>42</v>
      </c>
      <c r="C209" s="20" t="str">
        <f>HYPERLINK("#'Data'!A4560", "Fulfillment level of 'Shared with others' need met exclusively due to MPCA [Endline] broken down by households_evacuated_from_the_territory_of_active_...")</f>
        <v>Fulfillment level of 'Shared with others' need met exclusively due to MPCA [Endline] broken down by households_evacuated_from_the_territory_of_active_...</v>
      </c>
      <c r="D209" s="19" t="s">
        <v>44</v>
      </c>
      <c r="E209" s="21">
        <v>960</v>
      </c>
    </row>
    <row r="210" spans="2:5" x14ac:dyDescent="0.3">
      <c r="B210" s="19" t="s">
        <v>42</v>
      </c>
      <c r="C210" s="20" t="str">
        <f>HYPERLINK("#'Data'!A4630", "Fulfillment level of 'Transportation' need met exclusively due to MPCA [Endline] broken down by households_evacuated_from_the_territory_of_active_host...")</f>
        <v>Fulfillment level of 'Transportation' need met exclusively due to MPCA [Endline] broken down by households_evacuated_from_the_territory_of_active_host...</v>
      </c>
      <c r="D210" s="19" t="s">
        <v>44</v>
      </c>
      <c r="E210" s="21">
        <v>975</v>
      </c>
    </row>
    <row r="211" spans="2:5" x14ac:dyDescent="0.3">
      <c r="B211" s="19" t="s">
        <v>42</v>
      </c>
      <c r="C211" s="20" t="str">
        <f>HYPERLINK("#'Data'!A4701", "Fulfillment level of 'Communication' need met exclusively due to MPCA [Endline] broken down by households_evacuated_from_the_territory_of_active_hosti...")</f>
        <v>Fulfillment level of 'Communication' need met exclusively due to MPCA [Endline] broken down by households_evacuated_from_the_territory_of_active_hosti...</v>
      </c>
      <c r="D211" s="19" t="s">
        <v>44</v>
      </c>
      <c r="E211" s="21">
        <v>990</v>
      </c>
    </row>
    <row r="212" spans="2:5" x14ac:dyDescent="0.3">
      <c r="B212" s="19" t="s">
        <v>42</v>
      </c>
      <c r="C212" s="20" t="str">
        <f>HYPERLINK("#'Data'!A4771", "Fulfillment level of 'Education materials' need met exclusively due to MPCA [Endline] broken down by households_evacuated_from_the_territory_of_active...")</f>
        <v>Fulfillment level of 'Education materials' need met exclusively due to MPCA [Endline] broken down by households_evacuated_from_the_territory_of_active...</v>
      </c>
      <c r="D212" s="19" t="s">
        <v>44</v>
      </c>
      <c r="E212" s="21">
        <v>1005</v>
      </c>
    </row>
    <row r="213" spans="2:5" x14ac:dyDescent="0.3">
      <c r="B213" s="19" t="s">
        <v>42</v>
      </c>
      <c r="C213" s="20" t="str">
        <f>HYPERLINK("#'Data'!A4845", "Estimated percentage of MPCA spent on each category of goods and services [Endline] broken down by households_evacuated_from_the_territory_of_active_h...")</f>
        <v>Estimated percentage of MPCA spent on each category of goods and services [Endline] broken down by households_evacuated_from_the_territory_of_active_h...</v>
      </c>
      <c r="D213" s="19" t="s">
        <v>44</v>
      </c>
      <c r="E213" s="21">
        <v>1020</v>
      </c>
    </row>
    <row r="214" spans="2:5" x14ac:dyDescent="0.3">
      <c r="B214" s="19" t="s">
        <v>42</v>
      </c>
      <c r="C214" s="20" t="str">
        <f>HYPERLINK("#'Data'!A4917", "Estimated percentage of MPCA spent on 'Other' category [Endline] broken down by households_evacuated_from_the_territory_of_active_hostilities_within_t...")</f>
        <v>Estimated percentage of MPCA spent on 'Other' category [Endline] broken down by households_evacuated_from_the_territory_of_active_hostilities_within_t...</v>
      </c>
      <c r="D214" s="19" t="s">
        <v>44</v>
      </c>
      <c r="E214" s="21">
        <v>1035</v>
      </c>
    </row>
    <row r="215" spans="2:5" x14ac:dyDescent="0.3">
      <c r="B215" s="19" t="s">
        <v>42</v>
      </c>
      <c r="C215" s="20" t="str">
        <f>HYPERLINK("#'Data'!A4990", "Estimated percentage of MPCA spent on 'Food' category [Endline] broken down by households_evacuated_from_the_territory_of_active_hostilities_within_th...")</f>
        <v>Estimated percentage of MPCA spent on 'Food' category [Endline] broken down by households_evacuated_from_the_territory_of_active_hostilities_within_th...</v>
      </c>
      <c r="D215" s="19" t="s">
        <v>44</v>
      </c>
      <c r="E215" s="21">
        <v>1050</v>
      </c>
    </row>
    <row r="216" spans="2:5" x14ac:dyDescent="0.3">
      <c r="B216" s="19" t="s">
        <v>42</v>
      </c>
      <c r="C216" s="20" t="str">
        <f>HYPERLINK("#'Data'!A5061", "Estimated percentage of MPCA spent on 'Personal hygiene' category [Endline] broken down by households_evacuated_from_the_territory_of_active_hostiliti...")</f>
        <v>Estimated percentage of MPCA spent on 'Personal hygiene' category [Endline] broken down by households_evacuated_from_the_territory_of_active_hostiliti...</v>
      </c>
      <c r="D216" s="19" t="s">
        <v>44</v>
      </c>
      <c r="E216" s="21">
        <v>1065</v>
      </c>
    </row>
    <row r="217" spans="2:5" x14ac:dyDescent="0.3">
      <c r="B217" s="19" t="s">
        <v>42</v>
      </c>
      <c r="C217" s="20" t="str">
        <f>HYPERLINK("#'Data'!A5133", "Estimated percentage of MPCA spent on 'Cleaning items' category [Endline] broken down by households_evacuated_from_the_territory_of_active_hostilities...")</f>
        <v>Estimated percentage of MPCA spent on 'Cleaning items' category [Endline] broken down by households_evacuated_from_the_territory_of_active_hostilities...</v>
      </c>
      <c r="D217" s="19" t="s">
        <v>44</v>
      </c>
      <c r="E217" s="21">
        <v>1080</v>
      </c>
    </row>
    <row r="218" spans="2:5" x14ac:dyDescent="0.3">
      <c r="B218" s="19" t="s">
        <v>42</v>
      </c>
      <c r="C218" s="20" t="str">
        <f>HYPERLINK("#'Data'!A5204", "Estimated percentage of MPCA spent on 'Non-food items' category [Endline] broken down by households_evacuated_from_the_territory_of_active_hostilities...")</f>
        <v>Estimated percentage of MPCA spent on 'Non-food items' category [Endline] broken down by households_evacuated_from_the_territory_of_active_hostilities...</v>
      </c>
      <c r="D218" s="19" t="s">
        <v>44</v>
      </c>
      <c r="E218" s="21">
        <v>1095</v>
      </c>
    </row>
    <row r="219" spans="2:5" x14ac:dyDescent="0.3">
      <c r="B219" s="19" t="s">
        <v>42</v>
      </c>
      <c r="C219" s="20" t="str">
        <f>HYPERLINK("#'Data'!A5277", "Estimated percentage of MPCA spent on 'Clothing and shoes' category [Endline] broken down by households_evacuated_from_the_territory_of_active_hostili...")</f>
        <v>Estimated percentage of MPCA spent on 'Clothing and shoes' category [Endline] broken down by households_evacuated_from_the_territory_of_active_hostili...</v>
      </c>
      <c r="D219" s="19" t="s">
        <v>44</v>
      </c>
      <c r="E219" s="21">
        <v>1110</v>
      </c>
    </row>
    <row r="220" spans="2:5" x14ac:dyDescent="0.3">
      <c r="B220" s="19" t="s">
        <v>42</v>
      </c>
      <c r="C220" s="20" t="str">
        <f>HYPERLINK("#'Data'!A5351", "Estimated percentage of MPCA spent on 'Heating fuel' category [Endline] broken down by households_evacuated_from_the_territory_of_active_hostilities_w...")</f>
        <v>Estimated percentage of MPCA spent on 'Heating fuel' category [Endline] broken down by households_evacuated_from_the_territory_of_active_hostilities_w...</v>
      </c>
      <c r="D220" s="19" t="s">
        <v>44</v>
      </c>
      <c r="E220" s="21">
        <v>1125</v>
      </c>
    </row>
    <row r="221" spans="2:5" x14ac:dyDescent="0.3">
      <c r="B221" s="19" t="s">
        <v>42</v>
      </c>
      <c r="C221" s="20" t="str">
        <f>HYPERLINK("#'Data'!A5417", "Estimated percentage of MPCA spent on 'Safe water' category [Endline] broken down by households_evacuated_from_the_territory_of_active_hostilities_wit...")</f>
        <v>Estimated percentage of MPCA spent on 'Safe water' category [Endline] broken down by households_evacuated_from_the_territory_of_active_hostilities_wit...</v>
      </c>
      <c r="D221" s="19" t="s">
        <v>44</v>
      </c>
      <c r="E221" s="21">
        <v>1140</v>
      </c>
    </row>
    <row r="222" spans="2:5" x14ac:dyDescent="0.3">
      <c r="B222" s="19" t="s">
        <v>42</v>
      </c>
      <c r="C222" s="20" t="str">
        <f>HYPERLINK("#'Data'!A5488", "Estimated percentage of MPCA spent on 'Utilities' category [Endline] broken down by households_evacuated_from_the_territory_of_active_hostilities_with...")</f>
        <v>Estimated percentage of MPCA spent on 'Utilities' category [Endline] broken down by households_evacuated_from_the_territory_of_active_hostilities_with...</v>
      </c>
      <c r="D222" s="19" t="s">
        <v>44</v>
      </c>
      <c r="E222" s="21">
        <v>1155</v>
      </c>
    </row>
    <row r="223" spans="2:5" x14ac:dyDescent="0.3">
      <c r="B223" s="19" t="s">
        <v>42</v>
      </c>
      <c r="C223" s="20" t="str">
        <f>HYPERLINK("#'Data'!A5557", "Estimated percentage of MPCA spent on 'Water supply' category [Endline] broken down by households_evacuated_from_the_territory_of_active_hostilities_w...")</f>
        <v>Estimated percentage of MPCA spent on 'Water supply' category [Endline] broken down by households_evacuated_from_the_territory_of_active_hostilities_w...</v>
      </c>
      <c r="D223" s="19" t="s">
        <v>44</v>
      </c>
      <c r="E223" s="21">
        <v>1170</v>
      </c>
    </row>
    <row r="224" spans="2:5" x14ac:dyDescent="0.3">
      <c r="B224" s="19" t="s">
        <v>42</v>
      </c>
      <c r="C224" s="20" t="str">
        <f>HYPERLINK("#'Data'!A5627", "Estimated percentage of MPCA spent on 'Rent' category [Endline] broken down by households_evacuated_from_the_territory_of_active_hostilities_within_th...")</f>
        <v>Estimated percentage of MPCA spent on 'Rent' category [Endline] broken down by households_evacuated_from_the_territory_of_active_hostilities_within_th...</v>
      </c>
      <c r="D224" s="19" t="s">
        <v>44</v>
      </c>
      <c r="E224" s="21">
        <v>1185</v>
      </c>
    </row>
    <row r="225" spans="2:5" x14ac:dyDescent="0.3">
      <c r="B225" s="19" t="s">
        <v>42</v>
      </c>
      <c r="C225" s="20" t="str">
        <f>HYPERLINK("#'Data'!A5691", "Estimated percentage of MPCA spent on 'Assistive products' category [Endline] broken down by households_evacuated_from_the_territory_of_active_hostili...")</f>
        <v>Estimated percentage of MPCA spent on 'Assistive products' category [Endline] broken down by households_evacuated_from_the_territory_of_active_hostili...</v>
      </c>
      <c r="D225" s="19" t="s">
        <v>44</v>
      </c>
      <c r="E225" s="21">
        <v>1200</v>
      </c>
    </row>
    <row r="226" spans="2:5" x14ac:dyDescent="0.3">
      <c r="B226" s="19" t="s">
        <v>42</v>
      </c>
      <c r="C226" s="20" t="str">
        <f>HYPERLINK("#'Data'!A5760", "Estimated percentage of MPCA spent on 'Medication' category [Endline] broken down by households_evacuated_from_the_territory_of_active_hostilities_wit...")</f>
        <v>Estimated percentage of MPCA spent on 'Medication' category [Endline] broken down by households_evacuated_from_the_territory_of_active_hostilities_wit...</v>
      </c>
      <c r="D226" s="19" t="s">
        <v>44</v>
      </c>
      <c r="E226" s="21">
        <v>1215</v>
      </c>
    </row>
    <row r="227" spans="2:5" x14ac:dyDescent="0.3">
      <c r="B227" s="19" t="s">
        <v>42</v>
      </c>
      <c r="C227" s="20" t="str">
        <f>HYPERLINK("#'Data'!A5829", "Estimated percentage of MPCA spent on 'Agricultural inputs' category [Endline] broken down by households_evacuated_from_the_territory_of_active_hostil...")</f>
        <v>Estimated percentage of MPCA spent on 'Agricultural inputs' category [Endline] broken down by households_evacuated_from_the_territory_of_active_hostil...</v>
      </c>
      <c r="D227" s="19" t="s">
        <v>44</v>
      </c>
      <c r="E227" s="21">
        <v>1230</v>
      </c>
    </row>
    <row r="228" spans="2:5" x14ac:dyDescent="0.3">
      <c r="B228" s="19" t="s">
        <v>42</v>
      </c>
      <c r="C228" s="20" t="str">
        <f>HYPERLINK("#'Data'!A5901", "Estimated percentage of MPCA spent on 'Shelter maintenance' category [Endline] broken down by households_evacuated_from_the_territory_of_active_hostil...")</f>
        <v>Estimated percentage of MPCA spent on 'Shelter maintenance' category [Endline] broken down by households_evacuated_from_the_territory_of_active_hostil...</v>
      </c>
      <c r="D228" s="19" t="s">
        <v>44</v>
      </c>
      <c r="E228" s="21">
        <v>1245</v>
      </c>
    </row>
    <row r="229" spans="2:5" x14ac:dyDescent="0.3">
      <c r="B229" s="19" t="s">
        <v>42</v>
      </c>
      <c r="C229" s="20" t="str">
        <f>HYPERLINK("#'Data'!A5971", "Estimated percentage of MPCA spent on 'Future savings' category [Endline] broken down by households_evacuated_from_the_territory_of_active_hostilities...")</f>
        <v>Estimated percentage of MPCA spent on 'Future savings' category [Endline] broken down by households_evacuated_from_the_territory_of_active_hostilities...</v>
      </c>
      <c r="D229" s="19" t="s">
        <v>44</v>
      </c>
      <c r="E229" s="21">
        <v>1260</v>
      </c>
    </row>
    <row r="230" spans="2:5" x14ac:dyDescent="0.3">
      <c r="B230" s="19" t="s">
        <v>42</v>
      </c>
      <c r="C230" s="20" t="str">
        <f>HYPERLINK("#'Data'!A6038", "Estimated percentage of MPCA spent on 'Shared with others' category [Endline] broken down by households_evacuated_from_the_territory_of_active_hostili...")</f>
        <v>Estimated percentage of MPCA spent on 'Shared with others' category [Endline] broken down by households_evacuated_from_the_territory_of_active_hostili...</v>
      </c>
      <c r="D230" s="19" t="s">
        <v>44</v>
      </c>
      <c r="E230" s="21">
        <v>1275</v>
      </c>
    </row>
    <row r="231" spans="2:5" x14ac:dyDescent="0.3">
      <c r="B231" s="19" t="s">
        <v>42</v>
      </c>
      <c r="C231" s="20" t="str">
        <f>HYPERLINK("#'Data'!A6108", "Estimated percentage of MPCA spent on 'Transportation' category [Endline] broken down by households_evacuated_from_the_territory_of_active_hostilities...")</f>
        <v>Estimated percentage of MPCA spent on 'Transportation' category [Endline] broken down by households_evacuated_from_the_territory_of_active_hostilities...</v>
      </c>
      <c r="D231" s="19" t="s">
        <v>44</v>
      </c>
      <c r="E231" s="21">
        <v>1290</v>
      </c>
    </row>
    <row r="232" spans="2:5" x14ac:dyDescent="0.3">
      <c r="B232" s="19" t="s">
        <v>42</v>
      </c>
      <c r="C232" s="20" t="str">
        <f>HYPERLINK("#'Data'!A6181", "Estimated percentage of MPCA spent on 'Communication' category [Endline] broken down by households_evacuated_from_the_territory_of_active_hostilities_...")</f>
        <v>Estimated percentage of MPCA spent on 'Communication' category [Endline] broken down by households_evacuated_from_the_territory_of_active_hostilities_...</v>
      </c>
      <c r="D232" s="19" t="s">
        <v>44</v>
      </c>
      <c r="E232" s="21">
        <v>1305</v>
      </c>
    </row>
    <row r="233" spans="2:5" x14ac:dyDescent="0.3">
      <c r="B233" s="19" t="s">
        <v>42</v>
      </c>
      <c r="C233" s="20" t="str">
        <f>HYPERLINK("#'Data'!A6251", "Estimated percentage of MPCA spent on 'Education materials' category [Endline] broken down by households_evacuated_from_the_territory_of_active_hostil...")</f>
        <v>Estimated percentage of MPCA spent on 'Education materials' category [Endline] broken down by households_evacuated_from_the_territory_of_active_hostil...</v>
      </c>
      <c r="D233" s="19" t="s">
        <v>44</v>
      </c>
      <c r="E233" s="21">
        <v>1320</v>
      </c>
    </row>
    <row r="234" spans="2:5" x14ac:dyDescent="0.3">
      <c r="B234" s="19" t="s">
        <v>42</v>
      </c>
      <c r="C234" s="20" t="str">
        <f>HYPERLINK("#'Data'!A6325", "Additional priority needs potentially met if MPCA duration extended to 6 months [Endline] broken down by households_evacuated_from_the_territory_of_ac...")</f>
        <v>Additional priority needs potentially met if MPCA duration extended to 6 months [Endline] broken down by households_evacuated_from_the_territory_of_ac...</v>
      </c>
      <c r="D234" s="19" t="s">
        <v>44</v>
      </c>
      <c r="E234" s="21">
        <v>1335</v>
      </c>
    </row>
    <row r="235" spans="2:5" x14ac:dyDescent="0.3">
      <c r="B235" s="19" t="s">
        <v>42</v>
      </c>
      <c r="C235" s="20" t="str">
        <f>HYPERLINK("#'Data'!A6399", "Additional priority needs potentially met with doubled MPCA amount over past 3 months [Endline] broken down by households_evacuated_from_the_territory...")</f>
        <v>Additional priority needs potentially met with doubled MPCA amount over past 3 months [Endline] broken down by households_evacuated_from_the_territory...</v>
      </c>
      <c r="D235" s="19" t="s">
        <v>44</v>
      </c>
      <c r="E235" s="21">
        <v>1350</v>
      </c>
    </row>
    <row r="236" spans="2:5" x14ac:dyDescent="0.3">
      <c r="B236" s="19" t="s">
        <v>42</v>
      </c>
      <c r="C236" s="20" t="str">
        <f>HYPERLINK("#'Data'!A6473", "Needs that MPCA is considered insufficient to address [Baseline] broken down by households_evacuated_from_the_territory_of_active_hostilities_within_t...")</f>
        <v>Needs that MPCA is considered insufficient to address [Baseline] broken down by households_evacuated_from_the_territory_of_active_hostilities_within_t...</v>
      </c>
      <c r="D236" s="19" t="s">
        <v>44</v>
      </c>
      <c r="E236" s="21">
        <v>1365</v>
      </c>
    </row>
    <row r="237" spans="2:5" x14ac:dyDescent="0.3">
      <c r="B237" s="19" t="s">
        <v>42</v>
      </c>
      <c r="C237" s="20" t="str">
        <f>HYPERLINK("#'Data'!A6547", "Needs that MPCA is considered insufficient to address [Endline] broken down by households_evacuated_from_the_territory_of_active_hostilities_within_th...")</f>
        <v>Needs that MPCA is considered insufficient to address [Endline] broken down by households_evacuated_from_the_territory_of_active_hostilities_within_th...</v>
      </c>
      <c r="D237" s="19" t="s">
        <v>44</v>
      </c>
      <c r="E237" s="21">
        <v>1380</v>
      </c>
    </row>
    <row r="238" spans="2:5" x14ac:dyDescent="0.3">
      <c r="B238" s="19" t="s">
        <v>42</v>
      </c>
      <c r="C238" s="20" t="str">
        <f>HYPERLINK("#'Data'!A6621", "Preferred type of assistance for meeting current household needs [Baseline] broken down by households_evacuated_from_the_territory_of_active_hostiliti...")</f>
        <v>Preferred type of assistance for meeting current household needs [Baseline] broken down by households_evacuated_from_the_territory_of_active_hostiliti...</v>
      </c>
      <c r="D238" s="19" t="s">
        <v>44</v>
      </c>
      <c r="E238" s="21">
        <v>1395</v>
      </c>
    </row>
    <row r="239" spans="2:5" hidden="1" x14ac:dyDescent="0.3">
      <c r="B239" s="19" t="s">
        <v>40</v>
      </c>
      <c r="C239" s="20" t="str">
        <f>HYPERLINK("#'Data'!A6690", "Preferred type of assistance for meeting current household needs [Endline] broken down by households_displaced_from_the_territory_of_active_hostilitie...")</f>
        <v>Preferred type of assistance for meeting current household needs [Endline] broken down by households_displaced_from_the_territory_of_active_hostilitie...</v>
      </c>
      <c r="D239" s="19" t="s">
        <v>43</v>
      </c>
      <c r="E239" s="21">
        <v>1409</v>
      </c>
    </row>
    <row r="240" spans="2:5" x14ac:dyDescent="0.3">
      <c r="B240" s="19" t="s">
        <v>42</v>
      </c>
      <c r="C240" s="20" t="str">
        <f>HYPERLINK("#'Data'!A6769", "Remaining needs after MPCA that require additional cash or in-kind assistance [Endline] broken down by households_evacuated_from_the_territory_of_acti...")</f>
        <v>Remaining needs after MPCA that require additional cash or in-kind assistance [Endline] broken down by households_evacuated_from_the_territory_of_acti...</v>
      </c>
      <c r="D240" s="19" t="s">
        <v>44</v>
      </c>
      <c r="E240" s="21">
        <v>1425</v>
      </c>
    </row>
    <row r="241" spans="2:5" hidden="1" x14ac:dyDescent="0.3">
      <c r="B241" s="19" t="s">
        <v>40</v>
      </c>
      <c r="C241" s="20" t="str">
        <f>HYPERLINK("#'Data'!A6838", "Remaining needs after MPCA that require additional cash or in-kind assistance [Endline] broken down by households_displaced_from_the_territory_of_acti...")</f>
        <v>Remaining needs after MPCA that require additional cash or in-kind assistance [Endline] broken down by households_displaced_from_the_territory_of_acti...</v>
      </c>
      <c r="D241" s="19" t="s">
        <v>43</v>
      </c>
      <c r="E241" s="21">
        <v>1439</v>
      </c>
    </row>
    <row r="242" spans="2:5" x14ac:dyDescent="0.3">
      <c r="B242" s="19" t="s">
        <v>42</v>
      </c>
      <c r="C242" s="20" t="str">
        <f>HYPERLINK("#'Data'!A6917", "Amount of multi-purpose cash assistance received over last 3 months in UAH [Endline] broken down by households_evacuated_from_the_territory_of_active_...")</f>
        <v>Amount of multi-purpose cash assistance received over last 3 months in UAH [Endline] broken down by households_evacuated_from_the_territory_of_active_...</v>
      </c>
      <c r="D242" s="19" t="s">
        <v>44</v>
      </c>
      <c r="E242" s="21">
        <v>1455</v>
      </c>
    </row>
    <row r="243" spans="2:5" x14ac:dyDescent="0.3">
      <c r="B243" s="19" t="s">
        <v>42</v>
      </c>
      <c r="C243" s="20" t="str">
        <f>HYPERLINK("#'Data'!A6991", "Amount of multi-purpose cash assistance received over last 3 months per hh member in UAH [Endline] broken down by households_evacuated_from_the_territ...")</f>
        <v>Amount of multi-purpose cash assistance received over last 3 months per hh member in UAH [Endline] broken down by households_evacuated_from_the_territ...</v>
      </c>
      <c r="D243" s="19" t="s">
        <v>44</v>
      </c>
      <c r="E243" s="21">
        <v>1470</v>
      </c>
    </row>
    <row r="244" spans="2:5" x14ac:dyDescent="0.3">
      <c r="B244" s="19" t="s">
        <v>42</v>
      </c>
      <c r="C244" s="20" t="str">
        <f>HYPERLINK("#'Data'!A7065", "Other types of humanitarian aid received in the previous three months [Endline] broken down by households_evacuated_from_the_territory_of_active_hosti...")</f>
        <v>Other types of humanitarian aid received in the previous three months [Endline] broken down by households_evacuated_from_the_territory_of_active_hosti...</v>
      </c>
      <c r="D244" s="19" t="s">
        <v>44</v>
      </c>
      <c r="E244" s="21">
        <v>1485</v>
      </c>
    </row>
    <row r="245" spans="2:5" x14ac:dyDescent="0.3">
      <c r="B245" s="19" t="s">
        <v>42</v>
      </c>
      <c r="C245" s="20" t="str">
        <f>HYPERLINK("#'Data'!A7132", "Estimated percentage of total household expenditures spent on 'Other' (past month, excl. humanitarian aid) [Baseline] broken down by households_evacua...")</f>
        <v>Estimated percentage of total household expenditures spent on 'Other' (past month, excl. humanitarian aid) [Baseline] broken down by households_evacua...</v>
      </c>
      <c r="D245" s="19" t="s">
        <v>44</v>
      </c>
      <c r="E245" s="21">
        <v>1500</v>
      </c>
    </row>
    <row r="246" spans="2:5" x14ac:dyDescent="0.3">
      <c r="B246" s="19" t="s">
        <v>42</v>
      </c>
      <c r="C246" s="20" t="str">
        <f>HYPERLINK("#'Data'!A7205", "Estimated percentage of total household expenditures spent on 'Food' (past month, excl. humanitarian aid) [Baseline] broken down by households_evacuat...")</f>
        <v>Estimated percentage of total household expenditures spent on 'Food' (past month, excl. humanitarian aid) [Baseline] broken down by households_evacuat...</v>
      </c>
      <c r="D246" s="19" t="s">
        <v>44</v>
      </c>
      <c r="E246" s="21">
        <v>1515</v>
      </c>
    </row>
    <row r="247" spans="2:5" x14ac:dyDescent="0.3">
      <c r="B247" s="19" t="s">
        <v>42</v>
      </c>
      <c r="C247" s="20" t="str">
        <f>HYPERLINK("#'Data'!A7278",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247" s="19" t="s">
        <v>44</v>
      </c>
      <c r="E247" s="21">
        <v>1530</v>
      </c>
    </row>
    <row r="248" spans="2:5" hidden="1" x14ac:dyDescent="0.3">
      <c r="B248" s="19" t="s">
        <v>40</v>
      </c>
      <c r="C248" s="20" t="str">
        <f>HYPERLINK("#'Data'!A7346",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248" s="19" t="s">
        <v>43</v>
      </c>
      <c r="E248" s="21">
        <v>1544</v>
      </c>
    </row>
    <row r="249" spans="2:5" hidden="1" x14ac:dyDescent="0.3">
      <c r="B249" s="19" t="s">
        <v>40</v>
      </c>
      <c r="C249" s="20" t="str">
        <f>HYPERLINK("#'Data'!A7416",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249" s="19" t="s">
        <v>43</v>
      </c>
      <c r="E249" s="21">
        <v>1559</v>
      </c>
    </row>
    <row r="250" spans="2:5" hidden="1" x14ac:dyDescent="0.3">
      <c r="B250" s="19" t="s">
        <v>40</v>
      </c>
      <c r="C250" s="20" t="str">
        <f>HYPERLINK("#'Data'!A7489",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250" s="19" t="s">
        <v>43</v>
      </c>
      <c r="E250" s="21">
        <v>1574</v>
      </c>
    </row>
    <row r="251" spans="2:5" hidden="1" x14ac:dyDescent="0.3">
      <c r="B251" s="19" t="s">
        <v>40</v>
      </c>
      <c r="C251" s="20" t="str">
        <f>HYPERLINK("#'Data'!A7560",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251" s="19" t="s">
        <v>43</v>
      </c>
      <c r="E251" s="21">
        <v>1589</v>
      </c>
    </row>
    <row r="252" spans="2:5" hidden="1" x14ac:dyDescent="0.3">
      <c r="B252" s="19" t="s">
        <v>40</v>
      </c>
      <c r="C252" s="20" t="str">
        <f>HYPERLINK("#'Data'!A7632", "Estimated percentage of total household expenditures spent on 'Safe water' (past month, excl. humanitarian aid) [Baseline] broken down by households_d...")</f>
        <v>Estimated percentage of total household expenditures spent on 'Safe water' (past month, excl. humanitarian aid) [Baseline] broken down by households_d...</v>
      </c>
      <c r="D252" s="19" t="s">
        <v>43</v>
      </c>
      <c r="E252" s="21">
        <v>1604</v>
      </c>
    </row>
    <row r="253" spans="2:5" hidden="1" x14ac:dyDescent="0.3">
      <c r="B253" s="19" t="s">
        <v>40</v>
      </c>
      <c r="C253" s="20" t="str">
        <f>HYPERLINK("#'Data'!A7706", "Estimated percentage of total household expenditures spent on 'Utilities' (past month, excl. humanitarian aid) [Baseline] broken down by households_di...")</f>
        <v>Estimated percentage of total household expenditures spent on 'Utilities' (past month, excl. humanitarian aid) [Baseline] broken down by households_di...</v>
      </c>
      <c r="D253" s="19" t="s">
        <v>43</v>
      </c>
      <c r="E253" s="21">
        <v>1619</v>
      </c>
    </row>
    <row r="254" spans="2:5" hidden="1" x14ac:dyDescent="0.3">
      <c r="B254" s="19" t="s">
        <v>40</v>
      </c>
      <c r="C254" s="20" t="str">
        <f>HYPERLINK("#'Data'!A7777",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254" s="19" t="s">
        <v>43</v>
      </c>
      <c r="E254" s="21">
        <v>1634</v>
      </c>
    </row>
    <row r="255" spans="2:5" hidden="1" x14ac:dyDescent="0.3">
      <c r="B255" s="19" t="s">
        <v>40</v>
      </c>
      <c r="C255" s="20" t="str">
        <f>HYPERLINK("#'Data'!A7848", "Estimated percentage of total household expenditures spent on 'Rent' (past month, excl. humanitarian aid) [Baseline] broken down by households_displac...")</f>
        <v>Estimated percentage of total household expenditures spent on 'Rent' (past month, excl. humanitarian aid) [Baseline] broken down by households_displac...</v>
      </c>
      <c r="D255" s="19" t="s">
        <v>43</v>
      </c>
      <c r="E255" s="21">
        <v>1649</v>
      </c>
    </row>
    <row r="256" spans="2:5" hidden="1" x14ac:dyDescent="0.3">
      <c r="B256" s="19" t="s">
        <v>40</v>
      </c>
      <c r="C256" s="20" t="str">
        <f>HYPERLINK("#'Data'!A7917",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256" s="19" t="s">
        <v>43</v>
      </c>
      <c r="E256" s="21">
        <v>1664</v>
      </c>
    </row>
    <row r="257" spans="2:5" hidden="1" x14ac:dyDescent="0.3">
      <c r="B257" s="19" t="s">
        <v>40</v>
      </c>
      <c r="C257" s="20" t="str">
        <f>HYPERLINK("#'Data'!A7990", "Estimated percentage of total household expenditures spent on 'Medication' (past month, excl. humanitarian aid) [Baseline] broken down by households_d...")</f>
        <v>Estimated percentage of total household expenditures spent on 'Medication' (past month, excl. humanitarian aid) [Baseline] broken down by households_d...</v>
      </c>
      <c r="D257" s="19" t="s">
        <v>43</v>
      </c>
      <c r="E257" s="21">
        <v>1679</v>
      </c>
    </row>
    <row r="258" spans="2:5" hidden="1" x14ac:dyDescent="0.3">
      <c r="B258" s="19" t="s">
        <v>40</v>
      </c>
      <c r="C258" s="20" t="str">
        <f>HYPERLINK("#'Data'!A8060",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258" s="19" t="s">
        <v>43</v>
      </c>
      <c r="E258" s="21">
        <v>1694</v>
      </c>
    </row>
    <row r="259" spans="2:5" hidden="1" x14ac:dyDescent="0.3">
      <c r="B259" s="19" t="s">
        <v>40</v>
      </c>
      <c r="C259" s="20" t="str">
        <f>HYPERLINK("#'Data'!A8130",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259" s="19" t="s">
        <v>43</v>
      </c>
      <c r="E259" s="21">
        <v>1709</v>
      </c>
    </row>
    <row r="260" spans="2:5" hidden="1" x14ac:dyDescent="0.3">
      <c r="B260" s="19" t="s">
        <v>40</v>
      </c>
      <c r="C260" s="20" t="str">
        <f>HYPERLINK("#'Data'!A8199",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260" s="19" t="s">
        <v>43</v>
      </c>
      <c r="E260" s="21">
        <v>1724</v>
      </c>
    </row>
    <row r="261" spans="2:5" hidden="1" x14ac:dyDescent="0.3">
      <c r="B261" s="19" t="s">
        <v>40</v>
      </c>
      <c r="C261" s="20" t="str">
        <f>HYPERLINK("#'Data'!A8268",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261" s="19" t="s">
        <v>43</v>
      </c>
      <c r="E261" s="21">
        <v>1739</v>
      </c>
    </row>
    <row r="262" spans="2:5" hidden="1" x14ac:dyDescent="0.3">
      <c r="B262" s="19" t="s">
        <v>40</v>
      </c>
      <c r="C262" s="20" t="str">
        <f>HYPERLINK("#'Data'!A8339",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262" s="19" t="s">
        <v>43</v>
      </c>
      <c r="E262" s="21">
        <v>1754</v>
      </c>
    </row>
    <row r="263" spans="2:5" hidden="1" x14ac:dyDescent="0.3">
      <c r="B263" s="19" t="s">
        <v>40</v>
      </c>
      <c r="C263" s="20" t="str">
        <f>HYPERLINK("#'Data'!A8413",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263" s="19" t="s">
        <v>43</v>
      </c>
      <c r="E263" s="21">
        <v>1769</v>
      </c>
    </row>
    <row r="264" spans="2:5" hidden="1" x14ac:dyDescent="0.3">
      <c r="B264" s="19" t="s">
        <v>40</v>
      </c>
      <c r="C264" s="20" t="str">
        <f>HYPERLINK("#'Data'!A8484",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264" s="19" t="s">
        <v>43</v>
      </c>
      <c r="E264" s="21">
        <v>1784</v>
      </c>
    </row>
    <row r="265" spans="2:5" hidden="1" x14ac:dyDescent="0.3">
      <c r="B265" s="19" t="s">
        <v>40</v>
      </c>
      <c r="C265" s="20" t="str">
        <f>HYPERLINK("#'Data'!A8552", "Estimated percentage of total household expenditures spent on 'Other' (past month, excl. humanitarian aid) [Endline] broken down by households_displac...")</f>
        <v>Estimated percentage of total household expenditures spent on 'Other' (past month, excl. humanitarian aid) [Endline] broken down by households_displac...</v>
      </c>
      <c r="D265" s="19" t="s">
        <v>43</v>
      </c>
      <c r="E265" s="21">
        <v>1799</v>
      </c>
    </row>
    <row r="266" spans="2:5" hidden="1" x14ac:dyDescent="0.3">
      <c r="B266" s="19" t="s">
        <v>40</v>
      </c>
      <c r="C266" s="20" t="str">
        <f>HYPERLINK("#'Data'!A8624", "Estimated percentage of total household expenditures spent on 'Food' (past month, excl. humanitarian aid) [Endline] broken down by households_displace...")</f>
        <v>Estimated percentage of total household expenditures spent on 'Food' (past month, excl. humanitarian aid) [Endline] broken down by households_displace...</v>
      </c>
      <c r="D266" s="19" t="s">
        <v>43</v>
      </c>
      <c r="E266" s="21">
        <v>1814</v>
      </c>
    </row>
    <row r="267" spans="2:5" hidden="1" x14ac:dyDescent="0.3">
      <c r="B267" s="19" t="s">
        <v>40</v>
      </c>
      <c r="C267" s="20" t="str">
        <f>HYPERLINK("#'Data'!A8697",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267" s="19" t="s">
        <v>43</v>
      </c>
      <c r="E267" s="21">
        <v>1829</v>
      </c>
    </row>
    <row r="268" spans="2:5" x14ac:dyDescent="0.3">
      <c r="B268" s="19" t="s">
        <v>42</v>
      </c>
      <c r="C268" s="20" t="str">
        <f>HYPERLINK("#'Data'!A8775",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268" s="19" t="s">
        <v>44</v>
      </c>
      <c r="E268" s="21">
        <v>1845</v>
      </c>
    </row>
    <row r="269" spans="2:5" x14ac:dyDescent="0.3">
      <c r="B269" s="19" t="s">
        <v>42</v>
      </c>
      <c r="C269" s="20" t="str">
        <f>HYPERLINK("#'Data'!A8847",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269" s="19" t="s">
        <v>44</v>
      </c>
      <c r="E269" s="21">
        <v>1860</v>
      </c>
    </row>
    <row r="270" spans="2:5" x14ac:dyDescent="0.3">
      <c r="B270" s="19" t="s">
        <v>42</v>
      </c>
      <c r="C270" s="20" t="str">
        <f>HYPERLINK("#'Data'!A8920",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270" s="19" t="s">
        <v>44</v>
      </c>
      <c r="E270" s="21">
        <v>1875</v>
      </c>
    </row>
    <row r="271" spans="2:5" x14ac:dyDescent="0.3">
      <c r="B271" s="19" t="s">
        <v>42</v>
      </c>
      <c r="C271" s="20" t="str">
        <f>HYPERLINK("#'Data'!A8994",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271" s="19" t="s">
        <v>44</v>
      </c>
      <c r="E271" s="21">
        <v>1890</v>
      </c>
    </row>
    <row r="272" spans="2:5" x14ac:dyDescent="0.3">
      <c r="B272" s="19" t="s">
        <v>42</v>
      </c>
      <c r="C272" s="20" t="str">
        <f>HYPERLINK("#'Data'!A9066", "Estimated percentage of total household expenditures spent on 'Safe water' (past month, excl. humanitarian aid) [Endline] broken down by households_ev...")</f>
        <v>Estimated percentage of total household expenditures spent on 'Safe water' (past month, excl. humanitarian aid) [Endline] broken down by households_ev...</v>
      </c>
      <c r="D272" s="19" t="s">
        <v>44</v>
      </c>
      <c r="E272" s="21">
        <v>1905</v>
      </c>
    </row>
    <row r="273" spans="2:5" x14ac:dyDescent="0.3">
      <c r="B273" s="19" t="s">
        <v>42</v>
      </c>
      <c r="C273" s="20" t="str">
        <f>HYPERLINK("#'Data'!A9140", "Estimated percentage of total household expenditures spent on 'Utilities' (past month, excl. humanitarian aid) [Endline] broken down by households_eva...")</f>
        <v>Estimated percentage of total household expenditures spent on 'Utilities' (past month, excl. humanitarian aid) [Endline] broken down by households_eva...</v>
      </c>
      <c r="D273" s="19" t="s">
        <v>44</v>
      </c>
      <c r="E273" s="21">
        <v>1920</v>
      </c>
    </row>
    <row r="274" spans="2:5" x14ac:dyDescent="0.3">
      <c r="B274" s="19" t="s">
        <v>42</v>
      </c>
      <c r="C274" s="20" t="str">
        <f>HYPERLINK("#'Data'!A9211",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274" s="19" t="s">
        <v>44</v>
      </c>
      <c r="E274" s="21">
        <v>1935</v>
      </c>
    </row>
    <row r="275" spans="2:5" x14ac:dyDescent="0.3">
      <c r="B275" s="19" t="s">
        <v>42</v>
      </c>
      <c r="C275" s="20" t="str">
        <f>HYPERLINK("#'Data'!A9280", "Estimated percentage of total household expenditures spent on 'Rent' (past month, excl. humanitarian aid) [Endline] broken down by households_evacuate...")</f>
        <v>Estimated percentage of total household expenditures spent on 'Rent' (past month, excl. humanitarian aid) [Endline] broken down by households_evacuate...</v>
      </c>
      <c r="D275" s="19" t="s">
        <v>44</v>
      </c>
      <c r="E275" s="21">
        <v>1950</v>
      </c>
    </row>
    <row r="276" spans="2:5" x14ac:dyDescent="0.3">
      <c r="B276" s="19" t="s">
        <v>42</v>
      </c>
      <c r="C276" s="20" t="str">
        <f>HYPERLINK("#'Data'!A9346",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276" s="19" t="s">
        <v>44</v>
      </c>
      <c r="E276" s="21">
        <v>1965</v>
      </c>
    </row>
    <row r="277" spans="2:5" x14ac:dyDescent="0.3">
      <c r="B277" s="19" t="s">
        <v>42</v>
      </c>
      <c r="C277" s="20" t="str">
        <f>HYPERLINK("#'Data'!A9417", "Estimated percentage of total household expenditures spent on 'Medication' (past month, excl. humanitarian aid) [Endline] broken down by households_ev...")</f>
        <v>Estimated percentage of total household expenditures spent on 'Medication' (past month, excl. humanitarian aid) [Endline] broken down by households_ev...</v>
      </c>
      <c r="D277" s="19" t="s">
        <v>44</v>
      </c>
      <c r="E277" s="21">
        <v>1980</v>
      </c>
    </row>
    <row r="278" spans="2:5" x14ac:dyDescent="0.3">
      <c r="B278" s="19" t="s">
        <v>42</v>
      </c>
      <c r="C278" s="20" t="str">
        <f>HYPERLINK("#'Data'!A9484",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278" s="19" t="s">
        <v>44</v>
      </c>
      <c r="E278" s="21">
        <v>1995</v>
      </c>
    </row>
    <row r="279" spans="2:5" x14ac:dyDescent="0.3">
      <c r="B279" s="19" t="s">
        <v>42</v>
      </c>
      <c r="C279" s="20" t="str">
        <f>HYPERLINK("#'Data'!A9551",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279" s="19" t="s">
        <v>44</v>
      </c>
      <c r="E279" s="21">
        <v>2010</v>
      </c>
    </row>
    <row r="280" spans="2:5" x14ac:dyDescent="0.3">
      <c r="B280" s="19" t="s">
        <v>42</v>
      </c>
      <c r="C280" s="20" t="str">
        <f>HYPERLINK("#'Data'!A9620",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280" s="19" t="s">
        <v>44</v>
      </c>
      <c r="E280" s="21">
        <v>2025</v>
      </c>
    </row>
    <row r="281" spans="2:5" x14ac:dyDescent="0.3">
      <c r="B281" s="19" t="s">
        <v>42</v>
      </c>
      <c r="C281" s="20" t="str">
        <f>HYPERLINK("#'Data'!A9684",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281" s="19" t="s">
        <v>44</v>
      </c>
      <c r="E281" s="21">
        <v>2040</v>
      </c>
    </row>
    <row r="282" spans="2:5" x14ac:dyDescent="0.3">
      <c r="B282" s="19" t="s">
        <v>42</v>
      </c>
      <c r="C282" s="20" t="str">
        <f>HYPERLINK("#'Data'!A9751",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282" s="19" t="s">
        <v>44</v>
      </c>
      <c r="E282" s="21">
        <v>2055</v>
      </c>
    </row>
    <row r="283" spans="2:5" x14ac:dyDescent="0.3">
      <c r="B283" s="19" t="s">
        <v>42</v>
      </c>
      <c r="C283" s="20" t="str">
        <f>HYPERLINK("#'Data'!A9824",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283" s="19" t="s">
        <v>44</v>
      </c>
      <c r="E283" s="21">
        <v>2070</v>
      </c>
    </row>
    <row r="284" spans="2:5" x14ac:dyDescent="0.3">
      <c r="B284" s="19" t="s">
        <v>42</v>
      </c>
      <c r="C284" s="20" t="str">
        <f>HYPERLINK("#'Data'!A9895",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284" s="19" t="s">
        <v>44</v>
      </c>
      <c r="E284" s="21">
        <v>2085</v>
      </c>
    </row>
    <row r="285" spans="2:5" hidden="1" x14ac:dyDescent="0.3">
      <c r="B285" s="19" t="s">
        <v>40</v>
      </c>
      <c r="C285" s="20" t="str">
        <f>HYPERLINK("#'Data'!A55",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285" s="19" t="s">
        <v>44</v>
      </c>
      <c r="E285" s="21">
        <v>12</v>
      </c>
    </row>
    <row r="286" spans="2:5" hidden="1" x14ac:dyDescent="0.3">
      <c r="B286" s="19" t="s">
        <v>40</v>
      </c>
      <c r="C286" s="20" t="str">
        <f>HYPERLINK("#'Data'!A129",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286" s="19" t="s">
        <v>44</v>
      </c>
      <c r="E286" s="21">
        <v>27</v>
      </c>
    </row>
    <row r="287" spans="2:5" x14ac:dyDescent="0.3">
      <c r="B287" s="19" t="s">
        <v>42</v>
      </c>
      <c r="C287" s="20" t="str">
        <f>HYPERLINK("#'Data'!A188",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287" s="19" t="s">
        <v>45</v>
      </c>
      <c r="E287" s="21">
        <v>39</v>
      </c>
    </row>
    <row r="288" spans="2:5" x14ac:dyDescent="0.3">
      <c r="B288" s="19" t="s">
        <v>42</v>
      </c>
      <c r="C288" s="20" t="str">
        <f>HYPERLINK("#'Data'!A262",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288" s="19" t="s">
        <v>45</v>
      </c>
      <c r="E288" s="21">
        <v>54</v>
      </c>
    </row>
    <row r="289" spans="2:5" hidden="1" x14ac:dyDescent="0.3">
      <c r="B289" s="19" t="s">
        <v>40</v>
      </c>
      <c r="C289" s="20" t="str">
        <f>HYPERLINK("#'Data'!A351", "Sources of income or financial support  household received in the last month [Baseline] broken down by households_evacuated_from_the_territory_of_acti...")</f>
        <v>Sources of income or financial support  household received in the last month [Baseline] broken down by households_evacuated_from_the_territory_of_acti...</v>
      </c>
      <c r="D289" s="19" t="s">
        <v>44</v>
      </c>
      <c r="E289" s="21">
        <v>72</v>
      </c>
    </row>
    <row r="290" spans="2:5" x14ac:dyDescent="0.3">
      <c r="B290" s="19" t="s">
        <v>42</v>
      </c>
      <c r="C290" s="20" t="str">
        <f>HYPERLINK("#'Data'!A410",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290" s="19" t="s">
        <v>45</v>
      </c>
      <c r="E290" s="21">
        <v>84</v>
      </c>
    </row>
    <row r="291" spans="2:5" hidden="1" x14ac:dyDescent="0.3">
      <c r="B291" s="19" t="s">
        <v>40</v>
      </c>
      <c r="C291" s="20" t="str">
        <f>HYPERLINK("#'Data'!A499",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291" s="19" t="s">
        <v>44</v>
      </c>
      <c r="E291" s="21">
        <v>102</v>
      </c>
    </row>
    <row r="292" spans="2:5" hidden="1" x14ac:dyDescent="0.3">
      <c r="B292" s="19" t="s">
        <v>40</v>
      </c>
      <c r="C292" s="20" t="str">
        <f>HYPERLINK("#'Data'!A573",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292" s="19" t="s">
        <v>44</v>
      </c>
      <c r="E292" s="21">
        <v>117</v>
      </c>
    </row>
    <row r="293" spans="2:5" x14ac:dyDescent="0.3">
      <c r="B293" s="19" t="s">
        <v>42</v>
      </c>
      <c r="C293" s="20" t="str">
        <f>HYPERLINK("#'Data'!A632",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293" s="19" t="s">
        <v>45</v>
      </c>
      <c r="E293" s="21">
        <v>129</v>
      </c>
    </row>
    <row r="294" spans="2:5" x14ac:dyDescent="0.3">
      <c r="B294" s="19" t="s">
        <v>42</v>
      </c>
      <c r="C294" s="20" t="str">
        <f>HYPERLINK("#'Data'!A706",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294" s="19" t="s">
        <v>45</v>
      </c>
      <c r="E294" s="21">
        <v>144</v>
      </c>
    </row>
    <row r="295" spans="2:5" hidden="1" x14ac:dyDescent="0.3">
      <c r="B295" s="19" t="s">
        <v>40</v>
      </c>
      <c r="C295" s="20" t="str">
        <f>HYPERLINK("#'Data'!A795", "Household expenditures by category over the past 30 days [or month] in UAH [Baseline] broken down by households_evacuated_from_the_territory_of_active...")</f>
        <v>Household expenditures by category over the past 30 days [or month] in UAH [Baseline] broken down by households_evacuated_from_the_territory_of_active...</v>
      </c>
      <c r="D295" s="19" t="s">
        <v>44</v>
      </c>
      <c r="E295" s="21">
        <v>162</v>
      </c>
    </row>
    <row r="296" spans="2:5" x14ac:dyDescent="0.3">
      <c r="B296" s="19" t="s">
        <v>42</v>
      </c>
      <c r="C296" s="20" t="str">
        <f>HYPERLINK("#'Data'!A854", "Household expenditures by category over the past 30 days [or month] in UAH [Endline] broken down by households_headed_by_women on the admin of Overall...")</f>
        <v>Household expenditures by category over the past 30 days [or month] in UAH [Endline] broken down by households_headed_by_women on the admin of Overall...</v>
      </c>
      <c r="D296" s="19" t="s">
        <v>45</v>
      </c>
      <c r="E296" s="21">
        <v>174</v>
      </c>
    </row>
    <row r="297" spans="2:5" hidden="1" x14ac:dyDescent="0.3">
      <c r="B297" s="19" t="s">
        <v>40</v>
      </c>
      <c r="C297" s="20" t="str">
        <f>HYPERLINK("#'Data'!A943", "Household's ability to meet basic needs (self-defined and prioritized) [Baseline] broken down by households_evacuated_from_the_territory_of_active_hos...")</f>
        <v>Household's ability to meet basic needs (self-defined and prioritized) [Baseline] broken down by households_evacuated_from_the_territory_of_active_hos...</v>
      </c>
      <c r="D297" s="19" t="s">
        <v>44</v>
      </c>
      <c r="E297" s="21">
        <v>192</v>
      </c>
    </row>
    <row r="298" spans="2:5" x14ac:dyDescent="0.3">
      <c r="B298" s="19" t="s">
        <v>42</v>
      </c>
      <c r="C298" s="20" t="str">
        <f>HYPERLINK("#'Data'!A1002", "Household's ability to meet basic needs (self-defined and prioritized) [Endline] broken down by households_headed_by_women on the admin of Overall per...")</f>
        <v>Household's ability to meet basic needs (self-defined and prioritized) [Endline] broken down by households_headed_by_women on the admin of Overall per...</v>
      </c>
      <c r="D298" s="19" t="s">
        <v>45</v>
      </c>
      <c r="E298" s="21">
        <v>204</v>
      </c>
    </row>
    <row r="299" spans="2:5" hidden="1" x14ac:dyDescent="0.3">
      <c r="B299" s="19" t="s">
        <v>40</v>
      </c>
      <c r="C299" s="20" t="str">
        <f>HYPERLINK("#'Data'!A1091", "Basic needs the household is currently unable to fulfill (if not all are met) [Baseline] broken down by households_evacuated_from_the_territory_of_act...")</f>
        <v>Basic needs the household is currently unable to fulfill (if not all are met) [Baseline] broken down by households_evacuated_from_the_territory_of_act...</v>
      </c>
      <c r="D299" s="19" t="s">
        <v>44</v>
      </c>
      <c r="E299" s="21">
        <v>222</v>
      </c>
    </row>
    <row r="300" spans="2:5" x14ac:dyDescent="0.3">
      <c r="B300" s="19" t="s">
        <v>42</v>
      </c>
      <c r="C300" s="20" t="str">
        <f>HYPERLINK("#'Data'!A1150", "Basic needs the household is currently unable to fulfill (if not all are met) [Endline] broken down by households_headed_by_women on the admin of Over...")</f>
        <v>Basic needs the household is currently unable to fulfill (if not all are met) [Endline] broken down by households_headed_by_women on the admin of Over...</v>
      </c>
      <c r="D300" s="19" t="s">
        <v>45</v>
      </c>
      <c r="E300" s="21">
        <v>234</v>
      </c>
    </row>
    <row r="301" spans="2:5" hidden="1" x14ac:dyDescent="0.3">
      <c r="B301" s="19" t="s">
        <v>40</v>
      </c>
      <c r="C301" s="20" t="str">
        <f>HYPERLINK("#'Data'!A1239", "Coping strategies used in the last 30 days due to insufficient resources to meet basic needs [Baseline] broken down by households_evacuated_from_the_t...")</f>
        <v>Coping strategies used in the last 30 days due to insufficient resources to meet basic needs [Baseline] broken down by households_evacuated_from_the_t...</v>
      </c>
      <c r="D301" s="19" t="s">
        <v>44</v>
      </c>
      <c r="E301" s="21">
        <v>252</v>
      </c>
    </row>
    <row r="302" spans="2:5" x14ac:dyDescent="0.3">
      <c r="B302" s="19" t="s">
        <v>42</v>
      </c>
      <c r="C302" s="20" t="str">
        <f>HYPERLINK("#'Data'!A1298", "Coping strategies used in the last 30 days due to insufficient resources to meet basic needs [Endline] broken down by households_headed_by_women on th...")</f>
        <v>Coping strategies used in the last 30 days due to insufficient resources to meet basic needs [Endline] broken down by households_headed_by_women on th...</v>
      </c>
      <c r="D302" s="19" t="s">
        <v>45</v>
      </c>
      <c r="E302" s="21">
        <v>264</v>
      </c>
    </row>
    <row r="303" spans="2:5" x14ac:dyDescent="0.3">
      <c r="B303" s="19" t="s">
        <v>42</v>
      </c>
      <c r="C303" s="20" t="str">
        <f>HYPERLINK("#'Data'!A1372", "Coping strategies avoided in the past 3 months due to receipt of MPCA [Endline] broken down by households_headed_by_women on the admin of Overall perc")</f>
        <v>Coping strategies avoided in the past 3 months due to receipt of MPCA [Endline] broken down by households_headed_by_women on the admin of Overall perc</v>
      </c>
      <c r="D303" s="19" t="s">
        <v>45</v>
      </c>
      <c r="E303" s="21">
        <v>279</v>
      </c>
    </row>
    <row r="304" spans="2:5" hidden="1" x14ac:dyDescent="0.3">
      <c r="B304" s="19" t="s">
        <v>40</v>
      </c>
      <c r="C304" s="20" t="str">
        <f>HYPERLINK("#'Data'!A1461", "Household perception of relevance of forthcoming MPCA (3,600 UAH for 3 months per member) [Baseline] broken down by households_evacuated_from_the_terr...")</f>
        <v>Household perception of relevance of forthcoming MPCA (3,600 UAH for 3 months per member) [Baseline] broken down by households_evacuated_from_the_terr...</v>
      </c>
      <c r="D304" s="19" t="s">
        <v>44</v>
      </c>
      <c r="E304" s="21">
        <v>297</v>
      </c>
    </row>
    <row r="305" spans="2:5" hidden="1" x14ac:dyDescent="0.3">
      <c r="B305" s="19" t="s">
        <v>40</v>
      </c>
      <c r="C305" s="20" t="str">
        <f>HYPERLINK("#'Data'!A1535", "Estimated percentage of household needs met by upcoming MPCA (if partially appropriate) [Baseline] broken down by households_evacuated_from_the_territ...")</f>
        <v>Estimated percentage of household needs met by upcoming MPCA (if partially appropriate) [Baseline] broken down by households_evacuated_from_the_territ...</v>
      </c>
      <c r="D305" s="19" t="s">
        <v>44</v>
      </c>
      <c r="E305" s="21">
        <v>312</v>
      </c>
    </row>
    <row r="306" spans="2:5" x14ac:dyDescent="0.3">
      <c r="B306" s="19" t="s">
        <v>42</v>
      </c>
      <c r="C306" s="20" t="str">
        <f>HYPERLINK("#'Data'!A1594", "Household opinion on adequacy of received MPCA (3,600 UAH for 3 months per member) [Endline] broken down by households_headed_by_women on the admin of...")</f>
        <v>Household opinion on adequacy of received MPCA (3,600 UAH for 3 months per member) [Endline] broken down by households_headed_by_women on the admin of...</v>
      </c>
      <c r="D306" s="19" t="s">
        <v>45</v>
      </c>
      <c r="E306" s="21">
        <v>324</v>
      </c>
    </row>
    <row r="307" spans="2:5" x14ac:dyDescent="0.3">
      <c r="B307" s="19" t="s">
        <v>42</v>
      </c>
      <c r="C307" s="20" t="str">
        <f>HYPERLINK("#'Data'!A1668", "Estimated percentage of household needs met by received MPCA (if partially appropriate) [Endline] broken down by households_headed_by_women on the adm...")</f>
        <v>Estimated percentage of household needs met by received MPCA (if partially appropriate) [Endline] broken down by households_headed_by_women on the adm...</v>
      </c>
      <c r="D307" s="19" t="s">
        <v>45</v>
      </c>
      <c r="E307" s="21">
        <v>339</v>
      </c>
    </row>
    <row r="308" spans="2:5" x14ac:dyDescent="0.3">
      <c r="B308" s="19" t="s">
        <v>42</v>
      </c>
      <c r="C308" s="20" t="str">
        <f>HYPERLINK("#'Data'!A1754", "Whether the household has already spent the received MPCA [Endline] broken down by households_headed_by_women on the admin of Overall perc")</f>
        <v>Whether the household has already spent the received MPCA [Endline] broken down by households_headed_by_women on the admin of Overall perc</v>
      </c>
      <c r="D308" s="19" t="s">
        <v>45</v>
      </c>
      <c r="E308" s="21">
        <v>357</v>
      </c>
    </row>
    <row r="309" spans="2:5" x14ac:dyDescent="0.3">
      <c r="B309" s="19" t="s">
        <v>42</v>
      </c>
      <c r="C309" s="20" t="str">
        <f>HYPERLINK("#'Data'!A1828", "Number of weeks MPCA lasted if fully spent [Endline] broken down by households_headed_by_women on the admin of Overall mean")</f>
        <v>Number of weeks MPCA lasted if fully spent [Endline] broken down by households_headed_by_women on the admin of Overall mean</v>
      </c>
      <c r="D309" s="19" t="s">
        <v>45</v>
      </c>
      <c r="E309" s="21">
        <v>372</v>
      </c>
    </row>
    <row r="310" spans="2:5" x14ac:dyDescent="0.3">
      <c r="B310" s="19" t="s">
        <v>42</v>
      </c>
      <c r="C310" s="20" t="str">
        <f>HYPERLINK("#'Data'!A1902", "Percentage of MPCA spent to date (if partially used) [Endline] broken down by households_headed_by_women on the admin of Overall mean")</f>
        <v>Percentage of MPCA spent to date (if partially used) [Endline] broken down by households_headed_by_women on the admin of Overall mean</v>
      </c>
      <c r="D310" s="19" t="s">
        <v>45</v>
      </c>
      <c r="E310" s="21">
        <v>387</v>
      </c>
    </row>
    <row r="311" spans="2:5" x14ac:dyDescent="0.3">
      <c r="B311" s="19" t="s">
        <v>42</v>
      </c>
      <c r="C311" s="20" t="str">
        <f>HYPERLINK("#'Data'!A1976", "Extent to which received MPCA helped cover household needs during usage period [Endline] broken down by households_headed_by_women on the admin of Ove...")</f>
        <v>Extent to which received MPCA helped cover household needs during usage period [Endline] broken down by households_headed_by_women on the admin of Ove...</v>
      </c>
      <c r="D311" s="19" t="s">
        <v>45</v>
      </c>
      <c r="E311" s="21">
        <v>402</v>
      </c>
    </row>
    <row r="312" spans="2:5" x14ac:dyDescent="0.3">
      <c r="B312" s="19" t="s">
        <v>42</v>
      </c>
      <c r="C312" s="20" t="str">
        <f>HYPERLINK("#'Data'!A2050", "Percentage of needs covered by MPCA (if partially met) [Endline] broken down by households_headed_by_women on the admin of Overall mean")</f>
        <v>Percentage of needs covered by MPCA (if partially met) [Endline] broken down by households_headed_by_women on the admin of Overall mean</v>
      </c>
      <c r="D312" s="19" t="s">
        <v>45</v>
      </c>
      <c r="E312" s="21">
        <v>417</v>
      </c>
    </row>
    <row r="313" spans="2:5" hidden="1" x14ac:dyDescent="0.3">
      <c r="B313" s="19" t="s">
        <v>40</v>
      </c>
      <c r="C313" s="20" t="str">
        <f>HYPERLINK("#'Data'!A2139", "Priority needs requiring financial aid, with importance level [Baseline] broken down by households_evacuated_from_the_territory_of_active_hostilities_...")</f>
        <v>Priority needs requiring financial aid, with importance level [Baseline] broken down by households_evacuated_from_the_territory_of_active_hostilities_...</v>
      </c>
      <c r="D313" s="19" t="s">
        <v>44</v>
      </c>
      <c r="E313" s="21">
        <v>435</v>
      </c>
    </row>
    <row r="314" spans="2:5" hidden="1" x14ac:dyDescent="0.3">
      <c r="B314" s="19" t="s">
        <v>40</v>
      </c>
      <c r="C314" s="20" t="str">
        <f>HYPERLINK("#'Data'!A2211", "Importance rating for 'Other' priority need requiring financial assistance [Baseline] broken down by households_evacuated_from_the_territory_of_active...")</f>
        <v>Importance rating for 'Other' priority need requiring financial assistance [Baseline] broken down by households_evacuated_from_the_territory_of_active...</v>
      </c>
      <c r="D314" s="19" t="s">
        <v>44</v>
      </c>
      <c r="E314" s="21">
        <v>450</v>
      </c>
    </row>
    <row r="315" spans="2:5" hidden="1" x14ac:dyDescent="0.3">
      <c r="B315" s="19" t="s">
        <v>40</v>
      </c>
      <c r="C315" s="20" t="str">
        <f>HYPERLINK("#'Data'!A2285", "Importance rating for 'Food' priority need requiring financial assistance [Baseline] broken down by households_evacuated_from_the_territory_of_active_...")</f>
        <v>Importance rating for 'Food' priority need requiring financial assistance [Baseline] broken down by households_evacuated_from_the_territory_of_active_...</v>
      </c>
      <c r="D315" s="19" t="s">
        <v>44</v>
      </c>
      <c r="E315" s="21">
        <v>465</v>
      </c>
    </row>
    <row r="316" spans="2:5" hidden="1" x14ac:dyDescent="0.3">
      <c r="B316" s="19" t="s">
        <v>40</v>
      </c>
      <c r="C316" s="20" t="str">
        <f>HYPERLINK("#'Data'!A2357", "Importance rating for 'Personal hygiene' priority need requiring financial assistance [Baseline] broken down by households_evacuated_from_the_territor...")</f>
        <v>Importance rating for 'Personal hygiene' priority need requiring financial assistance [Baseline] broken down by households_evacuated_from_the_territor...</v>
      </c>
      <c r="D316" s="19" t="s">
        <v>44</v>
      </c>
      <c r="E316" s="21">
        <v>480</v>
      </c>
    </row>
    <row r="317" spans="2:5" hidden="1" x14ac:dyDescent="0.3">
      <c r="B317" s="19" t="s">
        <v>40</v>
      </c>
      <c r="C317" s="20" t="str">
        <f>HYPERLINK("#'Data'!A2424", "Importance rating for 'Cleaning items' priority need requiring financial assistance [Baseline] broken down by households_evacuated_from_the_territory_...")</f>
        <v>Importance rating for 'Cleaning items' priority need requiring financial assistance [Baseline] broken down by households_evacuated_from_the_territory_...</v>
      </c>
      <c r="D317" s="19" t="s">
        <v>44</v>
      </c>
      <c r="E317" s="21">
        <v>495</v>
      </c>
    </row>
    <row r="318" spans="2:5" hidden="1" x14ac:dyDescent="0.3">
      <c r="B318" s="19" t="s">
        <v>40</v>
      </c>
      <c r="C318" s="20" t="str">
        <f>HYPERLINK("#'Data'!A2490", "Importance rating for 'Non-food items' priority need requiring financial assistance [Baseline] broken down by households_evacuated_from_the_territory_...")</f>
        <v>Importance rating for 'Non-food items' priority need requiring financial assistance [Baseline] broken down by households_evacuated_from_the_territory_...</v>
      </c>
      <c r="D318" s="19" t="s">
        <v>44</v>
      </c>
      <c r="E318" s="21">
        <v>510</v>
      </c>
    </row>
    <row r="319" spans="2:5" hidden="1" x14ac:dyDescent="0.3">
      <c r="B319" s="19" t="s">
        <v>40</v>
      </c>
      <c r="C319" s="20" t="str">
        <f>HYPERLINK("#'Data'!A2560", "Importance rating for 'Clothing and shoes' priority need requiring financial assistance [Baseline] broken down by households_evacuated_from_the_territ...")</f>
        <v>Importance rating for 'Clothing and shoes' priority need requiring financial assistance [Baseline] broken down by households_evacuated_from_the_territ...</v>
      </c>
      <c r="D319" s="19" t="s">
        <v>44</v>
      </c>
      <c r="E319" s="21">
        <v>525</v>
      </c>
    </row>
    <row r="320" spans="2:5" hidden="1" x14ac:dyDescent="0.3">
      <c r="B320" s="19" t="s">
        <v>40</v>
      </c>
      <c r="C320" s="20" t="str">
        <f>HYPERLINK("#'Data'!A2633", "Importance rating for 'Heating fuel' priority need requiring financial assistance [Baseline] broken down by households_evacuated_from_the_territory_of...")</f>
        <v>Importance rating for 'Heating fuel' priority need requiring financial assistance [Baseline] broken down by households_evacuated_from_the_territory_of...</v>
      </c>
      <c r="D320" s="19" t="s">
        <v>44</v>
      </c>
      <c r="E320" s="21">
        <v>540</v>
      </c>
    </row>
    <row r="321" spans="2:5" hidden="1" x14ac:dyDescent="0.3">
      <c r="B321" s="19" t="s">
        <v>40</v>
      </c>
      <c r="C321" s="20" t="str">
        <f>HYPERLINK("#'Data'!A2698", "Importance rating for 'Safe water' priority need requiring financial assistance [Baseline] broken down by households_evacuated_from_the_territory_of_a...")</f>
        <v>Importance rating for 'Safe water' priority need requiring financial assistance [Baseline] broken down by households_evacuated_from_the_territory_of_a...</v>
      </c>
      <c r="D321" s="19" t="s">
        <v>44</v>
      </c>
      <c r="E321" s="21">
        <v>555</v>
      </c>
    </row>
    <row r="322" spans="2:5" hidden="1" x14ac:dyDescent="0.3">
      <c r="B322" s="19" t="s">
        <v>40</v>
      </c>
      <c r="C322" s="20" t="str">
        <f>HYPERLINK("#'Data'!A2767", "Importance rating for 'Utilities' priority need requiring financial assistance [Baseline] broken down by households_evacuated_from_the_territory_of_ac...")</f>
        <v>Importance rating for 'Utilities' priority need requiring financial assistance [Baseline] broken down by households_evacuated_from_the_territory_of_ac...</v>
      </c>
      <c r="D322" s="19" t="s">
        <v>44</v>
      </c>
      <c r="E322" s="21">
        <v>570</v>
      </c>
    </row>
    <row r="323" spans="2:5" hidden="1" x14ac:dyDescent="0.3">
      <c r="B323" s="19" t="s">
        <v>40</v>
      </c>
      <c r="C323" s="20" t="str">
        <f>HYPERLINK("#'Data'!A2832", "Importance rating for 'Water supply' priority need requiring financial assistance [Baseline] broken down by households_evacuated_from_the_territory_of...")</f>
        <v>Importance rating for 'Water supply' priority need requiring financial assistance [Baseline] broken down by households_evacuated_from_the_territory_of...</v>
      </c>
      <c r="D323" s="19" t="s">
        <v>44</v>
      </c>
      <c r="E323" s="21">
        <v>585</v>
      </c>
    </row>
    <row r="324" spans="2:5" hidden="1" x14ac:dyDescent="0.3">
      <c r="B324" s="19" t="s">
        <v>40</v>
      </c>
      <c r="C324" s="20" t="str">
        <f>HYPERLINK("#'Data'!A2895", "Importance rating for 'Rent' priority need requiring financial assistance [Baseline] broken down by households_evacuated_from_the_territory_of_active_...")</f>
        <v>Importance rating for 'Rent' priority need requiring financial assistance [Baseline] broken down by households_evacuated_from_the_territory_of_active_...</v>
      </c>
      <c r="D324" s="19" t="s">
        <v>44</v>
      </c>
      <c r="E324" s="21">
        <v>600</v>
      </c>
    </row>
    <row r="325" spans="2:5" hidden="1" x14ac:dyDescent="0.3">
      <c r="B325" s="19" t="s">
        <v>40</v>
      </c>
      <c r="C325" s="20" t="str">
        <f>HYPERLINK("#'Data'!A2967", "Importance rating for 'Medication' priority need requiring financial assistance [Baseline] broken down by households_evacuated_from_the_territory_of_a...")</f>
        <v>Importance rating for 'Medication' priority need requiring financial assistance [Baseline] broken down by households_evacuated_from_the_territory_of_a...</v>
      </c>
      <c r="D325" s="19" t="s">
        <v>44</v>
      </c>
      <c r="E325" s="21">
        <v>615</v>
      </c>
    </row>
    <row r="326" spans="2:5" hidden="1" x14ac:dyDescent="0.3">
      <c r="B326" s="19" t="s">
        <v>40</v>
      </c>
      <c r="C326" s="20" t="str">
        <f>HYPERLINK("#'Data'!A3036", "Importance rating for 'Agricultural inputs' priority need requiring financial assistance [Baseline] broken down by households_evacuated_from_the_terri...")</f>
        <v>Importance rating for 'Agricultural inputs' priority need requiring financial assistance [Baseline] broken down by households_evacuated_from_the_terri...</v>
      </c>
      <c r="D326" s="19" t="s">
        <v>44</v>
      </c>
      <c r="E326" s="21">
        <v>630</v>
      </c>
    </row>
    <row r="327" spans="2:5" hidden="1" x14ac:dyDescent="0.3">
      <c r="B327" s="19" t="s">
        <v>40</v>
      </c>
      <c r="C327" s="20" t="str">
        <f>HYPERLINK("#'Data'!A3105", "Importance rating for 'Shelter maintenance' priority need requiring financial assistance [Baseline] broken down by households_evacuated_from_the_terri...")</f>
        <v>Importance rating for 'Shelter maintenance' priority need requiring financial assistance [Baseline] broken down by households_evacuated_from_the_terri...</v>
      </c>
      <c r="D327" s="19" t="s">
        <v>44</v>
      </c>
      <c r="E327" s="21">
        <v>645</v>
      </c>
    </row>
    <row r="328" spans="2:5" hidden="1" x14ac:dyDescent="0.3">
      <c r="B328" s="19" t="s">
        <v>40</v>
      </c>
      <c r="C328" s="20" t="str">
        <f>HYPERLINK("#'Data'!A3172", "Importance rating for 'Transportation' priority need requiring financial assistance [Baseline] broken down by households_evacuated_from_the_territory_...")</f>
        <v>Importance rating for 'Transportation' priority need requiring financial assistance [Baseline] broken down by households_evacuated_from_the_territory_...</v>
      </c>
      <c r="D328" s="19" t="s">
        <v>44</v>
      </c>
      <c r="E328" s="21">
        <v>660</v>
      </c>
    </row>
    <row r="329" spans="2:5" hidden="1" x14ac:dyDescent="0.3">
      <c r="B329" s="19" t="s">
        <v>40</v>
      </c>
      <c r="C329" s="20" t="str">
        <f>HYPERLINK("#'Data'!A3234", "Importance rating for 'Communication' priority need requiring financial assistance [Baseline] broken down by households_evacuated_from_the_territory_o...")</f>
        <v>Importance rating for 'Communication' priority need requiring financial assistance [Baseline] broken down by households_evacuated_from_the_territory_o...</v>
      </c>
      <c r="D329" s="19" t="s">
        <v>44</v>
      </c>
      <c r="E329" s="21">
        <v>675</v>
      </c>
    </row>
    <row r="330" spans="2:5" hidden="1" x14ac:dyDescent="0.3">
      <c r="B330" s="19" t="s">
        <v>40</v>
      </c>
      <c r="C330" s="20" t="str">
        <f>HYPERLINK("#'Data'!A3299", "Importance rating for 'Education materials' priority need requiring financial assistance [Baseline] broken down by households_evacuated_from_the_terri...")</f>
        <v>Importance rating for 'Education materials' priority need requiring financial assistance [Baseline] broken down by households_evacuated_from_the_terri...</v>
      </c>
      <c r="D330" s="19" t="s">
        <v>44</v>
      </c>
      <c r="E330" s="21">
        <v>690</v>
      </c>
    </row>
    <row r="331" spans="2:5" hidden="1" x14ac:dyDescent="0.3">
      <c r="B331" s="19" t="s">
        <v>40</v>
      </c>
      <c r="C331" s="20" t="str">
        <f>HYPERLINK("#'Data'!A3373", "Household needs met exclusively due to MPCA and their fulfillment level [Endline] broken down by households_evacuated_from_the_territory_of_active_hos...")</f>
        <v>Household needs met exclusively due to MPCA and their fulfillment level [Endline] broken down by households_evacuated_from_the_territory_of_active_hos...</v>
      </c>
      <c r="D331" s="19" t="s">
        <v>44</v>
      </c>
      <c r="E331" s="21">
        <v>705</v>
      </c>
    </row>
    <row r="332" spans="2:5" hidden="1" x14ac:dyDescent="0.3">
      <c r="B332" s="19" t="s">
        <v>40</v>
      </c>
      <c r="C332" s="20" t="str">
        <f>HYPERLINK("#'Data'!A3445", "Fulfillment level of 'Other' need met exclusively due to MPCA [Endline] broken down by households_evacuated_from_the_territory_of_active_hostilities_w...")</f>
        <v>Fulfillment level of 'Other' need met exclusively due to MPCA [Endline] broken down by households_evacuated_from_the_territory_of_active_hostilities_w...</v>
      </c>
      <c r="D332" s="19" t="s">
        <v>44</v>
      </c>
      <c r="E332" s="21">
        <v>720</v>
      </c>
    </row>
    <row r="333" spans="2:5" hidden="1" x14ac:dyDescent="0.3">
      <c r="B333" s="19" t="s">
        <v>40</v>
      </c>
      <c r="C333" s="20" t="str">
        <f>HYPERLINK("#'Data'!A3518", "Fulfillment level of 'Food' need met exclusively due to MPCA [Endline] broken down by households_evacuated_from_the_territory_of_active_hostilities_wi...")</f>
        <v>Fulfillment level of 'Food' need met exclusively due to MPCA [Endline] broken down by households_evacuated_from_the_territory_of_active_hostilities_wi...</v>
      </c>
      <c r="D333" s="19" t="s">
        <v>44</v>
      </c>
      <c r="E333" s="21">
        <v>735</v>
      </c>
    </row>
    <row r="334" spans="2:5" x14ac:dyDescent="0.3">
      <c r="B334" s="19" t="s">
        <v>42</v>
      </c>
      <c r="C334" s="20" t="str">
        <f>HYPERLINK("#'Data'!A3574", "Fulfillment level of 'Personal hygiene' need met exclusively due to MPCA [Endline] broken down by households_headed_by_women on the admin of Overall p...")</f>
        <v>Fulfillment level of 'Personal hygiene' need met exclusively due to MPCA [Endline] broken down by households_headed_by_women on the admin of Overall p...</v>
      </c>
      <c r="D334" s="19" t="s">
        <v>45</v>
      </c>
      <c r="E334" s="21">
        <v>747</v>
      </c>
    </row>
    <row r="335" spans="2:5" x14ac:dyDescent="0.3">
      <c r="B335" s="19" t="s">
        <v>42</v>
      </c>
      <c r="C335" s="20" t="str">
        <f>HYPERLINK("#'Data'!A3645", "Fulfillment level of 'Cleaning items' need met exclusively due to MPCA [Endline] broken down by households_headed_by_women on the admin of Overall per...")</f>
        <v>Fulfillment level of 'Cleaning items' need met exclusively due to MPCA [Endline] broken down by households_headed_by_women on the admin of Overall per...</v>
      </c>
      <c r="D335" s="19" t="s">
        <v>45</v>
      </c>
      <c r="E335" s="21">
        <v>762</v>
      </c>
    </row>
    <row r="336" spans="2:5" x14ac:dyDescent="0.3">
      <c r="B336" s="19" t="s">
        <v>42</v>
      </c>
      <c r="C336" s="20" t="str">
        <f>HYPERLINK("#'Data'!A3715", "Fulfillment level of 'Non-food items' need met exclusively due to MPCA [Endline] broken down by households_headed_by_women on the admin of Overall per...")</f>
        <v>Fulfillment level of 'Non-food items' need met exclusively due to MPCA [Endline] broken down by households_headed_by_women on the admin of Overall per...</v>
      </c>
      <c r="D336" s="19" t="s">
        <v>45</v>
      </c>
      <c r="E336" s="21">
        <v>777</v>
      </c>
    </row>
    <row r="337" spans="2:5" x14ac:dyDescent="0.3">
      <c r="B337" s="19" t="s">
        <v>42</v>
      </c>
      <c r="C337" s="20" t="str">
        <f>HYPERLINK("#'Data'!A3788", "Fulfillment level of 'Clothing and shoes' need met exclusively due to MPCA [Endline] broken down by households_headed_by_women on the admin of Overall...")</f>
        <v>Fulfillment level of 'Clothing and shoes' need met exclusively due to MPCA [Endline] broken down by households_headed_by_women on the admin of Overall...</v>
      </c>
      <c r="D337" s="19" t="s">
        <v>45</v>
      </c>
      <c r="E337" s="21">
        <v>792</v>
      </c>
    </row>
    <row r="338" spans="2:5" x14ac:dyDescent="0.3">
      <c r="B338" s="19" t="s">
        <v>42</v>
      </c>
      <c r="C338" s="20" t="str">
        <f>HYPERLINK("#'Data'!A3862", "Fulfillment level of 'Heating fuel' need met exclusively due to MPCA [Endline] broken down by households_headed_by_women on the admin of Overall perc")</f>
        <v>Fulfillment level of 'Heating fuel' need met exclusively due to MPCA [Endline] broken down by households_headed_by_women on the admin of Overall perc</v>
      </c>
      <c r="D338" s="19" t="s">
        <v>45</v>
      </c>
      <c r="E338" s="21">
        <v>807</v>
      </c>
    </row>
    <row r="339" spans="2:5" x14ac:dyDescent="0.3">
      <c r="B339" s="19" t="s">
        <v>42</v>
      </c>
      <c r="C339" s="20" t="str">
        <f>HYPERLINK("#'Data'!A3930", "Fulfillment level of 'Safe water' need met exclusively due to MPCA [Endline] broken down by households_headed_by_women on the admin of Overall perc")</f>
        <v>Fulfillment level of 'Safe water' need met exclusively due to MPCA [Endline] broken down by households_headed_by_women on the admin of Overall perc</v>
      </c>
      <c r="D339" s="19" t="s">
        <v>45</v>
      </c>
      <c r="E339" s="21">
        <v>822</v>
      </c>
    </row>
    <row r="340" spans="2:5" x14ac:dyDescent="0.3">
      <c r="B340" s="19" t="s">
        <v>42</v>
      </c>
      <c r="C340" s="20" t="str">
        <f>HYPERLINK("#'Data'!A3999", "Fulfillment level of 'Utilities' need met exclusively due to MPCA [Endline] broken down by households_headed_by_women on the admin of Overall perc")</f>
        <v>Fulfillment level of 'Utilities' need met exclusively due to MPCA [Endline] broken down by households_headed_by_women on the admin of Overall perc</v>
      </c>
      <c r="D340" s="19" t="s">
        <v>45</v>
      </c>
      <c r="E340" s="21">
        <v>837</v>
      </c>
    </row>
    <row r="341" spans="2:5" x14ac:dyDescent="0.3">
      <c r="B341" s="19" t="s">
        <v>42</v>
      </c>
      <c r="C341" s="20" t="str">
        <f>HYPERLINK("#'Data'!A4068", "Fulfillment level of 'Water supply' need met exclusively due to MPCA [Endline] broken down by households_headed_by_women on the admin of Overall perc")</f>
        <v>Fulfillment level of 'Water supply' need met exclusively due to MPCA [Endline] broken down by households_headed_by_women on the admin of Overall perc</v>
      </c>
      <c r="D341" s="19" t="s">
        <v>45</v>
      </c>
      <c r="E341" s="21">
        <v>852</v>
      </c>
    </row>
    <row r="342" spans="2:5" x14ac:dyDescent="0.3">
      <c r="B342" s="19" t="s">
        <v>42</v>
      </c>
      <c r="C342" s="20" t="str">
        <f>HYPERLINK("#'Data'!A4139", "Fulfillment level of 'Rent' need met exclusively due to MPCA [Endline] broken down by households_headed_by_women on the admin of Overall perc")</f>
        <v>Fulfillment level of 'Rent' need met exclusively due to MPCA [Endline] broken down by households_headed_by_women on the admin of Overall perc</v>
      </c>
      <c r="D342" s="19" t="s">
        <v>45</v>
      </c>
      <c r="E342" s="21">
        <v>867</v>
      </c>
    </row>
    <row r="343" spans="2:5" x14ac:dyDescent="0.3">
      <c r="B343" s="19" t="s">
        <v>42</v>
      </c>
      <c r="C343" s="20" t="str">
        <f>HYPERLINK("#'Data'!A4205", "Fulfillment level of 'Assistive products' need met exclusively due to MPCA [Endline] broken down by households_headed_by_women on the admin of Overall...")</f>
        <v>Fulfillment level of 'Assistive products' need met exclusively due to MPCA [Endline] broken down by households_headed_by_women on the admin of Overall...</v>
      </c>
      <c r="D343" s="19" t="s">
        <v>45</v>
      </c>
      <c r="E343" s="21">
        <v>882</v>
      </c>
    </row>
    <row r="344" spans="2:5" x14ac:dyDescent="0.3">
      <c r="B344" s="19" t="s">
        <v>42</v>
      </c>
      <c r="C344" s="20" t="str">
        <f>HYPERLINK("#'Data'!A4271", "Fulfillment level of 'Medication' need met exclusively due to MPCA [Endline] broken down by households_headed_by_women on the admin of Overall perc")</f>
        <v>Fulfillment level of 'Medication' need met exclusively due to MPCA [Endline] broken down by households_headed_by_women on the admin of Overall perc</v>
      </c>
      <c r="D344" s="19" t="s">
        <v>45</v>
      </c>
      <c r="E344" s="21">
        <v>897</v>
      </c>
    </row>
    <row r="345" spans="2:5" x14ac:dyDescent="0.3">
      <c r="B345" s="19" t="s">
        <v>42</v>
      </c>
      <c r="C345" s="20" t="str">
        <f>HYPERLINK("#'Data'!A4340", "Fulfillment level of 'Agricultural inputs' need met exclusively due to MPCA [Endline] broken down by households_headed_by_women on the admin of Overal...")</f>
        <v>Fulfillment level of 'Agricultural inputs' need met exclusively due to MPCA [Endline] broken down by households_headed_by_women on the admin of Overal...</v>
      </c>
      <c r="D345" s="19" t="s">
        <v>45</v>
      </c>
      <c r="E345" s="21">
        <v>912</v>
      </c>
    </row>
    <row r="346" spans="2:5" x14ac:dyDescent="0.3">
      <c r="B346" s="19" t="s">
        <v>42</v>
      </c>
      <c r="C346" s="20" t="str">
        <f>HYPERLINK("#'Data'!A4409", "Fulfillment level of 'Shelter maintenance' need met exclusively due to MPCA [Endline] broken down by households_headed_by_women on the admin of Overal...")</f>
        <v>Fulfillment level of 'Shelter maintenance' need met exclusively due to MPCA [Endline] broken down by households_headed_by_women on the admin of Overal...</v>
      </c>
      <c r="D346" s="19" t="s">
        <v>45</v>
      </c>
      <c r="E346" s="21">
        <v>927</v>
      </c>
    </row>
    <row r="347" spans="2:5" x14ac:dyDescent="0.3">
      <c r="B347" s="19" t="s">
        <v>42</v>
      </c>
      <c r="C347" s="20" t="str">
        <f>HYPERLINK("#'Data'!A4479", "Fulfillment level of 'Future savings' need met exclusively due to MPCA [Endline] broken down by households_headed_by_women on the admin of Overall per...")</f>
        <v>Fulfillment level of 'Future savings' need met exclusively due to MPCA [Endline] broken down by households_headed_by_women on the admin of Overall per...</v>
      </c>
      <c r="D347" s="19" t="s">
        <v>45</v>
      </c>
      <c r="E347" s="21">
        <v>942</v>
      </c>
    </row>
    <row r="348" spans="2:5" x14ac:dyDescent="0.3">
      <c r="B348" s="19" t="s">
        <v>42</v>
      </c>
      <c r="C348" s="20" t="str">
        <f>HYPERLINK("#'Data'!A4547", "Fulfillment level of 'Shared with others' need met exclusively due to MPCA [Endline] broken down by households_headed_by_women on the admin of Overall...")</f>
        <v>Fulfillment level of 'Shared with others' need met exclusively due to MPCA [Endline] broken down by households_headed_by_women on the admin of Overall...</v>
      </c>
      <c r="D348" s="19" t="s">
        <v>45</v>
      </c>
      <c r="E348" s="21">
        <v>957</v>
      </c>
    </row>
    <row r="349" spans="2:5" x14ac:dyDescent="0.3">
      <c r="B349" s="19" t="s">
        <v>42</v>
      </c>
      <c r="C349" s="20" t="str">
        <f>HYPERLINK("#'Data'!A4616", "Fulfillment level of 'Transportation' need met exclusively due to MPCA [Endline] broken down by households_headed_by_women on the admin of Overall per...")</f>
        <v>Fulfillment level of 'Transportation' need met exclusively due to MPCA [Endline] broken down by households_headed_by_women on the admin of Overall per...</v>
      </c>
      <c r="D349" s="19" t="s">
        <v>45</v>
      </c>
      <c r="E349" s="21">
        <v>972</v>
      </c>
    </row>
    <row r="350" spans="2:5" x14ac:dyDescent="0.3">
      <c r="B350" s="19" t="s">
        <v>42</v>
      </c>
      <c r="C350" s="20" t="str">
        <f>HYPERLINK("#'Data'!A4686", "Fulfillment level of 'Communication' need met exclusively due to MPCA [Endline] broken down by households_headed_by_women on the admin of Overall perc")</f>
        <v>Fulfillment level of 'Communication' need met exclusively due to MPCA [Endline] broken down by households_headed_by_women on the admin of Overall perc</v>
      </c>
      <c r="D350" s="19" t="s">
        <v>45</v>
      </c>
      <c r="E350" s="21">
        <v>987</v>
      </c>
    </row>
    <row r="351" spans="2:5" x14ac:dyDescent="0.3">
      <c r="B351" s="19" t="s">
        <v>42</v>
      </c>
      <c r="C351" s="20" t="str">
        <f>HYPERLINK("#'Data'!A4756", "Fulfillment level of 'Education materials' need met exclusively due to MPCA [Endline] broken down by households_headed_by_women on the admin of Overal...")</f>
        <v>Fulfillment level of 'Education materials' need met exclusively due to MPCA [Endline] broken down by households_headed_by_women on the admin of Overal...</v>
      </c>
      <c r="D351" s="19" t="s">
        <v>45</v>
      </c>
      <c r="E351" s="21">
        <v>1002</v>
      </c>
    </row>
    <row r="352" spans="2:5" x14ac:dyDescent="0.3">
      <c r="B352" s="19" t="s">
        <v>42</v>
      </c>
      <c r="C352" s="20" t="str">
        <f>HYPERLINK("#'Data'!A4830", "Estimated percentage of MPCA spent on each category of goods and services [Endline] broken down by households_headed_by_women on the admin of Overall ...")</f>
        <v>Estimated percentage of MPCA spent on each category of goods and services [Endline] broken down by households_headed_by_women on the admin of Overall ...</v>
      </c>
      <c r="D352" s="19" t="s">
        <v>45</v>
      </c>
      <c r="E352" s="21">
        <v>1017</v>
      </c>
    </row>
    <row r="353" spans="2:5" x14ac:dyDescent="0.3">
      <c r="B353" s="19" t="s">
        <v>42</v>
      </c>
      <c r="C353" s="20" t="str">
        <f>HYPERLINK("#'Data'!A4902", "Estimated percentage of MPCA spent on 'Other' category [Endline] broken down by households_headed_by_women on the admin of Overall mean")</f>
        <v>Estimated percentage of MPCA spent on 'Other' category [Endline] broken down by households_headed_by_women on the admin of Overall mean</v>
      </c>
      <c r="D353" s="19" t="s">
        <v>45</v>
      </c>
      <c r="E353" s="21">
        <v>1032</v>
      </c>
    </row>
    <row r="354" spans="2:5" x14ac:dyDescent="0.3">
      <c r="B354" s="19" t="s">
        <v>42</v>
      </c>
      <c r="C354" s="20" t="str">
        <f>HYPERLINK("#'Data'!A4975", "Estimated percentage of MPCA spent on 'Food' category [Endline] broken down by households_headed_by_women on the admin of Overall mean")</f>
        <v>Estimated percentage of MPCA spent on 'Food' category [Endline] broken down by households_headed_by_women on the admin of Overall mean</v>
      </c>
      <c r="D354" s="19" t="s">
        <v>45</v>
      </c>
      <c r="E354" s="21">
        <v>1047</v>
      </c>
    </row>
    <row r="355" spans="2:5" x14ac:dyDescent="0.3">
      <c r="B355" s="19" t="s">
        <v>42</v>
      </c>
      <c r="C355" s="20" t="str">
        <f>HYPERLINK("#'Data'!A5046", "Estimated percentage of MPCA spent on 'Personal hygiene' category [Endline] broken down by households_headed_by_women on the admin of Overall mean")</f>
        <v>Estimated percentage of MPCA spent on 'Personal hygiene' category [Endline] broken down by households_headed_by_women on the admin of Overall mean</v>
      </c>
      <c r="D355" s="19" t="s">
        <v>45</v>
      </c>
      <c r="E355" s="21">
        <v>1062</v>
      </c>
    </row>
    <row r="356" spans="2:5" x14ac:dyDescent="0.3">
      <c r="B356" s="19" t="s">
        <v>42</v>
      </c>
      <c r="C356" s="20" t="str">
        <f>HYPERLINK("#'Data'!A5118", "Estimated percentage of MPCA spent on 'Cleaning items' category [Endline] broken down by households_headed_by_women on the admin of Overall mean")</f>
        <v>Estimated percentage of MPCA spent on 'Cleaning items' category [Endline] broken down by households_headed_by_women on the admin of Overall mean</v>
      </c>
      <c r="D356" s="19" t="s">
        <v>45</v>
      </c>
      <c r="E356" s="21">
        <v>1077</v>
      </c>
    </row>
    <row r="357" spans="2:5" x14ac:dyDescent="0.3">
      <c r="B357" s="19" t="s">
        <v>42</v>
      </c>
      <c r="C357" s="20" t="str">
        <f>HYPERLINK("#'Data'!A5189", "Estimated percentage of MPCA spent on 'Non-food items' category [Endline] broken down by households_headed_by_women on the admin of Overall mean")</f>
        <v>Estimated percentage of MPCA spent on 'Non-food items' category [Endline] broken down by households_headed_by_women on the admin of Overall mean</v>
      </c>
      <c r="D357" s="19" t="s">
        <v>45</v>
      </c>
      <c r="E357" s="21">
        <v>1092</v>
      </c>
    </row>
    <row r="358" spans="2:5" x14ac:dyDescent="0.3">
      <c r="B358" s="19" t="s">
        <v>42</v>
      </c>
      <c r="C358" s="20" t="str">
        <f>HYPERLINK("#'Data'!A5262", "Estimated percentage of MPCA spent on 'Clothing and shoes' category [Endline] broken down by households_headed_by_women on the admin of Overall mean")</f>
        <v>Estimated percentage of MPCA spent on 'Clothing and shoes' category [Endline] broken down by households_headed_by_women on the admin of Overall mean</v>
      </c>
      <c r="D358" s="19" t="s">
        <v>45</v>
      </c>
      <c r="E358" s="21">
        <v>1107</v>
      </c>
    </row>
    <row r="359" spans="2:5" x14ac:dyDescent="0.3">
      <c r="B359" s="19" t="s">
        <v>42</v>
      </c>
      <c r="C359" s="20" t="str">
        <f>HYPERLINK("#'Data'!A5336", "Estimated percentage of MPCA spent on 'Heating fuel' category [Endline] broken down by households_headed_by_women on the admin of Overall mean")</f>
        <v>Estimated percentage of MPCA spent on 'Heating fuel' category [Endline] broken down by households_headed_by_women on the admin of Overall mean</v>
      </c>
      <c r="D359" s="19" t="s">
        <v>45</v>
      </c>
      <c r="E359" s="21">
        <v>1122</v>
      </c>
    </row>
    <row r="360" spans="2:5" x14ac:dyDescent="0.3">
      <c r="B360" s="19" t="s">
        <v>42</v>
      </c>
      <c r="C360" s="20" t="str">
        <f>HYPERLINK("#'Data'!A5404", "Estimated percentage of MPCA spent on 'Safe water' category [Endline] broken down by households_headed_by_women on the admin of Overall mean")</f>
        <v>Estimated percentage of MPCA spent on 'Safe water' category [Endline] broken down by households_headed_by_women on the admin of Overall mean</v>
      </c>
      <c r="D360" s="19" t="s">
        <v>45</v>
      </c>
      <c r="E360" s="21">
        <v>1137</v>
      </c>
    </row>
    <row r="361" spans="2:5" x14ac:dyDescent="0.3">
      <c r="B361" s="19" t="s">
        <v>42</v>
      </c>
      <c r="C361" s="20" t="str">
        <f>HYPERLINK("#'Data'!A5473", "Estimated percentage of MPCA spent on 'Utilities' category [Endline] broken down by households_headed_by_women on the admin of Overall mean")</f>
        <v>Estimated percentage of MPCA spent on 'Utilities' category [Endline] broken down by households_headed_by_women on the admin of Overall mean</v>
      </c>
      <c r="D361" s="19" t="s">
        <v>45</v>
      </c>
      <c r="E361" s="21">
        <v>1152</v>
      </c>
    </row>
    <row r="362" spans="2:5" x14ac:dyDescent="0.3">
      <c r="B362" s="19" t="s">
        <v>42</v>
      </c>
      <c r="C362" s="20" t="str">
        <f>HYPERLINK("#'Data'!A5542", "Estimated percentage of MPCA spent on 'Water supply' category [Endline] broken down by households_headed_by_women on the admin of Overall mean")</f>
        <v>Estimated percentage of MPCA spent on 'Water supply' category [Endline] broken down by households_headed_by_women on the admin of Overall mean</v>
      </c>
      <c r="D362" s="19" t="s">
        <v>45</v>
      </c>
      <c r="E362" s="21">
        <v>1167</v>
      </c>
    </row>
    <row r="363" spans="2:5" x14ac:dyDescent="0.3">
      <c r="B363" s="19" t="s">
        <v>42</v>
      </c>
      <c r="C363" s="20" t="str">
        <f>HYPERLINK("#'Data'!A5613", "Estimated percentage of MPCA spent on 'Rent' category [Endline] broken down by households_headed_by_women on the admin of Overall mean")</f>
        <v>Estimated percentage of MPCA spent on 'Rent' category [Endline] broken down by households_headed_by_women on the admin of Overall mean</v>
      </c>
      <c r="D363" s="19" t="s">
        <v>45</v>
      </c>
      <c r="E363" s="21">
        <v>1182</v>
      </c>
    </row>
    <row r="364" spans="2:5" x14ac:dyDescent="0.3">
      <c r="B364" s="19" t="s">
        <v>42</v>
      </c>
      <c r="C364" s="20" t="str">
        <f>HYPERLINK("#'Data'!A5679", "Estimated percentage of MPCA spent on 'Assistive products' category [Endline] broken down by households_headed_by_women on the admin of Overall mean")</f>
        <v>Estimated percentage of MPCA spent on 'Assistive products' category [Endline] broken down by households_headed_by_women on the admin of Overall mean</v>
      </c>
      <c r="D364" s="19" t="s">
        <v>45</v>
      </c>
      <c r="E364" s="21">
        <v>1197</v>
      </c>
    </row>
    <row r="365" spans="2:5" x14ac:dyDescent="0.3">
      <c r="B365" s="19" t="s">
        <v>42</v>
      </c>
      <c r="C365" s="20" t="str">
        <f>HYPERLINK("#'Data'!A5745", "Estimated percentage of MPCA spent on 'Medication' category [Endline] broken down by households_headed_by_women on the admin of Overall mean")</f>
        <v>Estimated percentage of MPCA spent on 'Medication' category [Endline] broken down by households_headed_by_women on the admin of Overall mean</v>
      </c>
      <c r="D365" s="19" t="s">
        <v>45</v>
      </c>
      <c r="E365" s="21">
        <v>1212</v>
      </c>
    </row>
    <row r="366" spans="2:5" x14ac:dyDescent="0.3">
      <c r="B366" s="19" t="s">
        <v>42</v>
      </c>
      <c r="C366" s="20" t="str">
        <f>HYPERLINK("#'Data'!A5816", "Estimated percentage of MPCA spent on 'Agricultural inputs' category [Endline] broken down by households_headed_by_women on the admin of Overall mean")</f>
        <v>Estimated percentage of MPCA spent on 'Agricultural inputs' category [Endline] broken down by households_headed_by_women on the admin of Overall mean</v>
      </c>
      <c r="D366" s="19" t="s">
        <v>45</v>
      </c>
      <c r="E366" s="21">
        <v>1227</v>
      </c>
    </row>
    <row r="367" spans="2:5" x14ac:dyDescent="0.3">
      <c r="B367" s="19" t="s">
        <v>42</v>
      </c>
      <c r="C367" s="20" t="str">
        <f>HYPERLINK("#'Data'!A5886", "Estimated percentage of MPCA spent on 'Shelter maintenance' category [Endline] broken down by households_headed_by_women on the admin of Overall mean")</f>
        <v>Estimated percentage of MPCA spent on 'Shelter maintenance' category [Endline] broken down by households_headed_by_women on the admin of Overall mean</v>
      </c>
      <c r="D367" s="19" t="s">
        <v>45</v>
      </c>
      <c r="E367" s="21">
        <v>1242</v>
      </c>
    </row>
    <row r="368" spans="2:5" x14ac:dyDescent="0.3">
      <c r="B368" s="19" t="s">
        <v>42</v>
      </c>
      <c r="C368" s="20" t="str">
        <f>HYPERLINK("#'Data'!A5956", "Estimated percentage of MPCA spent on 'Future savings' category [Endline] broken down by households_headed_by_women on the admin of Overall mean")</f>
        <v>Estimated percentage of MPCA spent on 'Future savings' category [Endline] broken down by households_headed_by_women on the admin of Overall mean</v>
      </c>
      <c r="D368" s="19" t="s">
        <v>45</v>
      </c>
      <c r="E368" s="21">
        <v>1257</v>
      </c>
    </row>
    <row r="369" spans="2:5" x14ac:dyDescent="0.3">
      <c r="B369" s="19" t="s">
        <v>42</v>
      </c>
      <c r="C369" s="20" t="str">
        <f>HYPERLINK("#'Data'!A6025", "Estimated percentage of MPCA spent on 'Shared with others' category [Endline] broken down by households_headed_by_women on the admin of Overall mean")</f>
        <v>Estimated percentage of MPCA spent on 'Shared with others' category [Endline] broken down by households_headed_by_women on the admin of Overall mean</v>
      </c>
      <c r="D369" s="19" t="s">
        <v>45</v>
      </c>
      <c r="E369" s="21">
        <v>1272</v>
      </c>
    </row>
    <row r="370" spans="2:5" x14ac:dyDescent="0.3">
      <c r="B370" s="19" t="s">
        <v>42</v>
      </c>
      <c r="C370" s="20" t="str">
        <f>HYPERLINK("#'Data'!A6094", "Estimated percentage of MPCA spent on 'Transportation' category [Endline] broken down by households_headed_by_women on the admin of Overall mean")</f>
        <v>Estimated percentage of MPCA spent on 'Transportation' category [Endline] broken down by households_headed_by_women on the admin of Overall mean</v>
      </c>
      <c r="D370" s="19" t="s">
        <v>45</v>
      </c>
      <c r="E370" s="21">
        <v>1287</v>
      </c>
    </row>
    <row r="371" spans="2:5" x14ac:dyDescent="0.3">
      <c r="B371" s="19" t="s">
        <v>42</v>
      </c>
      <c r="C371" s="20" t="str">
        <f>HYPERLINK("#'Data'!A6166", "Estimated percentage of MPCA spent on 'Communication' category [Endline] broken down by households_headed_by_women on the admin of Overall mean")</f>
        <v>Estimated percentage of MPCA spent on 'Communication' category [Endline] broken down by households_headed_by_women on the admin of Overall mean</v>
      </c>
      <c r="D371" s="19" t="s">
        <v>45</v>
      </c>
      <c r="E371" s="21">
        <v>1302</v>
      </c>
    </row>
    <row r="372" spans="2:5" x14ac:dyDescent="0.3">
      <c r="B372" s="19" t="s">
        <v>42</v>
      </c>
      <c r="C372" s="20" t="str">
        <f>HYPERLINK("#'Data'!A6236", "Estimated percentage of MPCA spent on 'Education materials' category [Endline] broken down by households_headed_by_women on the admin of Overall mean")</f>
        <v>Estimated percentage of MPCA spent on 'Education materials' category [Endline] broken down by households_headed_by_women on the admin of Overall mean</v>
      </c>
      <c r="D372" s="19" t="s">
        <v>45</v>
      </c>
      <c r="E372" s="21">
        <v>1317</v>
      </c>
    </row>
    <row r="373" spans="2:5" x14ac:dyDescent="0.3">
      <c r="B373" s="19" t="s">
        <v>42</v>
      </c>
      <c r="C373" s="20" t="str">
        <f>HYPERLINK("#'Data'!A6310", "Additional priority needs potentially met if MPCA duration extended to 6 months [Endline] broken down by households_headed_by_women on the admin of Ov...")</f>
        <v>Additional priority needs potentially met if MPCA duration extended to 6 months [Endline] broken down by households_headed_by_women on the admin of Ov...</v>
      </c>
      <c r="D373" s="19" t="s">
        <v>45</v>
      </c>
      <c r="E373" s="21">
        <v>1332</v>
      </c>
    </row>
    <row r="374" spans="2:5" x14ac:dyDescent="0.3">
      <c r="B374" s="19" t="s">
        <v>42</v>
      </c>
      <c r="C374" s="20" t="str">
        <f>HYPERLINK("#'Data'!A6384", "Additional priority needs potentially met with doubled MPCA amount over past 3 months [Endline] broken down by households_headed_by_women on the admin...")</f>
        <v>Additional priority needs potentially met with doubled MPCA amount over past 3 months [Endline] broken down by households_headed_by_women on the admin...</v>
      </c>
      <c r="D374" s="19" t="s">
        <v>45</v>
      </c>
      <c r="E374" s="21">
        <v>1347</v>
      </c>
    </row>
    <row r="375" spans="2:5" x14ac:dyDescent="0.3">
      <c r="B375" s="19" t="s">
        <v>42</v>
      </c>
      <c r="C375" s="20" t="str">
        <f>HYPERLINK("#'Data'!A6458", "Needs that MPCA is considered insufficient to address [Baseline] broken down by households_headed_by_women on the admin of Overall perc")</f>
        <v>Needs that MPCA is considered insufficient to address [Baseline] broken down by households_headed_by_women on the admin of Overall perc</v>
      </c>
      <c r="D375" s="19" t="s">
        <v>45</v>
      </c>
      <c r="E375" s="21">
        <v>1362</v>
      </c>
    </row>
    <row r="376" spans="2:5" x14ac:dyDescent="0.3">
      <c r="B376" s="19" t="s">
        <v>42</v>
      </c>
      <c r="C376" s="20" t="str">
        <f>HYPERLINK("#'Data'!A6532", "Needs that MPCA is considered insufficient to address [Endline] broken down by households_headed_by_women on the admin of Overall perc")</f>
        <v>Needs that MPCA is considered insufficient to address [Endline] broken down by households_headed_by_women on the admin of Overall perc</v>
      </c>
      <c r="D376" s="19" t="s">
        <v>45</v>
      </c>
      <c r="E376" s="21">
        <v>1377</v>
      </c>
    </row>
    <row r="377" spans="2:5" x14ac:dyDescent="0.3">
      <c r="B377" s="19" t="s">
        <v>42</v>
      </c>
      <c r="C377" s="20" t="str">
        <f>HYPERLINK("#'Data'!A6606", "Preferred type of assistance for meeting current household needs [Baseline] broken down by households_headed_by_women on the admin of Overall perc")</f>
        <v>Preferred type of assistance for meeting current household needs [Baseline] broken down by households_headed_by_women on the admin of Overall perc</v>
      </c>
      <c r="D377" s="19" t="s">
        <v>45</v>
      </c>
      <c r="E377" s="21">
        <v>1392</v>
      </c>
    </row>
    <row r="378" spans="2:5" hidden="1" x14ac:dyDescent="0.3">
      <c r="B378" s="19" t="s">
        <v>40</v>
      </c>
      <c r="C378" s="20" t="str">
        <f>HYPERLINK("#'Data'!A6695", "Preferred type of assistance for meeting current household needs [Endline] broken down by households_evacuated_from_the_territory_of_active_hostilitie...")</f>
        <v>Preferred type of assistance for meeting current household needs [Endline] broken down by households_evacuated_from_the_territory_of_active_hostilitie...</v>
      </c>
      <c r="D378" s="19" t="s">
        <v>44</v>
      </c>
      <c r="E378" s="21">
        <v>1410</v>
      </c>
    </row>
    <row r="379" spans="2:5" x14ac:dyDescent="0.3">
      <c r="B379" s="19" t="s">
        <v>42</v>
      </c>
      <c r="C379" s="20" t="str">
        <f>HYPERLINK("#'Data'!A6754", "Remaining needs after MPCA that require additional cash or in-kind assistance [Endline] broken down by households_headed_by_women on the admin of Over...")</f>
        <v>Remaining needs after MPCA that require additional cash or in-kind assistance [Endline] broken down by households_headed_by_women on the admin of Over...</v>
      </c>
      <c r="D379" s="19" t="s">
        <v>45</v>
      </c>
      <c r="E379" s="21">
        <v>1422</v>
      </c>
    </row>
    <row r="380" spans="2:5" hidden="1" x14ac:dyDescent="0.3">
      <c r="B380" s="19" t="s">
        <v>40</v>
      </c>
      <c r="C380" s="20" t="str">
        <f>HYPERLINK("#'Data'!A6843", "Remaining needs after MPCA that require additional cash or in-kind assistance [Endline] broken down by households_evacuated_from_the_territory_of_acti...")</f>
        <v>Remaining needs after MPCA that require additional cash or in-kind assistance [Endline] broken down by households_evacuated_from_the_territory_of_acti...</v>
      </c>
      <c r="D380" s="19" t="s">
        <v>44</v>
      </c>
      <c r="E380" s="21">
        <v>1440</v>
      </c>
    </row>
    <row r="381" spans="2:5" x14ac:dyDescent="0.3">
      <c r="B381" s="19" t="s">
        <v>42</v>
      </c>
      <c r="C381" s="20" t="str">
        <f>HYPERLINK("#'Data'!A6902", "Amount of multi-purpose cash assistance received over last 3 months in UAH [Endline] broken down by households_headed_by_women on the admin of Overall...")</f>
        <v>Amount of multi-purpose cash assistance received over last 3 months in UAH [Endline] broken down by households_headed_by_women on the admin of Overall...</v>
      </c>
      <c r="D381" s="19" t="s">
        <v>45</v>
      </c>
      <c r="E381" s="21">
        <v>1452</v>
      </c>
    </row>
    <row r="382" spans="2:5" x14ac:dyDescent="0.3">
      <c r="B382" s="19" t="s">
        <v>42</v>
      </c>
      <c r="C382" s="20" t="str">
        <f>HYPERLINK("#'Data'!A6976", "Amount of multi-purpose cash assistance received over last 3 months per hh member in UAH [Endline] broken down by households_headed_by_women on the ad...")</f>
        <v>Amount of multi-purpose cash assistance received over last 3 months per hh member in UAH [Endline] broken down by households_headed_by_women on the ad...</v>
      </c>
      <c r="D382" s="19" t="s">
        <v>45</v>
      </c>
      <c r="E382" s="21">
        <v>1467</v>
      </c>
    </row>
    <row r="383" spans="2:5" x14ac:dyDescent="0.3">
      <c r="B383" s="19" t="s">
        <v>42</v>
      </c>
      <c r="C383" s="20" t="str">
        <f>HYPERLINK("#'Data'!A7050", "Other types of humanitarian aid received in the previous three months [Endline] broken down by households_headed_by_women on the admin of Overall perc")</f>
        <v>Other types of humanitarian aid received in the previous three months [Endline] broken down by households_headed_by_women on the admin of Overall perc</v>
      </c>
      <c r="D383" s="19" t="s">
        <v>45</v>
      </c>
      <c r="E383" s="21">
        <v>1482</v>
      </c>
    </row>
    <row r="384" spans="2:5" x14ac:dyDescent="0.3">
      <c r="B384" s="19" t="s">
        <v>42</v>
      </c>
      <c r="C384" s="20" t="str">
        <f>HYPERLINK("#'Data'!A7119", "Estimated percentage of total household expenditures spent on 'Other' (past month, excl. humanitarian aid) [Baseline] broken down by households_headed...")</f>
        <v>Estimated percentage of total household expenditures spent on 'Other' (past month, excl. humanitarian aid) [Baseline] broken down by households_headed...</v>
      </c>
      <c r="D384" s="19" t="s">
        <v>45</v>
      </c>
      <c r="E384" s="21">
        <v>1497</v>
      </c>
    </row>
    <row r="385" spans="2:5" x14ac:dyDescent="0.3">
      <c r="B385" s="19" t="s">
        <v>42</v>
      </c>
      <c r="C385" s="20" t="str">
        <f>HYPERLINK("#'Data'!A7190", "Estimated percentage of total household expenditures spent on 'Food' (past month, excl. humanitarian aid) [Baseline] broken down by households_headed_...")</f>
        <v>Estimated percentage of total household expenditures spent on 'Food' (past month, excl. humanitarian aid) [Baseline] broken down by households_headed_...</v>
      </c>
      <c r="D385" s="19" t="s">
        <v>45</v>
      </c>
      <c r="E385" s="21">
        <v>1512</v>
      </c>
    </row>
    <row r="386" spans="2:5" x14ac:dyDescent="0.3">
      <c r="B386" s="19" t="s">
        <v>42</v>
      </c>
      <c r="C386" s="20" t="str">
        <f>HYPERLINK("#'Data'!A7263",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386" s="19" t="s">
        <v>45</v>
      </c>
      <c r="E386" s="21">
        <v>1527</v>
      </c>
    </row>
    <row r="387" spans="2:5" hidden="1" x14ac:dyDescent="0.3">
      <c r="B387" s="19" t="s">
        <v>40</v>
      </c>
      <c r="C387" s="20" t="str">
        <f>HYPERLINK("#'Data'!A7351",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387" s="19" t="s">
        <v>44</v>
      </c>
      <c r="E387" s="21">
        <v>1545</v>
      </c>
    </row>
    <row r="388" spans="2:5" hidden="1" x14ac:dyDescent="0.3">
      <c r="B388" s="19" t="s">
        <v>40</v>
      </c>
      <c r="C388" s="20" t="str">
        <f>HYPERLINK("#'Data'!A7421",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388" s="19" t="s">
        <v>44</v>
      </c>
      <c r="E388" s="21">
        <v>1560</v>
      </c>
    </row>
    <row r="389" spans="2:5" hidden="1" x14ac:dyDescent="0.3">
      <c r="B389" s="19" t="s">
        <v>40</v>
      </c>
      <c r="C389" s="20" t="str">
        <f>HYPERLINK("#'Data'!A7494",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389" s="19" t="s">
        <v>44</v>
      </c>
      <c r="E389" s="21">
        <v>1575</v>
      </c>
    </row>
    <row r="390" spans="2:5" hidden="1" x14ac:dyDescent="0.3">
      <c r="B390" s="19" t="s">
        <v>40</v>
      </c>
      <c r="C390" s="20" t="str">
        <f>HYPERLINK("#'Data'!A7565",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390" s="19" t="s">
        <v>44</v>
      </c>
      <c r="E390" s="21">
        <v>1590</v>
      </c>
    </row>
    <row r="391" spans="2:5" hidden="1" x14ac:dyDescent="0.3">
      <c r="B391" s="19" t="s">
        <v>40</v>
      </c>
      <c r="C391" s="20" t="str">
        <f>HYPERLINK("#'Data'!A7637", "Estimated percentage of total household expenditures spent on 'Safe water' (past month, excl. humanitarian aid) [Baseline] broken down by households_e...")</f>
        <v>Estimated percentage of total household expenditures spent on 'Safe water' (past month, excl. humanitarian aid) [Baseline] broken down by households_e...</v>
      </c>
      <c r="D391" s="19" t="s">
        <v>44</v>
      </c>
      <c r="E391" s="21">
        <v>1605</v>
      </c>
    </row>
    <row r="392" spans="2:5" hidden="1" x14ac:dyDescent="0.3">
      <c r="B392" s="19" t="s">
        <v>40</v>
      </c>
      <c r="C392" s="20" t="str">
        <f>HYPERLINK("#'Data'!A7711", "Estimated percentage of total household expenditures spent on 'Utilities' (past month, excl. humanitarian aid) [Baseline] broken down by households_ev...")</f>
        <v>Estimated percentage of total household expenditures spent on 'Utilities' (past month, excl. humanitarian aid) [Baseline] broken down by households_ev...</v>
      </c>
      <c r="D392" s="19" t="s">
        <v>44</v>
      </c>
      <c r="E392" s="21">
        <v>1620</v>
      </c>
    </row>
    <row r="393" spans="2:5" hidden="1" x14ac:dyDescent="0.3">
      <c r="B393" s="19" t="s">
        <v>40</v>
      </c>
      <c r="C393" s="20" t="str">
        <f>HYPERLINK("#'Data'!A7782",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393" s="19" t="s">
        <v>44</v>
      </c>
      <c r="E393" s="21">
        <v>1635</v>
      </c>
    </row>
    <row r="394" spans="2:5" hidden="1" x14ac:dyDescent="0.3">
      <c r="B394" s="19" t="s">
        <v>40</v>
      </c>
      <c r="C394" s="20" t="str">
        <f>HYPERLINK("#'Data'!A7853", "Estimated percentage of total household expenditures spent on 'Rent' (past month, excl. humanitarian aid) [Baseline] broken down by households_evacuat...")</f>
        <v>Estimated percentage of total household expenditures spent on 'Rent' (past month, excl. humanitarian aid) [Baseline] broken down by households_evacuat...</v>
      </c>
      <c r="D394" s="19" t="s">
        <v>44</v>
      </c>
      <c r="E394" s="21">
        <v>1650</v>
      </c>
    </row>
    <row r="395" spans="2:5" hidden="1" x14ac:dyDescent="0.3">
      <c r="B395" s="19" t="s">
        <v>40</v>
      </c>
      <c r="C395" s="20" t="str">
        <f>HYPERLINK("#'Data'!A7922",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395" s="19" t="s">
        <v>44</v>
      </c>
      <c r="E395" s="21">
        <v>1665</v>
      </c>
    </row>
    <row r="396" spans="2:5" hidden="1" x14ac:dyDescent="0.3">
      <c r="B396" s="19" t="s">
        <v>40</v>
      </c>
      <c r="C396" s="20" t="str">
        <f>HYPERLINK("#'Data'!A7995", "Estimated percentage of total household expenditures spent on 'Medication' (past month, excl. humanitarian aid) [Baseline] broken down by households_e...")</f>
        <v>Estimated percentage of total household expenditures spent on 'Medication' (past month, excl. humanitarian aid) [Baseline] broken down by households_e...</v>
      </c>
      <c r="D396" s="19" t="s">
        <v>44</v>
      </c>
      <c r="E396" s="21">
        <v>1680</v>
      </c>
    </row>
    <row r="397" spans="2:5" hidden="1" x14ac:dyDescent="0.3">
      <c r="B397" s="19" t="s">
        <v>40</v>
      </c>
      <c r="C397" s="20" t="str">
        <f>HYPERLINK("#'Data'!A8064",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397" s="19" t="s">
        <v>44</v>
      </c>
      <c r="E397" s="21">
        <v>1695</v>
      </c>
    </row>
    <row r="398" spans="2:5" hidden="1" x14ac:dyDescent="0.3">
      <c r="B398" s="19" t="s">
        <v>40</v>
      </c>
      <c r="C398" s="20" t="str">
        <f>HYPERLINK("#'Data'!A8135",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398" s="19" t="s">
        <v>44</v>
      </c>
      <c r="E398" s="21">
        <v>1710</v>
      </c>
    </row>
    <row r="399" spans="2:5" hidden="1" x14ac:dyDescent="0.3">
      <c r="B399" s="19" t="s">
        <v>40</v>
      </c>
      <c r="C399" s="20" t="str">
        <f>HYPERLINK("#'Data'!A8203",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399" s="19" t="s">
        <v>44</v>
      </c>
      <c r="E399" s="21">
        <v>1725</v>
      </c>
    </row>
    <row r="400" spans="2:5" hidden="1" x14ac:dyDescent="0.3">
      <c r="B400" s="19" t="s">
        <v>40</v>
      </c>
      <c r="C400" s="20" t="str">
        <f>HYPERLINK("#'Data'!A8272",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400" s="19" t="s">
        <v>44</v>
      </c>
      <c r="E400" s="21">
        <v>1740</v>
      </c>
    </row>
    <row r="401" spans="2:5" hidden="1" x14ac:dyDescent="0.3">
      <c r="B401" s="19" t="s">
        <v>40</v>
      </c>
      <c r="C401" s="20" t="str">
        <f>HYPERLINK("#'Data'!A8344",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401" s="19" t="s">
        <v>44</v>
      </c>
      <c r="E401" s="21">
        <v>1755</v>
      </c>
    </row>
    <row r="402" spans="2:5" hidden="1" x14ac:dyDescent="0.3">
      <c r="B402" s="19" t="s">
        <v>40</v>
      </c>
      <c r="C402" s="20" t="str">
        <f>HYPERLINK("#'Data'!A8418",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402" s="19" t="s">
        <v>44</v>
      </c>
      <c r="E402" s="21">
        <v>1770</v>
      </c>
    </row>
    <row r="403" spans="2:5" hidden="1" x14ac:dyDescent="0.3">
      <c r="B403" s="19" t="s">
        <v>40</v>
      </c>
      <c r="C403" s="20" t="str">
        <f>HYPERLINK("#'Data'!A8489",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403" s="19" t="s">
        <v>44</v>
      </c>
      <c r="E403" s="21">
        <v>1785</v>
      </c>
    </row>
    <row r="404" spans="2:5" hidden="1" x14ac:dyDescent="0.3">
      <c r="B404" s="19" t="s">
        <v>40</v>
      </c>
      <c r="C404" s="20" t="str">
        <f>HYPERLINK("#'Data'!A8557", "Estimated percentage of total household expenditures spent on 'Other' (past month, excl. humanitarian aid) [Endline] broken down by households_evacuat...")</f>
        <v>Estimated percentage of total household expenditures spent on 'Other' (past month, excl. humanitarian aid) [Endline] broken down by households_evacuat...</v>
      </c>
      <c r="D404" s="19" t="s">
        <v>44</v>
      </c>
      <c r="E404" s="21">
        <v>1800</v>
      </c>
    </row>
    <row r="405" spans="2:5" hidden="1" x14ac:dyDescent="0.3">
      <c r="B405" s="19" t="s">
        <v>40</v>
      </c>
      <c r="C405" s="20" t="str">
        <f>HYPERLINK("#'Data'!A8629", "Estimated percentage of total household expenditures spent on 'Food' (past month, excl. humanitarian aid) [Endline] broken down by households_evacuate...")</f>
        <v>Estimated percentage of total household expenditures spent on 'Food' (past month, excl. humanitarian aid) [Endline] broken down by households_evacuate...</v>
      </c>
      <c r="D405" s="19" t="s">
        <v>44</v>
      </c>
      <c r="E405" s="21">
        <v>1815</v>
      </c>
    </row>
    <row r="406" spans="2:5" hidden="1" x14ac:dyDescent="0.3">
      <c r="B406" s="19" t="s">
        <v>40</v>
      </c>
      <c r="C406" s="20" t="str">
        <f>HYPERLINK("#'Data'!A8702",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406" s="19" t="s">
        <v>44</v>
      </c>
      <c r="E406" s="21">
        <v>1830</v>
      </c>
    </row>
    <row r="407" spans="2:5" x14ac:dyDescent="0.3">
      <c r="B407" s="19" t="s">
        <v>42</v>
      </c>
      <c r="C407" s="20" t="str">
        <f>HYPERLINK("#'Data'!A8760",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407" s="19" t="s">
        <v>45</v>
      </c>
      <c r="E407" s="21">
        <v>1842</v>
      </c>
    </row>
    <row r="408" spans="2:5" x14ac:dyDescent="0.3">
      <c r="B408" s="19" t="s">
        <v>42</v>
      </c>
      <c r="C408" s="20" t="str">
        <f>HYPERLINK("#'Data'!A8832",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408" s="19" t="s">
        <v>45</v>
      </c>
      <c r="E408" s="21">
        <v>1857</v>
      </c>
    </row>
    <row r="409" spans="2:5" x14ac:dyDescent="0.3">
      <c r="B409" s="19" t="s">
        <v>42</v>
      </c>
      <c r="C409" s="20" t="str">
        <f>HYPERLINK("#'Data'!A8905",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409" s="19" t="s">
        <v>45</v>
      </c>
      <c r="E409" s="21">
        <v>1872</v>
      </c>
    </row>
    <row r="410" spans="2:5" x14ac:dyDescent="0.3">
      <c r="B410" s="19" t="s">
        <v>42</v>
      </c>
      <c r="C410" s="20" t="str">
        <f>HYPERLINK("#'Data'!A8979",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410" s="19" t="s">
        <v>45</v>
      </c>
      <c r="E410" s="21">
        <v>1887</v>
      </c>
    </row>
    <row r="411" spans="2:5" x14ac:dyDescent="0.3">
      <c r="B411" s="19" t="s">
        <v>42</v>
      </c>
      <c r="C411" s="20" t="str">
        <f>HYPERLINK("#'Data'!A9051", "Estimated percentage of total household expenditures spent on 'Safe water' (past month, excl. humanitarian aid) [Endline] broken down by households_he...")</f>
        <v>Estimated percentage of total household expenditures spent on 'Safe water' (past month, excl. humanitarian aid) [Endline] broken down by households_he...</v>
      </c>
      <c r="D411" s="19" t="s">
        <v>45</v>
      </c>
      <c r="E411" s="21">
        <v>1902</v>
      </c>
    </row>
    <row r="412" spans="2:5" x14ac:dyDescent="0.3">
      <c r="B412" s="19" t="s">
        <v>42</v>
      </c>
      <c r="C412" s="20" t="str">
        <f>HYPERLINK("#'Data'!A9125", "Estimated percentage of total household expenditures spent on 'Utilities' (past month, excl. humanitarian aid) [Endline] broken down by households_hea...")</f>
        <v>Estimated percentage of total household expenditures spent on 'Utilities' (past month, excl. humanitarian aid) [Endline] broken down by households_hea...</v>
      </c>
      <c r="D412" s="19" t="s">
        <v>45</v>
      </c>
      <c r="E412" s="21">
        <v>1917</v>
      </c>
    </row>
    <row r="413" spans="2:5" x14ac:dyDescent="0.3">
      <c r="B413" s="19" t="s">
        <v>42</v>
      </c>
      <c r="C413" s="20" t="str">
        <f>HYPERLINK("#'Data'!A9196",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413" s="19" t="s">
        <v>45</v>
      </c>
      <c r="E413" s="21">
        <v>1932</v>
      </c>
    </row>
    <row r="414" spans="2:5" x14ac:dyDescent="0.3">
      <c r="B414" s="19" t="s">
        <v>42</v>
      </c>
      <c r="C414" s="20" t="str">
        <f>HYPERLINK("#'Data'!A9266", "Estimated percentage of total household expenditures spent on 'Rent' (past month, excl. humanitarian aid) [Endline] broken down by households_headed_b...")</f>
        <v>Estimated percentage of total household expenditures spent on 'Rent' (past month, excl. humanitarian aid) [Endline] broken down by households_headed_b...</v>
      </c>
      <c r="D414" s="19" t="s">
        <v>45</v>
      </c>
      <c r="E414" s="21">
        <v>1947</v>
      </c>
    </row>
    <row r="415" spans="2:5" x14ac:dyDescent="0.3">
      <c r="B415" s="19" t="s">
        <v>42</v>
      </c>
      <c r="C415" s="20" t="str">
        <f>HYPERLINK("#'Data'!A9332",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415" s="19" t="s">
        <v>45</v>
      </c>
      <c r="E415" s="21">
        <v>1962</v>
      </c>
    </row>
    <row r="416" spans="2:5" x14ac:dyDescent="0.3">
      <c r="B416" s="19" t="s">
        <v>42</v>
      </c>
      <c r="C416" s="20" t="str">
        <f>HYPERLINK("#'Data'!A9402", "Estimated percentage of total household expenditures spent on 'Medication' (past month, excl. humanitarian aid) [Endline] broken down by households_he...")</f>
        <v>Estimated percentage of total household expenditures spent on 'Medication' (past month, excl. humanitarian aid) [Endline] broken down by households_he...</v>
      </c>
      <c r="D416" s="19" t="s">
        <v>45</v>
      </c>
      <c r="E416" s="21">
        <v>1977</v>
      </c>
    </row>
    <row r="417" spans="2:5" x14ac:dyDescent="0.3">
      <c r="B417" s="19" t="s">
        <v>42</v>
      </c>
      <c r="C417" s="20" t="str">
        <f>HYPERLINK("#'Data'!A9471",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417" s="19" t="s">
        <v>45</v>
      </c>
      <c r="E417" s="21">
        <v>1992</v>
      </c>
    </row>
    <row r="418" spans="2:5" x14ac:dyDescent="0.3">
      <c r="B418" s="19" t="s">
        <v>42</v>
      </c>
      <c r="C418" s="20" t="str">
        <f>HYPERLINK("#'Data'!A9537",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418" s="19" t="s">
        <v>45</v>
      </c>
      <c r="E418" s="21">
        <v>2007</v>
      </c>
    </row>
    <row r="419" spans="2:5" x14ac:dyDescent="0.3">
      <c r="B419" s="19" t="s">
        <v>42</v>
      </c>
      <c r="C419" s="20" t="str">
        <f>HYPERLINK("#'Data'!A9606",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419" s="19" t="s">
        <v>45</v>
      </c>
      <c r="E419" s="21">
        <v>2022</v>
      </c>
    </row>
    <row r="420" spans="2:5" x14ac:dyDescent="0.3">
      <c r="B420" s="19" t="s">
        <v>42</v>
      </c>
      <c r="C420" s="20" t="str">
        <f>HYPERLINK("#'Data'!A9670",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420" s="19" t="s">
        <v>45</v>
      </c>
      <c r="E420" s="21">
        <v>2037</v>
      </c>
    </row>
    <row r="421" spans="2:5" x14ac:dyDescent="0.3">
      <c r="B421" s="19" t="s">
        <v>42</v>
      </c>
      <c r="C421" s="20" t="str">
        <f>HYPERLINK("#'Data'!A9737",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421" s="19" t="s">
        <v>45</v>
      </c>
      <c r="E421" s="21">
        <v>2052</v>
      </c>
    </row>
    <row r="422" spans="2:5" x14ac:dyDescent="0.3">
      <c r="B422" s="19" t="s">
        <v>42</v>
      </c>
      <c r="C422" s="20" t="str">
        <f>HYPERLINK("#'Data'!A9809",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422" s="19" t="s">
        <v>45</v>
      </c>
      <c r="E422" s="21">
        <v>2067</v>
      </c>
    </row>
    <row r="423" spans="2:5" x14ac:dyDescent="0.3">
      <c r="B423" s="19" t="s">
        <v>42</v>
      </c>
      <c r="C423" s="20" t="str">
        <f>HYPERLINK("#'Data'!A9880",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423" s="19" t="s">
        <v>45</v>
      </c>
      <c r="E423" s="21">
        <v>2082</v>
      </c>
    </row>
    <row r="424" spans="2:5" hidden="1" x14ac:dyDescent="0.3">
      <c r="B424" s="19" t="s">
        <v>40</v>
      </c>
      <c r="C424" s="20" t="str">
        <f>HYPERLINK("#'Data'!A40",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424" s="19" t="s">
        <v>45</v>
      </c>
      <c r="E424" s="21">
        <v>9</v>
      </c>
    </row>
    <row r="425" spans="2:5" hidden="1" x14ac:dyDescent="0.3">
      <c r="B425" s="19" t="s">
        <v>40</v>
      </c>
      <c r="C425" s="20" t="str">
        <f>HYPERLINK("#'Data'!A114",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425" s="19" t="s">
        <v>45</v>
      </c>
      <c r="E425" s="21">
        <v>24</v>
      </c>
    </row>
    <row r="426" spans="2:5" x14ac:dyDescent="0.3">
      <c r="B426" s="19" t="s">
        <v>42</v>
      </c>
      <c r="C426" s="20" t="str">
        <f>HYPERLINK("#'Data'!A207",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426" s="19" t="s">
        <v>46</v>
      </c>
      <c r="E426" s="21">
        <v>43</v>
      </c>
    </row>
    <row r="427" spans="2:5" x14ac:dyDescent="0.3">
      <c r="B427" s="19" t="s">
        <v>42</v>
      </c>
      <c r="C427" s="20" t="str">
        <f>HYPERLINK("#'Data'!A281",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427" s="19" t="s">
        <v>46</v>
      </c>
      <c r="E427" s="21">
        <v>58</v>
      </c>
    </row>
    <row r="428" spans="2:5" hidden="1" x14ac:dyDescent="0.3">
      <c r="B428" s="19" t="s">
        <v>40</v>
      </c>
      <c r="C428" s="20" t="str">
        <f>HYPERLINK("#'Data'!A336", "Sources of income or financial support  household received in the last month [Baseline] broken down by households_headed_by_women on the admin of Over...")</f>
        <v>Sources of income or financial support  household received in the last month [Baseline] broken down by households_headed_by_women on the admin of Over...</v>
      </c>
      <c r="D428" s="19" t="s">
        <v>45</v>
      </c>
      <c r="E428" s="21">
        <v>69</v>
      </c>
    </row>
    <row r="429" spans="2:5" x14ac:dyDescent="0.3">
      <c r="B429" s="19" t="s">
        <v>42</v>
      </c>
      <c r="C429" s="20" t="str">
        <f>HYPERLINK("#'Data'!A429",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429" s="19" t="s">
        <v>46</v>
      </c>
      <c r="E429" s="21">
        <v>88</v>
      </c>
    </row>
    <row r="430" spans="2:5" hidden="1" x14ac:dyDescent="0.3">
      <c r="B430" s="19" t="s">
        <v>40</v>
      </c>
      <c r="C430" s="20" t="str">
        <f>HYPERLINK("#'Data'!A484",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430" s="19" t="s">
        <v>45</v>
      </c>
      <c r="E430" s="21">
        <v>99</v>
      </c>
    </row>
    <row r="431" spans="2:5" hidden="1" x14ac:dyDescent="0.3">
      <c r="B431" s="19" t="s">
        <v>40</v>
      </c>
      <c r="C431" s="20" t="str">
        <f>HYPERLINK("#'Data'!A558",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431" s="19" t="s">
        <v>45</v>
      </c>
      <c r="E431" s="21">
        <v>114</v>
      </c>
    </row>
    <row r="432" spans="2:5" x14ac:dyDescent="0.3">
      <c r="B432" s="19" t="s">
        <v>42</v>
      </c>
      <c r="C432" s="20" t="str">
        <f>HYPERLINK("#'Data'!A651",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432" s="19" t="s">
        <v>46</v>
      </c>
      <c r="E432" s="21">
        <v>133</v>
      </c>
    </row>
    <row r="433" spans="2:5" x14ac:dyDescent="0.3">
      <c r="B433" s="19" t="s">
        <v>42</v>
      </c>
      <c r="C433" s="20" t="str">
        <f>HYPERLINK("#'Data'!A725",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433" s="19" t="s">
        <v>46</v>
      </c>
      <c r="E433" s="21">
        <v>148</v>
      </c>
    </row>
    <row r="434" spans="2:5" hidden="1" x14ac:dyDescent="0.3">
      <c r="B434" s="19" t="s">
        <v>40</v>
      </c>
      <c r="C434" s="20" t="str">
        <f>HYPERLINK("#'Data'!A780", "Household expenditures by category over the past 30 days [or month] in UAH [Baseline] broken down by households_headed_by_women on the admin of Overal...")</f>
        <v>Household expenditures by category over the past 30 days [or month] in UAH [Baseline] broken down by households_headed_by_women on the admin of Overal...</v>
      </c>
      <c r="D434" s="19" t="s">
        <v>45</v>
      </c>
      <c r="E434" s="21">
        <v>159</v>
      </c>
    </row>
    <row r="435" spans="2:5" x14ac:dyDescent="0.3">
      <c r="B435" s="19" t="s">
        <v>42</v>
      </c>
      <c r="C435" s="20" t="str">
        <f>HYPERLINK("#'Data'!A873", "Household expenditures by category over the past 30 days [or month] in UAH [Endline] broken down by households_partially_or_fully_damaged on the admin...")</f>
        <v>Household expenditures by category over the past 30 days [or month] in UAH [Endline] broken down by households_partially_or_fully_damaged on the admin...</v>
      </c>
      <c r="D435" s="19" t="s">
        <v>46</v>
      </c>
      <c r="E435" s="21">
        <v>178</v>
      </c>
    </row>
    <row r="436" spans="2:5" hidden="1" x14ac:dyDescent="0.3">
      <c r="B436" s="19" t="s">
        <v>40</v>
      </c>
      <c r="C436" s="20" t="str">
        <f>HYPERLINK("#'Data'!A928", "Household's ability to meet basic needs (self-defined and prioritized) [Baseline] broken down by households_headed_by_women on the admin of Overall pe...")</f>
        <v>Household's ability to meet basic needs (self-defined and prioritized) [Baseline] broken down by households_headed_by_women on the admin of Overall pe...</v>
      </c>
      <c r="D436" s="19" t="s">
        <v>45</v>
      </c>
      <c r="E436" s="21">
        <v>189</v>
      </c>
    </row>
    <row r="437" spans="2:5" x14ac:dyDescent="0.3">
      <c r="B437" s="19" t="s">
        <v>42</v>
      </c>
      <c r="C437" s="20" t="str">
        <f>HYPERLINK("#'Data'!A1021", "Household's ability to meet basic needs (self-defined and prioritized) [Endline] broken down by households_partially_or_fully_damaged on the admin of ...")</f>
        <v>Household's ability to meet basic needs (self-defined and prioritized) [Endline] broken down by households_partially_or_fully_damaged on the admin of ...</v>
      </c>
      <c r="D437" s="19" t="s">
        <v>46</v>
      </c>
      <c r="E437" s="21">
        <v>208</v>
      </c>
    </row>
    <row r="438" spans="2:5" hidden="1" x14ac:dyDescent="0.3">
      <c r="B438" s="19" t="s">
        <v>40</v>
      </c>
      <c r="C438" s="20" t="str">
        <f>HYPERLINK("#'Data'!A1076", "Basic needs the household is currently unable to fulfill (if not all are met) [Baseline] broken down by households_headed_by_women on the admin of Ove...")</f>
        <v>Basic needs the household is currently unable to fulfill (if not all are met) [Baseline] broken down by households_headed_by_women on the admin of Ove...</v>
      </c>
      <c r="D438" s="19" t="s">
        <v>45</v>
      </c>
      <c r="E438" s="21">
        <v>219</v>
      </c>
    </row>
    <row r="439" spans="2:5" x14ac:dyDescent="0.3">
      <c r="B439" s="19" t="s">
        <v>42</v>
      </c>
      <c r="C439" s="20" t="str">
        <f>HYPERLINK("#'Data'!A1169", "Basic needs the household is currently unable to fulfill (if not all are met) [Endline] broken down by households_partially_or_fully_damaged on the ad...")</f>
        <v>Basic needs the household is currently unable to fulfill (if not all are met) [Endline] broken down by households_partially_or_fully_damaged on the ad...</v>
      </c>
      <c r="D439" s="19" t="s">
        <v>46</v>
      </c>
      <c r="E439" s="21">
        <v>238</v>
      </c>
    </row>
    <row r="440" spans="2:5" hidden="1" x14ac:dyDescent="0.3">
      <c r="B440" s="19" t="s">
        <v>40</v>
      </c>
      <c r="C440" s="20" t="str">
        <f>HYPERLINK("#'Data'!A1224", "Coping strategies used in the last 30 days due to insufficient resources to meet basic needs [Baseline] broken down by households_headed_by_women on t...")</f>
        <v>Coping strategies used in the last 30 days due to insufficient resources to meet basic needs [Baseline] broken down by households_headed_by_women on t...</v>
      </c>
      <c r="D440" s="19" t="s">
        <v>45</v>
      </c>
      <c r="E440" s="21">
        <v>249</v>
      </c>
    </row>
    <row r="441" spans="2:5" x14ac:dyDescent="0.3">
      <c r="B441" s="19" t="s">
        <v>42</v>
      </c>
      <c r="C441" s="20" t="str">
        <f>HYPERLINK("#'Data'!A1317", "Coping strategies used in the last 30 days due to insufficient resources to meet basic needs [Endline] broken down by households_partially_or_fully_da...")</f>
        <v>Coping strategies used in the last 30 days due to insufficient resources to meet basic needs [Endline] broken down by households_partially_or_fully_da...</v>
      </c>
      <c r="D441" s="19" t="s">
        <v>46</v>
      </c>
      <c r="E441" s="21">
        <v>268</v>
      </c>
    </row>
    <row r="442" spans="2:5" x14ac:dyDescent="0.3">
      <c r="B442" s="19" t="s">
        <v>42</v>
      </c>
      <c r="C442" s="20" t="str">
        <f>HYPERLINK("#'Data'!A1391", "Coping strategies avoided in the past 3 months due to receipt of MPCA [Endline] broken down by households_partially_or_fully_damaged on the admin of O...")</f>
        <v>Coping strategies avoided in the past 3 months due to receipt of MPCA [Endline] broken down by households_partially_or_fully_damaged on the admin of O...</v>
      </c>
      <c r="D442" s="19" t="s">
        <v>46</v>
      </c>
      <c r="E442" s="21">
        <v>283</v>
      </c>
    </row>
    <row r="443" spans="2:5" hidden="1" x14ac:dyDescent="0.3">
      <c r="B443" s="19" t="s">
        <v>40</v>
      </c>
      <c r="C443" s="20" t="str">
        <f>HYPERLINK("#'Data'!A1446", "Household perception of relevance of forthcoming MPCA (3,600 UAH for 3 months per member) [Baseline] broken down by households_headed_by_women on the ...")</f>
        <v>Household perception of relevance of forthcoming MPCA (3,600 UAH for 3 months per member) [Baseline] broken down by households_headed_by_women on the ...</v>
      </c>
      <c r="D443" s="19" t="s">
        <v>45</v>
      </c>
      <c r="E443" s="21">
        <v>294</v>
      </c>
    </row>
    <row r="444" spans="2:5" hidden="1" x14ac:dyDescent="0.3">
      <c r="B444" s="19" t="s">
        <v>40</v>
      </c>
      <c r="C444" s="20" t="str">
        <f>HYPERLINK("#'Data'!A1520", "Estimated percentage of household needs met by upcoming MPCA (if partially appropriate) [Baseline] broken down by households_headed_by_women on the ad...")</f>
        <v>Estimated percentage of household needs met by upcoming MPCA (if partially appropriate) [Baseline] broken down by households_headed_by_women on the ad...</v>
      </c>
      <c r="D444" s="19" t="s">
        <v>45</v>
      </c>
      <c r="E444" s="21">
        <v>309</v>
      </c>
    </row>
    <row r="445" spans="2:5" x14ac:dyDescent="0.3">
      <c r="B445" s="19" t="s">
        <v>42</v>
      </c>
      <c r="C445" s="20" t="str">
        <f>HYPERLINK("#'Data'!A1613", "Household opinion on adequacy of received MPCA (3,600 UAH for 3 months per member) [Endline] broken down by households_partially_or_fully_damaged on t...")</f>
        <v>Household opinion on adequacy of received MPCA (3,600 UAH for 3 months per member) [Endline] broken down by households_partially_or_fully_damaged on t...</v>
      </c>
      <c r="D445" s="19" t="s">
        <v>46</v>
      </c>
      <c r="E445" s="21">
        <v>328</v>
      </c>
    </row>
    <row r="446" spans="2:5" x14ac:dyDescent="0.3">
      <c r="B446" s="19" t="s">
        <v>42</v>
      </c>
      <c r="C446" s="20" t="str">
        <f>HYPERLINK("#'Data'!A1687", "Estimated percentage of household needs met by received MPCA (if partially appropriate) [Endline] broken down by households_partially_or_fully_damaged...")</f>
        <v>Estimated percentage of household needs met by received MPCA (if partially appropriate) [Endline] broken down by households_partially_or_fully_damaged...</v>
      </c>
      <c r="D446" s="19" t="s">
        <v>46</v>
      </c>
      <c r="E446" s="21">
        <v>343</v>
      </c>
    </row>
    <row r="447" spans="2:5" x14ac:dyDescent="0.3">
      <c r="B447" s="19" t="s">
        <v>42</v>
      </c>
      <c r="C447" s="20" t="str">
        <f>HYPERLINK("#'Data'!A1773", "Whether the household has already spent the received MPCA [Endline] broken down by households_partially_or_fully_damaged on the admin of Overall perc")</f>
        <v>Whether the household has already spent the received MPCA [Endline] broken down by households_partially_or_fully_damaged on the admin of Overall perc</v>
      </c>
      <c r="D447" s="19" t="s">
        <v>46</v>
      </c>
      <c r="E447" s="21">
        <v>361</v>
      </c>
    </row>
    <row r="448" spans="2:5" x14ac:dyDescent="0.3">
      <c r="B448" s="19" t="s">
        <v>42</v>
      </c>
      <c r="C448" s="20" t="str">
        <f>HYPERLINK("#'Data'!A1847", "Number of weeks MPCA lasted if fully spent [Endline] broken down by households_partially_or_fully_damaged on the admin of Overall mean")</f>
        <v>Number of weeks MPCA lasted if fully spent [Endline] broken down by households_partially_or_fully_damaged on the admin of Overall mean</v>
      </c>
      <c r="D448" s="19" t="s">
        <v>46</v>
      </c>
      <c r="E448" s="21">
        <v>376</v>
      </c>
    </row>
    <row r="449" spans="2:5" x14ac:dyDescent="0.3">
      <c r="B449" s="19" t="s">
        <v>42</v>
      </c>
      <c r="C449" s="20" t="str">
        <f>HYPERLINK("#'Data'!A1921", "Percentage of MPCA spent to date (if partially used) [Endline] broken down by households_partially_or_fully_damaged on the admin of Overall mean")</f>
        <v>Percentage of MPCA spent to date (if partially used) [Endline] broken down by households_partially_or_fully_damaged on the admin of Overall mean</v>
      </c>
      <c r="D449" s="19" t="s">
        <v>46</v>
      </c>
      <c r="E449" s="21">
        <v>391</v>
      </c>
    </row>
    <row r="450" spans="2:5" x14ac:dyDescent="0.3">
      <c r="B450" s="19" t="s">
        <v>42</v>
      </c>
      <c r="C450" s="20" t="str">
        <f>HYPERLINK("#'Data'!A1995", "Extent to which received MPCA helped cover household needs during usage period [Endline] broken down by households_partially_or_fully_damaged on the a...")</f>
        <v>Extent to which received MPCA helped cover household needs during usage period [Endline] broken down by households_partially_or_fully_damaged on the a...</v>
      </c>
      <c r="D450" s="19" t="s">
        <v>46</v>
      </c>
      <c r="E450" s="21">
        <v>406</v>
      </c>
    </row>
    <row r="451" spans="2:5" x14ac:dyDescent="0.3">
      <c r="B451" s="19" t="s">
        <v>42</v>
      </c>
      <c r="C451" s="20" t="str">
        <f>HYPERLINK("#'Data'!A2069", "Percentage of needs covered by MPCA (if partially met) [Endline] broken down by households_partially_or_fully_damaged on the admin of Overall mean")</f>
        <v>Percentage of needs covered by MPCA (if partially met) [Endline] broken down by households_partially_or_fully_damaged on the admin of Overall mean</v>
      </c>
      <c r="D451" s="19" t="s">
        <v>46</v>
      </c>
      <c r="E451" s="21">
        <v>421</v>
      </c>
    </row>
    <row r="452" spans="2:5" hidden="1" x14ac:dyDescent="0.3">
      <c r="B452" s="19" t="s">
        <v>40</v>
      </c>
      <c r="C452" s="20" t="str">
        <f>HYPERLINK("#'Data'!A2124", "Priority needs requiring financial aid, with importance level [Baseline] broken down by households_headed_by_women on the admin of Overall perc")</f>
        <v>Priority needs requiring financial aid, with importance level [Baseline] broken down by households_headed_by_women on the admin of Overall perc</v>
      </c>
      <c r="D452" s="19" t="s">
        <v>45</v>
      </c>
      <c r="E452" s="21">
        <v>432</v>
      </c>
    </row>
    <row r="453" spans="2:5" hidden="1" x14ac:dyDescent="0.3">
      <c r="B453" s="19" t="s">
        <v>40</v>
      </c>
      <c r="C453" s="20" t="str">
        <f>HYPERLINK("#'Data'!A2196", "Importance rating for 'Other' priority need requiring financial assistance [Baseline] broken down by households_headed_by_women on the admin of Overal...")</f>
        <v>Importance rating for 'Other' priority need requiring financial assistance [Baseline] broken down by households_headed_by_women on the admin of Overal...</v>
      </c>
      <c r="D453" s="19" t="s">
        <v>45</v>
      </c>
      <c r="E453" s="21">
        <v>447</v>
      </c>
    </row>
    <row r="454" spans="2:5" hidden="1" x14ac:dyDescent="0.3">
      <c r="B454" s="19" t="s">
        <v>40</v>
      </c>
      <c r="C454" s="20" t="str">
        <f>HYPERLINK("#'Data'!A2270", "Importance rating for 'Food' priority need requiring financial assistance [Baseline] broken down by households_headed_by_women on the admin of Overall...")</f>
        <v>Importance rating for 'Food' priority need requiring financial assistance [Baseline] broken down by households_headed_by_women on the admin of Overall...</v>
      </c>
      <c r="D454" s="19" t="s">
        <v>45</v>
      </c>
      <c r="E454" s="21">
        <v>462</v>
      </c>
    </row>
    <row r="455" spans="2:5" hidden="1" x14ac:dyDescent="0.3">
      <c r="B455" s="19" t="s">
        <v>40</v>
      </c>
      <c r="C455" s="20" t="str">
        <f>HYPERLINK("#'Data'!A2342", "Importance rating for 'Personal hygiene' priority need requiring financial assistance [Baseline] broken down by households_headed_by_women on the admi...")</f>
        <v>Importance rating for 'Personal hygiene' priority need requiring financial assistance [Baseline] broken down by households_headed_by_women on the admi...</v>
      </c>
      <c r="D455" s="19" t="s">
        <v>45</v>
      </c>
      <c r="E455" s="21">
        <v>477</v>
      </c>
    </row>
    <row r="456" spans="2:5" hidden="1" x14ac:dyDescent="0.3">
      <c r="B456" s="19" t="s">
        <v>40</v>
      </c>
      <c r="C456" s="20" t="str">
        <f>HYPERLINK("#'Data'!A2410", "Importance rating for 'Cleaning items' priority need requiring financial assistance [Baseline] broken down by households_headed_by_women on the admin ...")</f>
        <v>Importance rating for 'Cleaning items' priority need requiring financial assistance [Baseline] broken down by households_headed_by_women on the admin ...</v>
      </c>
      <c r="D456" s="19" t="s">
        <v>45</v>
      </c>
      <c r="E456" s="21">
        <v>492</v>
      </c>
    </row>
    <row r="457" spans="2:5" hidden="1" x14ac:dyDescent="0.3">
      <c r="B457" s="19" t="s">
        <v>40</v>
      </c>
      <c r="C457" s="20" t="str">
        <f>HYPERLINK("#'Data'!A2476", "Importance rating for 'Non-food items' priority need requiring financial assistance [Baseline] broken down by households_headed_by_women on the admin ...")</f>
        <v>Importance rating for 'Non-food items' priority need requiring financial assistance [Baseline] broken down by households_headed_by_women on the admin ...</v>
      </c>
      <c r="D457" s="19" t="s">
        <v>45</v>
      </c>
      <c r="E457" s="21">
        <v>507</v>
      </c>
    </row>
    <row r="458" spans="2:5" hidden="1" x14ac:dyDescent="0.3">
      <c r="B458" s="19" t="s">
        <v>40</v>
      </c>
      <c r="C458" s="20" t="str">
        <f>HYPERLINK("#'Data'!A2545", "Importance rating for 'Clothing and shoes' priority need requiring financial assistance [Baseline] broken down by households_headed_by_women on the ad...")</f>
        <v>Importance rating for 'Clothing and shoes' priority need requiring financial assistance [Baseline] broken down by households_headed_by_women on the ad...</v>
      </c>
      <c r="D458" s="19" t="s">
        <v>45</v>
      </c>
      <c r="E458" s="21">
        <v>522</v>
      </c>
    </row>
    <row r="459" spans="2:5" hidden="1" x14ac:dyDescent="0.3">
      <c r="B459" s="19" t="s">
        <v>40</v>
      </c>
      <c r="C459" s="20" t="str">
        <f>HYPERLINK("#'Data'!A2618", "Importance rating for 'Heating fuel' priority need requiring financial assistance [Baseline] broken down by households_headed_by_women on the admin of...")</f>
        <v>Importance rating for 'Heating fuel' priority need requiring financial assistance [Baseline] broken down by households_headed_by_women on the admin of...</v>
      </c>
      <c r="D459" s="19" t="s">
        <v>45</v>
      </c>
      <c r="E459" s="21">
        <v>537</v>
      </c>
    </row>
    <row r="460" spans="2:5" hidden="1" x14ac:dyDescent="0.3">
      <c r="B460" s="19" t="s">
        <v>40</v>
      </c>
      <c r="C460" s="20" t="str">
        <f>HYPERLINK("#'Data'!A2686", "Importance rating for 'Safe water' priority need requiring financial assistance [Baseline] broken down by households_headed_by_women on the admin of O...")</f>
        <v>Importance rating for 'Safe water' priority need requiring financial assistance [Baseline] broken down by households_headed_by_women on the admin of O...</v>
      </c>
      <c r="D460" s="19" t="s">
        <v>45</v>
      </c>
      <c r="E460" s="21">
        <v>552</v>
      </c>
    </row>
    <row r="461" spans="2:5" hidden="1" x14ac:dyDescent="0.3">
      <c r="B461" s="19" t="s">
        <v>40</v>
      </c>
      <c r="C461" s="20" t="str">
        <f>HYPERLINK("#'Data'!A2752", "Importance rating for 'Utilities' priority need requiring financial assistance [Baseline] broken down by households_headed_by_women on the admin of Ov...")</f>
        <v>Importance rating for 'Utilities' priority need requiring financial assistance [Baseline] broken down by households_headed_by_women on the admin of Ov...</v>
      </c>
      <c r="D461" s="19" t="s">
        <v>45</v>
      </c>
      <c r="E461" s="21">
        <v>567</v>
      </c>
    </row>
    <row r="462" spans="2:5" hidden="1" x14ac:dyDescent="0.3">
      <c r="B462" s="19" t="s">
        <v>40</v>
      </c>
      <c r="C462" s="20" t="str">
        <f>HYPERLINK("#'Data'!A2820", "Importance rating for 'Water supply' priority need requiring financial assistance [Baseline] broken down by households_headed_by_women on the admin of...")</f>
        <v>Importance rating for 'Water supply' priority need requiring financial assistance [Baseline] broken down by households_headed_by_women on the admin of...</v>
      </c>
      <c r="D462" s="19" t="s">
        <v>45</v>
      </c>
      <c r="E462" s="21">
        <v>582</v>
      </c>
    </row>
    <row r="463" spans="2:5" hidden="1" x14ac:dyDescent="0.3">
      <c r="B463" s="19" t="s">
        <v>40</v>
      </c>
      <c r="C463" s="20" t="str">
        <f>HYPERLINK("#'Data'!A2880", "Importance rating for 'Rent' priority need requiring financial assistance [Baseline] broken down by households_headed_by_women on the admin of Overall...")</f>
        <v>Importance rating for 'Rent' priority need requiring financial assistance [Baseline] broken down by households_headed_by_women on the admin of Overall...</v>
      </c>
      <c r="D463" s="19" t="s">
        <v>45</v>
      </c>
      <c r="E463" s="21">
        <v>597</v>
      </c>
    </row>
    <row r="464" spans="2:5" hidden="1" x14ac:dyDescent="0.3">
      <c r="B464" s="19" t="s">
        <v>40</v>
      </c>
      <c r="C464" s="20" t="str">
        <f>HYPERLINK("#'Data'!A2952", "Importance rating for 'Medication' priority need requiring financial assistance [Baseline] broken down by households_headed_by_women on the admin of O...")</f>
        <v>Importance rating for 'Medication' priority need requiring financial assistance [Baseline] broken down by households_headed_by_women on the admin of O...</v>
      </c>
      <c r="D464" s="19" t="s">
        <v>45</v>
      </c>
      <c r="E464" s="21">
        <v>612</v>
      </c>
    </row>
    <row r="465" spans="2:5" hidden="1" x14ac:dyDescent="0.3">
      <c r="B465" s="19" t="s">
        <v>40</v>
      </c>
      <c r="C465" s="20" t="str">
        <f>HYPERLINK("#'Data'!A3022", "Importance rating for 'Agricultural inputs' priority need requiring financial assistance [Baseline] broken down by households_headed_by_women on the a...")</f>
        <v>Importance rating for 'Agricultural inputs' priority need requiring financial assistance [Baseline] broken down by households_headed_by_women on the a...</v>
      </c>
      <c r="D465" s="19" t="s">
        <v>45</v>
      </c>
      <c r="E465" s="21">
        <v>627</v>
      </c>
    </row>
    <row r="466" spans="2:5" hidden="1" x14ac:dyDescent="0.3">
      <c r="B466" s="19" t="s">
        <v>40</v>
      </c>
      <c r="C466" s="20" t="str">
        <f>HYPERLINK("#'Data'!A3091", "Importance rating for 'Shelter maintenance' priority need requiring financial assistance [Baseline] broken down by households_headed_by_women on the a...")</f>
        <v>Importance rating for 'Shelter maintenance' priority need requiring financial assistance [Baseline] broken down by households_headed_by_women on the a...</v>
      </c>
      <c r="D466" s="19" t="s">
        <v>45</v>
      </c>
      <c r="E466" s="21">
        <v>642</v>
      </c>
    </row>
    <row r="467" spans="2:5" hidden="1" x14ac:dyDescent="0.3">
      <c r="B467" s="19" t="s">
        <v>40</v>
      </c>
      <c r="C467" s="20" t="str">
        <f>HYPERLINK("#'Data'!A3159", "Importance rating for 'Transportation' priority need requiring financial assistance [Baseline] broken down by households_headed_by_women on the admin ...")</f>
        <v>Importance rating for 'Transportation' priority need requiring financial assistance [Baseline] broken down by households_headed_by_women on the admin ...</v>
      </c>
      <c r="D467" s="19" t="s">
        <v>45</v>
      </c>
      <c r="E467" s="21">
        <v>657</v>
      </c>
    </row>
    <row r="468" spans="2:5" hidden="1" x14ac:dyDescent="0.3">
      <c r="B468" s="19" t="s">
        <v>40</v>
      </c>
      <c r="C468" s="20" t="str">
        <f>HYPERLINK("#'Data'!A3222", "Importance rating for 'Communication' priority need requiring financial assistance [Baseline] broken down by households_headed_by_women on the admin o...")</f>
        <v>Importance rating for 'Communication' priority need requiring financial assistance [Baseline] broken down by households_headed_by_women on the admin o...</v>
      </c>
      <c r="D468" s="19" t="s">
        <v>45</v>
      </c>
      <c r="E468" s="21">
        <v>672</v>
      </c>
    </row>
    <row r="469" spans="2:5" hidden="1" x14ac:dyDescent="0.3">
      <c r="B469" s="19" t="s">
        <v>40</v>
      </c>
      <c r="C469" s="20" t="str">
        <f>HYPERLINK("#'Data'!A3285", "Importance rating for 'Education materials' priority need requiring financial assistance [Baseline] broken down by households_headed_by_women on the a...")</f>
        <v>Importance rating for 'Education materials' priority need requiring financial assistance [Baseline] broken down by households_headed_by_women on the a...</v>
      </c>
      <c r="D469" s="19" t="s">
        <v>45</v>
      </c>
      <c r="E469" s="21">
        <v>687</v>
      </c>
    </row>
    <row r="470" spans="2:5" hidden="1" x14ac:dyDescent="0.3">
      <c r="B470" s="19" t="s">
        <v>40</v>
      </c>
      <c r="C470" s="20" t="str">
        <f>HYPERLINK("#'Data'!A3358", "Household needs met exclusively due to MPCA and their fulfillment level [Endline] broken down by households_headed_by_women on the admin of Overall pe...")</f>
        <v>Household needs met exclusively due to MPCA and their fulfillment level [Endline] broken down by households_headed_by_women on the admin of Overall pe...</v>
      </c>
      <c r="D470" s="19" t="s">
        <v>45</v>
      </c>
      <c r="E470" s="21">
        <v>702</v>
      </c>
    </row>
    <row r="471" spans="2:5" hidden="1" x14ac:dyDescent="0.3">
      <c r="B471" s="19" t="s">
        <v>40</v>
      </c>
      <c r="C471" s="20" t="str">
        <f>HYPERLINK("#'Data'!A3430", "Fulfillment level of 'Other' need met exclusively due to MPCA [Endline] broken down by households_headed_by_women on the admin of Overall perc")</f>
        <v>Fulfillment level of 'Other' need met exclusively due to MPCA [Endline] broken down by households_headed_by_women on the admin of Overall perc</v>
      </c>
      <c r="D471" s="19" t="s">
        <v>45</v>
      </c>
      <c r="E471" s="21">
        <v>717</v>
      </c>
    </row>
    <row r="472" spans="2:5" hidden="1" x14ac:dyDescent="0.3">
      <c r="B472" s="19" t="s">
        <v>40</v>
      </c>
      <c r="C472" s="20" t="str">
        <f>HYPERLINK("#'Data'!A3503", "Fulfillment level of 'Food' need met exclusively due to MPCA [Endline] broken down by households_headed_by_women on the admin of Overall perc")</f>
        <v>Fulfillment level of 'Food' need met exclusively due to MPCA [Endline] broken down by households_headed_by_women on the admin of Overall perc</v>
      </c>
      <c r="D472" s="19" t="s">
        <v>45</v>
      </c>
      <c r="E472" s="21">
        <v>732</v>
      </c>
    </row>
    <row r="473" spans="2:5" x14ac:dyDescent="0.3">
      <c r="B473" s="19" t="s">
        <v>42</v>
      </c>
      <c r="C473" s="20" t="str">
        <f>HYPERLINK("#'Data'!A3593", "Fulfillment level of 'Personal hygiene' need met exclusively due to MPCA [Endline] broken down by households_partially_or_fully_damaged on the admin o...")</f>
        <v>Fulfillment level of 'Personal hygiene' need met exclusively due to MPCA [Endline] broken down by households_partially_or_fully_damaged on the admin o...</v>
      </c>
      <c r="D473" s="19" t="s">
        <v>46</v>
      </c>
      <c r="E473" s="21">
        <v>751</v>
      </c>
    </row>
    <row r="474" spans="2:5" x14ac:dyDescent="0.3">
      <c r="B474" s="19" t="s">
        <v>42</v>
      </c>
      <c r="C474" s="20" t="str">
        <f>HYPERLINK("#'Data'!A3664", "Fulfillment level of 'Cleaning items' need met exclusively due to MPCA [Endline] broken down by households_partially_or_fully_damaged on the admin of ...")</f>
        <v>Fulfillment level of 'Cleaning items' need met exclusively due to MPCA [Endline] broken down by households_partially_or_fully_damaged on the admin of ...</v>
      </c>
      <c r="D474" s="19" t="s">
        <v>46</v>
      </c>
      <c r="E474" s="21">
        <v>766</v>
      </c>
    </row>
    <row r="475" spans="2:5" x14ac:dyDescent="0.3">
      <c r="B475" s="19" t="s">
        <v>42</v>
      </c>
      <c r="C475" s="20" t="str">
        <f>HYPERLINK("#'Data'!A3734", "Fulfillment level of 'Non-food items' need met exclusively due to MPCA [Endline] broken down by households_partially_or_fully_damaged on the admin of ...")</f>
        <v>Fulfillment level of 'Non-food items' need met exclusively due to MPCA [Endline] broken down by households_partially_or_fully_damaged on the admin of ...</v>
      </c>
      <c r="D475" s="19" t="s">
        <v>46</v>
      </c>
      <c r="E475" s="21">
        <v>781</v>
      </c>
    </row>
    <row r="476" spans="2:5" x14ac:dyDescent="0.3">
      <c r="B476" s="19" t="s">
        <v>42</v>
      </c>
      <c r="C476" s="20" t="str">
        <f>HYPERLINK("#'Data'!A3807", "Fulfillment level of 'Clothing and shoes' need met exclusively due to MPCA [Endline] broken down by households_partially_or_fully_damaged on the admin...")</f>
        <v>Fulfillment level of 'Clothing and shoes' need met exclusively due to MPCA [Endline] broken down by households_partially_or_fully_damaged on the admin...</v>
      </c>
      <c r="D476" s="19" t="s">
        <v>46</v>
      </c>
      <c r="E476" s="21">
        <v>796</v>
      </c>
    </row>
    <row r="477" spans="2:5" x14ac:dyDescent="0.3">
      <c r="B477" s="19" t="s">
        <v>42</v>
      </c>
      <c r="C477" s="20" t="str">
        <f>HYPERLINK("#'Data'!A3881", "Fulfillment level of 'Heating fuel' need met exclusively due to MPCA [Endline] broken down by households_partially_or_fully_damaged on the admin of Ov...")</f>
        <v>Fulfillment level of 'Heating fuel' need met exclusively due to MPCA [Endline] broken down by households_partially_or_fully_damaged on the admin of Ov...</v>
      </c>
      <c r="D477" s="19" t="s">
        <v>46</v>
      </c>
      <c r="E477" s="21">
        <v>811</v>
      </c>
    </row>
    <row r="478" spans="2:5" x14ac:dyDescent="0.3">
      <c r="B478" s="19" t="s">
        <v>42</v>
      </c>
      <c r="C478" s="20" t="str">
        <f>HYPERLINK("#'Data'!A3947", "Fulfillment level of 'Safe water' need met exclusively due to MPCA [Endline] broken down by households_partially_or_fully_damaged on the admin of Over...")</f>
        <v>Fulfillment level of 'Safe water' need met exclusively due to MPCA [Endline] broken down by households_partially_or_fully_damaged on the admin of Over...</v>
      </c>
      <c r="D478" s="19" t="s">
        <v>46</v>
      </c>
      <c r="E478" s="21">
        <v>826</v>
      </c>
    </row>
    <row r="479" spans="2:5" x14ac:dyDescent="0.3">
      <c r="B479" s="19" t="s">
        <v>42</v>
      </c>
      <c r="C479" s="20" t="str">
        <f>HYPERLINK("#'Data'!A4018", "Fulfillment level of 'Utilities' need met exclusively due to MPCA [Endline] broken down by households_partially_or_fully_damaged on the admin of Overa...")</f>
        <v>Fulfillment level of 'Utilities' need met exclusively due to MPCA [Endline] broken down by households_partially_or_fully_damaged on the admin of Overa...</v>
      </c>
      <c r="D479" s="19" t="s">
        <v>46</v>
      </c>
      <c r="E479" s="21">
        <v>841</v>
      </c>
    </row>
    <row r="480" spans="2:5" x14ac:dyDescent="0.3">
      <c r="B480" s="19" t="s">
        <v>42</v>
      </c>
      <c r="C480" s="20" t="str">
        <f>HYPERLINK("#'Data'!A4087", "Fulfillment level of 'Water supply' need met exclusively due to MPCA [Endline] broken down by households_partially_or_fully_damaged on the admin of Ov...")</f>
        <v>Fulfillment level of 'Water supply' need met exclusively due to MPCA [Endline] broken down by households_partially_or_fully_damaged on the admin of Ov...</v>
      </c>
      <c r="D480" s="19" t="s">
        <v>46</v>
      </c>
      <c r="E480" s="21">
        <v>856</v>
      </c>
    </row>
    <row r="481" spans="2:5" x14ac:dyDescent="0.3">
      <c r="B481" s="19" t="s">
        <v>42</v>
      </c>
      <c r="C481" s="20" t="str">
        <f>HYPERLINK("#'Data'!A4157", "Fulfillment level of 'Rent' need met exclusively due to MPCA [Endline] broken down by households_partially_or_fully_damaged on the admin of Overall pe...")</f>
        <v>Fulfillment level of 'Rent' need met exclusively due to MPCA [Endline] broken down by households_partially_or_fully_damaged on the admin of Overall pe...</v>
      </c>
      <c r="D481" s="19" t="s">
        <v>46</v>
      </c>
      <c r="E481" s="21">
        <v>871</v>
      </c>
    </row>
    <row r="482" spans="2:5" x14ac:dyDescent="0.3">
      <c r="B482" s="19" t="s">
        <v>42</v>
      </c>
      <c r="C482" s="20" t="str">
        <f>HYPERLINK("#'Data'!A4221", "Fulfillment level of 'Assistive products' need met exclusively due to MPCA [Endline] broken down by households_partially_or_fully_damaged on the admin...")</f>
        <v>Fulfillment level of 'Assistive products' need met exclusively due to MPCA [Endline] broken down by households_partially_or_fully_damaged on the admin...</v>
      </c>
      <c r="D482" s="19" t="s">
        <v>46</v>
      </c>
      <c r="E482" s="21">
        <v>886</v>
      </c>
    </row>
    <row r="483" spans="2:5" x14ac:dyDescent="0.3">
      <c r="B483" s="19" t="s">
        <v>42</v>
      </c>
      <c r="C483" s="20" t="str">
        <f>HYPERLINK("#'Data'!A4290", "Fulfillment level of 'Medication' need met exclusively due to MPCA [Endline] broken down by households_partially_or_fully_damaged on the admin of Over...")</f>
        <v>Fulfillment level of 'Medication' need met exclusively due to MPCA [Endline] broken down by households_partially_or_fully_damaged on the admin of Over...</v>
      </c>
      <c r="D483" s="19" t="s">
        <v>46</v>
      </c>
      <c r="E483" s="21">
        <v>901</v>
      </c>
    </row>
    <row r="484" spans="2:5" x14ac:dyDescent="0.3">
      <c r="B484" s="19" t="s">
        <v>42</v>
      </c>
      <c r="C484" s="20" t="str">
        <f>HYPERLINK("#'Data'!A4357", "Fulfillment level of 'Agricultural inputs' need met exclusively due to MPCA [Endline] broken down by households_partially_or_fully_damaged on the admi...")</f>
        <v>Fulfillment level of 'Agricultural inputs' need met exclusively due to MPCA [Endline] broken down by households_partially_or_fully_damaged on the admi...</v>
      </c>
      <c r="D484" s="19" t="s">
        <v>46</v>
      </c>
      <c r="E484" s="21">
        <v>916</v>
      </c>
    </row>
    <row r="485" spans="2:5" x14ac:dyDescent="0.3">
      <c r="B485" s="19" t="s">
        <v>42</v>
      </c>
      <c r="C485" s="20" t="str">
        <f>HYPERLINK("#'Data'!A4428", "Fulfillment level of 'Shelter maintenance' need met exclusively due to MPCA [Endline] broken down by households_partially_or_fully_damaged on the admi...")</f>
        <v>Fulfillment level of 'Shelter maintenance' need met exclusively due to MPCA [Endline] broken down by households_partially_or_fully_damaged on the admi...</v>
      </c>
      <c r="D485" s="19" t="s">
        <v>46</v>
      </c>
      <c r="E485" s="21">
        <v>931</v>
      </c>
    </row>
    <row r="486" spans="2:5" x14ac:dyDescent="0.3">
      <c r="B486" s="19" t="s">
        <v>42</v>
      </c>
      <c r="C486" s="20" t="str">
        <f>HYPERLINK("#'Data'!A4498", "Fulfillment level of 'Future savings' need met exclusively due to MPCA [Endline] broken down by households_partially_or_fully_damaged on the admin of ...")</f>
        <v>Fulfillment level of 'Future savings' need met exclusively due to MPCA [Endline] broken down by households_partially_or_fully_damaged on the admin of ...</v>
      </c>
      <c r="D486" s="19" t="s">
        <v>46</v>
      </c>
      <c r="E486" s="21">
        <v>946</v>
      </c>
    </row>
    <row r="487" spans="2:5" x14ac:dyDescent="0.3">
      <c r="B487" s="19" t="s">
        <v>42</v>
      </c>
      <c r="C487" s="20" t="str">
        <f>HYPERLINK("#'Data'!A4564", "Fulfillment level of 'Shared with others' need met exclusively due to MPCA [Endline] broken down by households_partially_or_fully_damaged on the admin...")</f>
        <v>Fulfillment level of 'Shared with others' need met exclusively due to MPCA [Endline] broken down by households_partially_or_fully_damaged on the admin...</v>
      </c>
      <c r="D487" s="19" t="s">
        <v>46</v>
      </c>
      <c r="E487" s="21">
        <v>961</v>
      </c>
    </row>
    <row r="488" spans="2:5" x14ac:dyDescent="0.3">
      <c r="B488" s="19" t="s">
        <v>42</v>
      </c>
      <c r="C488" s="20" t="str">
        <f>HYPERLINK("#'Data'!A4634", "Fulfillment level of 'Transportation' need met exclusively due to MPCA [Endline] broken down by households_partially_or_fully_damaged on the admin of ...")</f>
        <v>Fulfillment level of 'Transportation' need met exclusively due to MPCA [Endline] broken down by households_partially_or_fully_damaged on the admin of ...</v>
      </c>
      <c r="D488" s="19" t="s">
        <v>46</v>
      </c>
      <c r="E488" s="21">
        <v>976</v>
      </c>
    </row>
    <row r="489" spans="2:5" x14ac:dyDescent="0.3">
      <c r="B489" s="19" t="s">
        <v>42</v>
      </c>
      <c r="C489" s="20" t="str">
        <f>HYPERLINK("#'Data'!A4705", "Fulfillment level of 'Communication' need met exclusively due to MPCA [Endline] broken down by households_partially_or_fully_damaged on the admin of O...")</f>
        <v>Fulfillment level of 'Communication' need met exclusively due to MPCA [Endline] broken down by households_partially_or_fully_damaged on the admin of O...</v>
      </c>
      <c r="D489" s="19" t="s">
        <v>46</v>
      </c>
      <c r="E489" s="21">
        <v>991</v>
      </c>
    </row>
    <row r="490" spans="2:5" x14ac:dyDescent="0.3">
      <c r="B490" s="19" t="s">
        <v>42</v>
      </c>
      <c r="C490" s="20" t="str">
        <f>HYPERLINK("#'Data'!A4775", "Fulfillment level of 'Education materials' need met exclusively due to MPCA [Endline] broken down by households_partially_or_fully_damaged on the admi...")</f>
        <v>Fulfillment level of 'Education materials' need met exclusively due to MPCA [Endline] broken down by households_partially_or_fully_damaged on the admi...</v>
      </c>
      <c r="D490" s="19" t="s">
        <v>46</v>
      </c>
      <c r="E490" s="21">
        <v>1006</v>
      </c>
    </row>
    <row r="491" spans="2:5" x14ac:dyDescent="0.3">
      <c r="B491" s="19" t="s">
        <v>42</v>
      </c>
      <c r="C491" s="20" t="str">
        <f>HYPERLINK("#'Data'!A4849", "Estimated percentage of MPCA spent on each category of goods and services [Endline] broken down by households_partially_or_fully_damaged on the admin ...")</f>
        <v>Estimated percentage of MPCA spent on each category of goods and services [Endline] broken down by households_partially_or_fully_damaged on the admin ...</v>
      </c>
      <c r="D491" s="19" t="s">
        <v>46</v>
      </c>
      <c r="E491" s="21">
        <v>1021</v>
      </c>
    </row>
    <row r="492" spans="2:5" x14ac:dyDescent="0.3">
      <c r="B492" s="19" t="s">
        <v>42</v>
      </c>
      <c r="C492" s="20" t="str">
        <f>HYPERLINK("#'Data'!A4921", "Estimated percentage of MPCA spent on 'Other' category [Endline] broken down by households_partially_or_fully_damaged on the admin of Overall mean")</f>
        <v>Estimated percentage of MPCA spent on 'Other' category [Endline] broken down by households_partially_or_fully_damaged on the admin of Overall mean</v>
      </c>
      <c r="D492" s="19" t="s">
        <v>46</v>
      </c>
      <c r="E492" s="21">
        <v>1036</v>
      </c>
    </row>
    <row r="493" spans="2:5" x14ac:dyDescent="0.3">
      <c r="B493" s="19" t="s">
        <v>42</v>
      </c>
      <c r="C493" s="20" t="str">
        <f>HYPERLINK("#'Data'!A4994", "Estimated percentage of MPCA spent on 'Food' category [Endline] broken down by households_partially_or_fully_damaged on the admin of Overall mean")</f>
        <v>Estimated percentage of MPCA spent on 'Food' category [Endline] broken down by households_partially_or_fully_damaged on the admin of Overall mean</v>
      </c>
      <c r="D493" s="19" t="s">
        <v>46</v>
      </c>
      <c r="E493" s="21">
        <v>1051</v>
      </c>
    </row>
    <row r="494" spans="2:5" x14ac:dyDescent="0.3">
      <c r="B494" s="19" t="s">
        <v>42</v>
      </c>
      <c r="C494" s="20" t="str">
        <f>HYPERLINK("#'Data'!A5065", "Estimated percentage of MPCA spent on 'Personal hygiene' category [Endline] broken down by households_partially_or_fully_damaged on the admin of Overa...")</f>
        <v>Estimated percentage of MPCA spent on 'Personal hygiene' category [Endline] broken down by households_partially_or_fully_damaged on the admin of Overa...</v>
      </c>
      <c r="D494" s="19" t="s">
        <v>46</v>
      </c>
      <c r="E494" s="21">
        <v>1066</v>
      </c>
    </row>
    <row r="495" spans="2:5" x14ac:dyDescent="0.3">
      <c r="B495" s="19" t="s">
        <v>42</v>
      </c>
      <c r="C495" s="20" t="str">
        <f>HYPERLINK("#'Data'!A5137", "Estimated percentage of MPCA spent on 'Cleaning items' category [Endline] broken down by households_partially_or_fully_damaged on the admin of Overall...")</f>
        <v>Estimated percentage of MPCA spent on 'Cleaning items' category [Endline] broken down by households_partially_or_fully_damaged on the admin of Overall...</v>
      </c>
      <c r="D495" s="19" t="s">
        <v>46</v>
      </c>
      <c r="E495" s="21">
        <v>1081</v>
      </c>
    </row>
    <row r="496" spans="2:5" x14ac:dyDescent="0.3">
      <c r="B496" s="19" t="s">
        <v>42</v>
      </c>
      <c r="C496" s="20" t="str">
        <f>HYPERLINK("#'Data'!A5208", "Estimated percentage of MPCA spent on 'Non-food items' category [Endline] broken down by households_partially_or_fully_damaged on the admin of Overall...")</f>
        <v>Estimated percentage of MPCA spent on 'Non-food items' category [Endline] broken down by households_partially_or_fully_damaged on the admin of Overall...</v>
      </c>
      <c r="D496" s="19" t="s">
        <v>46</v>
      </c>
      <c r="E496" s="21">
        <v>1096</v>
      </c>
    </row>
    <row r="497" spans="2:5" x14ac:dyDescent="0.3">
      <c r="B497" s="19" t="s">
        <v>42</v>
      </c>
      <c r="C497" s="20" t="str">
        <f>HYPERLINK("#'Data'!A5281", "Estimated percentage of MPCA spent on 'Clothing and shoes' category [Endline] broken down by households_partially_or_fully_damaged on the admin of Ove...")</f>
        <v>Estimated percentage of MPCA spent on 'Clothing and shoes' category [Endline] broken down by households_partially_or_fully_damaged on the admin of Ove...</v>
      </c>
      <c r="D497" s="19" t="s">
        <v>46</v>
      </c>
      <c r="E497" s="21">
        <v>1111</v>
      </c>
    </row>
    <row r="498" spans="2:5" x14ac:dyDescent="0.3">
      <c r="B498" s="19" t="s">
        <v>42</v>
      </c>
      <c r="C498" s="20" t="str">
        <f>HYPERLINK("#'Data'!A5355", "Estimated percentage of MPCA spent on 'Heating fuel' category [Endline] broken down by households_partially_or_fully_damaged on the admin of Overall m...")</f>
        <v>Estimated percentage of MPCA spent on 'Heating fuel' category [Endline] broken down by households_partially_or_fully_damaged on the admin of Overall m...</v>
      </c>
      <c r="D498" s="19" t="s">
        <v>46</v>
      </c>
      <c r="E498" s="21">
        <v>1126</v>
      </c>
    </row>
    <row r="499" spans="2:5" x14ac:dyDescent="0.3">
      <c r="B499" s="19" t="s">
        <v>42</v>
      </c>
      <c r="C499" s="20" t="str">
        <f>HYPERLINK("#'Data'!A5421", "Estimated percentage of MPCA spent on 'Safe water' category [Endline] broken down by households_partially_or_fully_damaged on the admin of Overall mea...")</f>
        <v>Estimated percentage of MPCA spent on 'Safe water' category [Endline] broken down by households_partially_or_fully_damaged on the admin of Overall mea...</v>
      </c>
      <c r="D499" s="19" t="s">
        <v>46</v>
      </c>
      <c r="E499" s="21">
        <v>1141</v>
      </c>
    </row>
    <row r="500" spans="2:5" x14ac:dyDescent="0.3">
      <c r="B500" s="19" t="s">
        <v>42</v>
      </c>
      <c r="C500" s="20" t="str">
        <f>HYPERLINK("#'Data'!A5492", "Estimated percentage of MPCA spent on 'Utilities' category [Endline] broken down by households_partially_or_fully_damaged on the admin of Overall mean")</f>
        <v>Estimated percentage of MPCA spent on 'Utilities' category [Endline] broken down by households_partially_or_fully_damaged on the admin of Overall mean</v>
      </c>
      <c r="D500" s="19" t="s">
        <v>46</v>
      </c>
      <c r="E500" s="21">
        <v>1156</v>
      </c>
    </row>
    <row r="501" spans="2:5" x14ac:dyDescent="0.3">
      <c r="B501" s="19" t="s">
        <v>42</v>
      </c>
      <c r="C501" s="20" t="str">
        <f>HYPERLINK("#'Data'!A5561", "Estimated percentage of MPCA spent on 'Water supply' category [Endline] broken down by households_partially_or_fully_damaged on the admin of Overall m...")</f>
        <v>Estimated percentage of MPCA spent on 'Water supply' category [Endline] broken down by households_partially_or_fully_damaged on the admin of Overall m...</v>
      </c>
      <c r="D501" s="19" t="s">
        <v>46</v>
      </c>
      <c r="E501" s="21">
        <v>1171</v>
      </c>
    </row>
    <row r="502" spans="2:5" x14ac:dyDescent="0.3">
      <c r="B502" s="19" t="s">
        <v>42</v>
      </c>
      <c r="C502" s="20" t="str">
        <f>HYPERLINK("#'Data'!A5631", "Estimated percentage of MPCA spent on 'Rent' category [Endline] broken down by households_partially_or_fully_damaged on the admin of Overall mean")</f>
        <v>Estimated percentage of MPCA spent on 'Rent' category [Endline] broken down by households_partially_or_fully_damaged on the admin of Overall mean</v>
      </c>
      <c r="D502" s="19" t="s">
        <v>46</v>
      </c>
      <c r="E502" s="21">
        <v>1186</v>
      </c>
    </row>
    <row r="503" spans="2:5" x14ac:dyDescent="0.3">
      <c r="B503" s="19" t="s">
        <v>42</v>
      </c>
      <c r="C503" s="20" t="str">
        <f>HYPERLINK("#'Data'!A5695", "Estimated percentage of MPCA spent on 'Assistive products' category [Endline] broken down by households_partially_or_fully_damaged on the admin of Ove...")</f>
        <v>Estimated percentage of MPCA spent on 'Assistive products' category [Endline] broken down by households_partially_or_fully_damaged on the admin of Ove...</v>
      </c>
      <c r="D503" s="19" t="s">
        <v>46</v>
      </c>
      <c r="E503" s="21">
        <v>1201</v>
      </c>
    </row>
    <row r="504" spans="2:5" x14ac:dyDescent="0.3">
      <c r="B504" s="19" t="s">
        <v>42</v>
      </c>
      <c r="C504" s="20" t="str">
        <f>HYPERLINK("#'Data'!A5764", "Estimated percentage of MPCA spent on 'Medication' category [Endline] broken down by households_partially_or_fully_damaged on the admin of Overall mea...")</f>
        <v>Estimated percentage of MPCA spent on 'Medication' category [Endline] broken down by households_partially_or_fully_damaged on the admin of Overall mea...</v>
      </c>
      <c r="D504" s="19" t="s">
        <v>46</v>
      </c>
      <c r="E504" s="21">
        <v>1216</v>
      </c>
    </row>
    <row r="505" spans="2:5" x14ac:dyDescent="0.3">
      <c r="B505" s="19" t="s">
        <v>42</v>
      </c>
      <c r="C505" s="20" t="str">
        <f>HYPERLINK("#'Data'!A5833", "Estimated percentage of MPCA spent on 'Agricultural inputs' category [Endline] broken down by households_partially_or_fully_damaged on the admin of Ov...")</f>
        <v>Estimated percentage of MPCA spent on 'Agricultural inputs' category [Endline] broken down by households_partially_or_fully_damaged on the admin of Ov...</v>
      </c>
      <c r="D505" s="19" t="s">
        <v>46</v>
      </c>
      <c r="E505" s="21">
        <v>1231</v>
      </c>
    </row>
    <row r="506" spans="2:5" x14ac:dyDescent="0.3">
      <c r="B506" s="19" t="s">
        <v>42</v>
      </c>
      <c r="C506" s="20" t="str">
        <f>HYPERLINK("#'Data'!A5905", "Estimated percentage of MPCA spent on 'Shelter maintenance' category [Endline] broken down by households_partially_or_fully_damaged on the admin of Ov...")</f>
        <v>Estimated percentage of MPCA spent on 'Shelter maintenance' category [Endline] broken down by households_partially_or_fully_damaged on the admin of Ov...</v>
      </c>
      <c r="D506" s="19" t="s">
        <v>46</v>
      </c>
      <c r="E506" s="21">
        <v>1246</v>
      </c>
    </row>
    <row r="507" spans="2:5" x14ac:dyDescent="0.3">
      <c r="B507" s="19" t="s">
        <v>42</v>
      </c>
      <c r="C507" s="20" t="str">
        <f>HYPERLINK("#'Data'!A5975", "Estimated percentage of MPCA spent on 'Future savings' category [Endline] broken down by households_partially_or_fully_damaged on the admin of Overall...")</f>
        <v>Estimated percentage of MPCA spent on 'Future savings' category [Endline] broken down by households_partially_or_fully_damaged on the admin of Overall...</v>
      </c>
      <c r="D507" s="19" t="s">
        <v>46</v>
      </c>
      <c r="E507" s="21">
        <v>1261</v>
      </c>
    </row>
    <row r="508" spans="2:5" x14ac:dyDescent="0.3">
      <c r="B508" s="19" t="s">
        <v>42</v>
      </c>
      <c r="C508" s="20" t="str">
        <f>HYPERLINK("#'Data'!A6042", "Estimated percentage of MPCA spent on 'Shared with others' category [Endline] broken down by households_partially_or_fully_damaged on the admin of Ove...")</f>
        <v>Estimated percentage of MPCA spent on 'Shared with others' category [Endline] broken down by households_partially_or_fully_damaged on the admin of Ove...</v>
      </c>
      <c r="D508" s="19" t="s">
        <v>46</v>
      </c>
      <c r="E508" s="21">
        <v>1276</v>
      </c>
    </row>
    <row r="509" spans="2:5" x14ac:dyDescent="0.3">
      <c r="B509" s="19" t="s">
        <v>42</v>
      </c>
      <c r="C509" s="20" t="str">
        <f>HYPERLINK("#'Data'!A6112", "Estimated percentage of MPCA spent on 'Transportation' category [Endline] broken down by households_partially_or_fully_damaged on the admin of Overall...")</f>
        <v>Estimated percentage of MPCA spent on 'Transportation' category [Endline] broken down by households_partially_or_fully_damaged on the admin of Overall...</v>
      </c>
      <c r="D509" s="19" t="s">
        <v>46</v>
      </c>
      <c r="E509" s="21">
        <v>1291</v>
      </c>
    </row>
    <row r="510" spans="2:5" x14ac:dyDescent="0.3">
      <c r="B510" s="19" t="s">
        <v>42</v>
      </c>
      <c r="C510" s="20" t="str">
        <f>HYPERLINK("#'Data'!A6185", "Estimated percentage of MPCA spent on 'Communication' category [Endline] broken down by households_partially_or_fully_damaged on the admin of Overall ...")</f>
        <v>Estimated percentage of MPCA spent on 'Communication' category [Endline] broken down by households_partially_or_fully_damaged on the admin of Overall ...</v>
      </c>
      <c r="D510" s="19" t="s">
        <v>46</v>
      </c>
      <c r="E510" s="21">
        <v>1306</v>
      </c>
    </row>
    <row r="511" spans="2:5" x14ac:dyDescent="0.3">
      <c r="B511" s="19" t="s">
        <v>42</v>
      </c>
      <c r="C511" s="20" t="str">
        <f>HYPERLINK("#'Data'!A6255", "Estimated percentage of MPCA spent on 'Education materials' category [Endline] broken down by households_partially_or_fully_damaged on the admin of Ov...")</f>
        <v>Estimated percentage of MPCA spent on 'Education materials' category [Endline] broken down by households_partially_or_fully_damaged on the admin of Ov...</v>
      </c>
      <c r="D511" s="19" t="s">
        <v>46</v>
      </c>
      <c r="E511" s="21">
        <v>1321</v>
      </c>
    </row>
    <row r="512" spans="2:5" x14ac:dyDescent="0.3">
      <c r="B512" s="19" t="s">
        <v>42</v>
      </c>
      <c r="C512" s="20" t="str">
        <f>HYPERLINK("#'Data'!A6329", "Additional priority needs potentially met if MPCA duration extended to 6 months [Endline] broken down by households_partially_or_fully_damaged on the ...")</f>
        <v>Additional priority needs potentially met if MPCA duration extended to 6 months [Endline] broken down by households_partially_or_fully_damaged on the ...</v>
      </c>
      <c r="D512" s="19" t="s">
        <v>46</v>
      </c>
      <c r="E512" s="21">
        <v>1336</v>
      </c>
    </row>
    <row r="513" spans="2:5" x14ac:dyDescent="0.3">
      <c r="B513" s="19" t="s">
        <v>42</v>
      </c>
      <c r="C513" s="20" t="str">
        <f>HYPERLINK("#'Data'!A6403", "Additional priority needs potentially met with doubled MPCA amount over past 3 months [Endline] broken down by households_partially_or_fully_damaged o...")</f>
        <v>Additional priority needs potentially met with doubled MPCA amount over past 3 months [Endline] broken down by households_partially_or_fully_damaged o...</v>
      </c>
      <c r="D513" s="19" t="s">
        <v>46</v>
      </c>
      <c r="E513" s="21">
        <v>1351</v>
      </c>
    </row>
    <row r="514" spans="2:5" x14ac:dyDescent="0.3">
      <c r="B514" s="19" t="s">
        <v>42</v>
      </c>
      <c r="C514" s="20" t="str">
        <f>HYPERLINK("#'Data'!A6477", "Needs that MPCA is considered insufficient to address [Baseline] broken down by households_partially_or_fully_damaged on the admin of Overall perc")</f>
        <v>Needs that MPCA is considered insufficient to address [Baseline] broken down by households_partially_or_fully_damaged on the admin of Overall perc</v>
      </c>
      <c r="D514" s="19" t="s">
        <v>46</v>
      </c>
      <c r="E514" s="21">
        <v>1366</v>
      </c>
    </row>
    <row r="515" spans="2:5" x14ac:dyDescent="0.3">
      <c r="B515" s="19" t="s">
        <v>42</v>
      </c>
      <c r="C515" s="20" t="str">
        <f>HYPERLINK("#'Data'!A6551", "Needs that MPCA is considered insufficient to address [Endline] broken down by households_partially_or_fully_damaged on the admin of Overall perc")</f>
        <v>Needs that MPCA is considered insufficient to address [Endline] broken down by households_partially_or_fully_damaged on the admin of Overall perc</v>
      </c>
      <c r="D515" s="19" t="s">
        <v>46</v>
      </c>
      <c r="E515" s="21">
        <v>1381</v>
      </c>
    </row>
    <row r="516" spans="2:5" x14ac:dyDescent="0.3">
      <c r="B516" s="19" t="s">
        <v>42</v>
      </c>
      <c r="C516" s="20" t="str">
        <f>HYPERLINK("#'Data'!A6625", "Preferred type of assistance for meeting current household needs [Baseline] broken down by households_partially_or_fully_damaged on the admin of Overa...")</f>
        <v>Preferred type of assistance for meeting current household needs [Baseline] broken down by households_partially_or_fully_damaged on the admin of Overa...</v>
      </c>
      <c r="D516" s="19" t="s">
        <v>46</v>
      </c>
      <c r="E516" s="21">
        <v>1396</v>
      </c>
    </row>
    <row r="517" spans="2:5" hidden="1" x14ac:dyDescent="0.3">
      <c r="B517" s="19" t="s">
        <v>40</v>
      </c>
      <c r="C517" s="20" t="str">
        <f>HYPERLINK("#'Data'!A6680", "Preferred type of assistance for meeting current household needs [Endline] broken down by households_headed_by_women on the admin of Overall perc")</f>
        <v>Preferred type of assistance for meeting current household needs [Endline] broken down by households_headed_by_women on the admin of Overall perc</v>
      </c>
      <c r="D517" s="19" t="s">
        <v>45</v>
      </c>
      <c r="E517" s="21">
        <v>1407</v>
      </c>
    </row>
    <row r="518" spans="2:5" x14ac:dyDescent="0.3">
      <c r="B518" s="19" t="s">
        <v>42</v>
      </c>
      <c r="C518" s="20" t="str">
        <f>HYPERLINK("#'Data'!A6773", "Remaining needs after MPCA that require additional cash or in-kind assistance [Endline] broken down by households_partially_or_fully_damaged on the ad...")</f>
        <v>Remaining needs after MPCA that require additional cash or in-kind assistance [Endline] broken down by households_partially_or_fully_damaged on the ad...</v>
      </c>
      <c r="D518" s="19" t="s">
        <v>46</v>
      </c>
      <c r="E518" s="21">
        <v>1426</v>
      </c>
    </row>
    <row r="519" spans="2:5" hidden="1" x14ac:dyDescent="0.3">
      <c r="B519" s="19" t="s">
        <v>40</v>
      </c>
      <c r="C519" s="20" t="str">
        <f>HYPERLINK("#'Data'!A6828", "Remaining needs after MPCA that require additional cash or in-kind assistance [Endline] broken down by households_headed_by_women on the admin of Over...")</f>
        <v>Remaining needs after MPCA that require additional cash or in-kind assistance [Endline] broken down by households_headed_by_women on the admin of Over...</v>
      </c>
      <c r="D519" s="19" t="s">
        <v>45</v>
      </c>
      <c r="E519" s="21">
        <v>1437</v>
      </c>
    </row>
    <row r="520" spans="2:5" x14ac:dyDescent="0.3">
      <c r="B520" s="19" t="s">
        <v>42</v>
      </c>
      <c r="C520" s="20" t="str">
        <f>HYPERLINK("#'Data'!A6921", "Amount of multi-purpose cash assistance received over last 3 months in UAH [Endline] broken down by households_partially_or_fully_damaged on the admin...")</f>
        <v>Amount of multi-purpose cash assistance received over last 3 months in UAH [Endline] broken down by households_partially_or_fully_damaged on the admin...</v>
      </c>
      <c r="D520" s="19" t="s">
        <v>46</v>
      </c>
      <c r="E520" s="21">
        <v>1456</v>
      </c>
    </row>
    <row r="521" spans="2:5" x14ac:dyDescent="0.3">
      <c r="B521" s="19" t="s">
        <v>42</v>
      </c>
      <c r="C521" s="20" t="str">
        <f>HYPERLINK("#'Data'!A6995", "Amount of multi-purpose cash assistance received over last 3 months per hh member in UAH [Endline] broken down by households_partially_or_fully_damage...")</f>
        <v>Amount of multi-purpose cash assistance received over last 3 months per hh member in UAH [Endline] broken down by households_partially_or_fully_damage...</v>
      </c>
      <c r="D521" s="19" t="s">
        <v>46</v>
      </c>
      <c r="E521" s="21">
        <v>1471</v>
      </c>
    </row>
    <row r="522" spans="2:5" x14ac:dyDescent="0.3">
      <c r="B522" s="19" t="s">
        <v>42</v>
      </c>
      <c r="C522" s="20" t="str">
        <f>HYPERLINK("#'Data'!A7069", "Other types of humanitarian aid received in the previous three months [Endline] broken down by households_partially_or_fully_damaged on the admin of O...")</f>
        <v>Other types of humanitarian aid received in the previous three months [Endline] broken down by households_partially_or_fully_damaged on the admin of O...</v>
      </c>
      <c r="D522" s="19" t="s">
        <v>46</v>
      </c>
      <c r="E522" s="21">
        <v>1486</v>
      </c>
    </row>
    <row r="523" spans="2:5" x14ac:dyDescent="0.3">
      <c r="B523" s="19" t="s">
        <v>42</v>
      </c>
      <c r="C523" s="20" t="str">
        <f>HYPERLINK("#'Data'!A7136", "Estimated percentage of total household expenditures spent on 'Other' (past month, excl. humanitarian aid) [Baseline] broken down by households_partia...")</f>
        <v>Estimated percentage of total household expenditures spent on 'Other' (past month, excl. humanitarian aid) [Baseline] broken down by households_partia...</v>
      </c>
      <c r="D523" s="19" t="s">
        <v>46</v>
      </c>
      <c r="E523" s="21">
        <v>1501</v>
      </c>
    </row>
    <row r="524" spans="2:5" x14ac:dyDescent="0.3">
      <c r="B524" s="19" t="s">
        <v>42</v>
      </c>
      <c r="C524" s="20" t="str">
        <f>HYPERLINK("#'Data'!A7209", "Estimated percentage of total household expenditures spent on 'Food' (past month, excl. humanitarian aid) [Baseline] broken down by households_partial...")</f>
        <v>Estimated percentage of total household expenditures spent on 'Food' (past month, excl. humanitarian aid) [Baseline] broken down by households_partial...</v>
      </c>
      <c r="D524" s="19" t="s">
        <v>46</v>
      </c>
      <c r="E524" s="21">
        <v>1516</v>
      </c>
    </row>
    <row r="525" spans="2:5" x14ac:dyDescent="0.3">
      <c r="B525" s="19" t="s">
        <v>42</v>
      </c>
      <c r="C525" s="20" t="str">
        <f>HYPERLINK("#'Data'!A7282",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525" s="19" t="s">
        <v>46</v>
      </c>
      <c r="E525" s="21">
        <v>1531</v>
      </c>
    </row>
    <row r="526" spans="2:5" hidden="1" x14ac:dyDescent="0.3">
      <c r="B526" s="19" t="s">
        <v>40</v>
      </c>
      <c r="C526" s="20" t="str">
        <f>HYPERLINK("#'Data'!A7336",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526" s="19" t="s">
        <v>45</v>
      </c>
      <c r="E526" s="21">
        <v>1542</v>
      </c>
    </row>
    <row r="527" spans="2:5" hidden="1" x14ac:dyDescent="0.3">
      <c r="B527" s="19" t="s">
        <v>40</v>
      </c>
      <c r="C527" s="20" t="str">
        <f>HYPERLINK("#'Data'!A7406",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527" s="19" t="s">
        <v>45</v>
      </c>
      <c r="E527" s="21">
        <v>1557</v>
      </c>
    </row>
    <row r="528" spans="2:5" hidden="1" x14ac:dyDescent="0.3">
      <c r="B528" s="19" t="s">
        <v>40</v>
      </c>
      <c r="C528" s="20" t="str">
        <f>HYPERLINK("#'Data'!A7479",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528" s="19" t="s">
        <v>45</v>
      </c>
      <c r="E528" s="21">
        <v>1572</v>
      </c>
    </row>
    <row r="529" spans="2:5" hidden="1" x14ac:dyDescent="0.3">
      <c r="B529" s="19" t="s">
        <v>40</v>
      </c>
      <c r="C529" s="20" t="str">
        <f>HYPERLINK("#'Data'!A7550",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529" s="19" t="s">
        <v>45</v>
      </c>
      <c r="E529" s="21">
        <v>1587</v>
      </c>
    </row>
    <row r="530" spans="2:5" hidden="1" x14ac:dyDescent="0.3">
      <c r="B530" s="19" t="s">
        <v>40</v>
      </c>
      <c r="C530" s="20" t="str">
        <f>HYPERLINK("#'Data'!A7622", "Estimated percentage of total household expenditures spent on 'Safe water' (past month, excl. humanitarian aid) [Baseline] broken down by households_h...")</f>
        <v>Estimated percentage of total household expenditures spent on 'Safe water' (past month, excl. humanitarian aid) [Baseline] broken down by households_h...</v>
      </c>
      <c r="D530" s="19" t="s">
        <v>45</v>
      </c>
      <c r="E530" s="21">
        <v>1602</v>
      </c>
    </row>
    <row r="531" spans="2:5" hidden="1" x14ac:dyDescent="0.3">
      <c r="B531" s="19" t="s">
        <v>40</v>
      </c>
      <c r="C531" s="20" t="str">
        <f>HYPERLINK("#'Data'!A7696", "Estimated percentage of total household expenditures spent on 'Utilities' (past month, excl. humanitarian aid) [Baseline] broken down by households_he...")</f>
        <v>Estimated percentage of total household expenditures spent on 'Utilities' (past month, excl. humanitarian aid) [Baseline] broken down by households_he...</v>
      </c>
      <c r="D531" s="19" t="s">
        <v>45</v>
      </c>
      <c r="E531" s="21">
        <v>1617</v>
      </c>
    </row>
    <row r="532" spans="2:5" hidden="1" x14ac:dyDescent="0.3">
      <c r="B532" s="19" t="s">
        <v>40</v>
      </c>
      <c r="C532" s="20" t="str">
        <f>HYPERLINK("#'Data'!A7767",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532" s="19" t="s">
        <v>45</v>
      </c>
      <c r="E532" s="21">
        <v>1632</v>
      </c>
    </row>
    <row r="533" spans="2:5" hidden="1" x14ac:dyDescent="0.3">
      <c r="B533" s="19" t="s">
        <v>40</v>
      </c>
      <c r="C533" s="20" t="str">
        <f>HYPERLINK("#'Data'!A7838", "Estimated percentage of total household expenditures spent on 'Rent' (past month, excl. humanitarian aid) [Baseline] broken down by households_headed_...")</f>
        <v>Estimated percentage of total household expenditures spent on 'Rent' (past month, excl. humanitarian aid) [Baseline] broken down by households_headed_...</v>
      </c>
      <c r="D533" s="19" t="s">
        <v>45</v>
      </c>
      <c r="E533" s="21">
        <v>1647</v>
      </c>
    </row>
    <row r="534" spans="2:5" hidden="1" x14ac:dyDescent="0.3">
      <c r="B534" s="19" t="s">
        <v>40</v>
      </c>
      <c r="C534" s="20" t="str">
        <f>HYPERLINK("#'Data'!A7907",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534" s="19" t="s">
        <v>45</v>
      </c>
      <c r="E534" s="21">
        <v>1662</v>
      </c>
    </row>
    <row r="535" spans="2:5" hidden="1" x14ac:dyDescent="0.3">
      <c r="B535" s="19" t="s">
        <v>40</v>
      </c>
      <c r="C535" s="20" t="str">
        <f>HYPERLINK("#'Data'!A7980", "Estimated percentage of total household expenditures spent on 'Medication' (past month, excl. humanitarian aid) [Baseline] broken down by households_h...")</f>
        <v>Estimated percentage of total household expenditures spent on 'Medication' (past month, excl. humanitarian aid) [Baseline] broken down by households_h...</v>
      </c>
      <c r="D535" s="19" t="s">
        <v>45</v>
      </c>
      <c r="E535" s="21">
        <v>1677</v>
      </c>
    </row>
    <row r="536" spans="2:5" hidden="1" x14ac:dyDescent="0.3">
      <c r="B536" s="19" t="s">
        <v>40</v>
      </c>
      <c r="C536" s="20" t="str">
        <f>HYPERLINK("#'Data'!A8050",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536" s="19" t="s">
        <v>45</v>
      </c>
      <c r="E536" s="21">
        <v>1692</v>
      </c>
    </row>
    <row r="537" spans="2:5" hidden="1" x14ac:dyDescent="0.3">
      <c r="B537" s="19" t="s">
        <v>40</v>
      </c>
      <c r="C537" s="20" t="str">
        <f>HYPERLINK("#'Data'!A8120",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537" s="19" t="s">
        <v>45</v>
      </c>
      <c r="E537" s="21">
        <v>1707</v>
      </c>
    </row>
    <row r="538" spans="2:5" hidden="1" x14ac:dyDescent="0.3">
      <c r="B538" s="19" t="s">
        <v>40</v>
      </c>
      <c r="C538" s="20" t="str">
        <f>HYPERLINK("#'Data'!A8189",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538" s="19" t="s">
        <v>45</v>
      </c>
      <c r="E538" s="21">
        <v>1722</v>
      </c>
    </row>
    <row r="539" spans="2:5" hidden="1" x14ac:dyDescent="0.3">
      <c r="B539" s="19" t="s">
        <v>40</v>
      </c>
      <c r="C539" s="20" t="str">
        <f>HYPERLINK("#'Data'!A8258",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539" s="19" t="s">
        <v>45</v>
      </c>
      <c r="E539" s="21">
        <v>1737</v>
      </c>
    </row>
    <row r="540" spans="2:5" hidden="1" x14ac:dyDescent="0.3">
      <c r="B540" s="19" t="s">
        <v>40</v>
      </c>
      <c r="C540" s="20" t="str">
        <f>HYPERLINK("#'Data'!A8329",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540" s="19" t="s">
        <v>45</v>
      </c>
      <c r="E540" s="21">
        <v>1752</v>
      </c>
    </row>
    <row r="541" spans="2:5" hidden="1" x14ac:dyDescent="0.3">
      <c r="B541" s="19" t="s">
        <v>40</v>
      </c>
      <c r="C541" s="20" t="str">
        <f>HYPERLINK("#'Data'!A8403",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541" s="19" t="s">
        <v>45</v>
      </c>
      <c r="E541" s="21">
        <v>1767</v>
      </c>
    </row>
    <row r="542" spans="2:5" hidden="1" x14ac:dyDescent="0.3">
      <c r="B542" s="19" t="s">
        <v>40</v>
      </c>
      <c r="C542" s="20" t="str">
        <f>HYPERLINK("#'Data'!A8474",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542" s="19" t="s">
        <v>45</v>
      </c>
      <c r="E542" s="21">
        <v>1782</v>
      </c>
    </row>
    <row r="543" spans="2:5" hidden="1" x14ac:dyDescent="0.3">
      <c r="B543" s="19" t="s">
        <v>40</v>
      </c>
      <c r="C543" s="20" t="str">
        <f>HYPERLINK("#'Data'!A8542", "Estimated percentage of total household expenditures spent on 'Other' (past month, excl. humanitarian aid) [Endline] broken down by households_headed_...")</f>
        <v>Estimated percentage of total household expenditures spent on 'Other' (past month, excl. humanitarian aid) [Endline] broken down by households_headed_...</v>
      </c>
      <c r="D543" s="19" t="s">
        <v>45</v>
      </c>
      <c r="E543" s="21">
        <v>1797</v>
      </c>
    </row>
    <row r="544" spans="2:5" hidden="1" x14ac:dyDescent="0.3">
      <c r="B544" s="19" t="s">
        <v>40</v>
      </c>
      <c r="C544" s="20" t="str">
        <f>HYPERLINK("#'Data'!A8614", "Estimated percentage of total household expenditures spent on 'Food' (past month, excl. humanitarian aid) [Endline] broken down by households_headed_b...")</f>
        <v>Estimated percentage of total household expenditures spent on 'Food' (past month, excl. humanitarian aid) [Endline] broken down by households_headed_b...</v>
      </c>
      <c r="D544" s="19" t="s">
        <v>45</v>
      </c>
      <c r="E544" s="21">
        <v>1812</v>
      </c>
    </row>
    <row r="545" spans="2:5" hidden="1" x14ac:dyDescent="0.3">
      <c r="B545" s="19" t="s">
        <v>40</v>
      </c>
      <c r="C545" s="20" t="str">
        <f>HYPERLINK("#'Data'!A8687",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545" s="19" t="s">
        <v>45</v>
      </c>
      <c r="E545" s="21">
        <v>1827</v>
      </c>
    </row>
    <row r="546" spans="2:5" x14ac:dyDescent="0.3">
      <c r="B546" s="19" t="s">
        <v>42</v>
      </c>
      <c r="C546" s="20" t="str">
        <f>HYPERLINK("#'Data'!A8779",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546" s="19" t="s">
        <v>46</v>
      </c>
      <c r="E546" s="21">
        <v>1846</v>
      </c>
    </row>
    <row r="547" spans="2:5" x14ac:dyDescent="0.3">
      <c r="B547" s="19" t="s">
        <v>42</v>
      </c>
      <c r="C547" s="20" t="str">
        <f>HYPERLINK("#'Data'!A8851",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547" s="19" t="s">
        <v>46</v>
      </c>
      <c r="E547" s="21">
        <v>1861</v>
      </c>
    </row>
    <row r="548" spans="2:5" x14ac:dyDescent="0.3">
      <c r="B548" s="19" t="s">
        <v>42</v>
      </c>
      <c r="C548" s="20" t="str">
        <f>HYPERLINK("#'Data'!A8924",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548" s="19" t="s">
        <v>46</v>
      </c>
      <c r="E548" s="21">
        <v>1876</v>
      </c>
    </row>
    <row r="549" spans="2:5" x14ac:dyDescent="0.3">
      <c r="B549" s="19" t="s">
        <v>42</v>
      </c>
      <c r="C549" s="20" t="str">
        <f>HYPERLINK("#'Data'!A8998",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549" s="19" t="s">
        <v>46</v>
      </c>
      <c r="E549" s="21">
        <v>1891</v>
      </c>
    </row>
    <row r="550" spans="2:5" x14ac:dyDescent="0.3">
      <c r="B550" s="19" t="s">
        <v>42</v>
      </c>
      <c r="C550" s="20" t="str">
        <f>HYPERLINK("#'Data'!A9070", "Estimated percentage of total household expenditures spent on 'Safe water' (past month, excl. humanitarian aid) [Endline] broken down by households_pa...")</f>
        <v>Estimated percentage of total household expenditures spent on 'Safe water' (past month, excl. humanitarian aid) [Endline] broken down by households_pa...</v>
      </c>
      <c r="D550" s="19" t="s">
        <v>46</v>
      </c>
      <c r="E550" s="21">
        <v>1906</v>
      </c>
    </row>
    <row r="551" spans="2:5" x14ac:dyDescent="0.3">
      <c r="B551" s="19" t="s">
        <v>42</v>
      </c>
      <c r="C551" s="20" t="str">
        <f>HYPERLINK("#'Data'!A9144", "Estimated percentage of total household expenditures spent on 'Utilities' (past month, excl. humanitarian aid) [Endline] broken down by households_par...")</f>
        <v>Estimated percentage of total household expenditures spent on 'Utilities' (past month, excl. humanitarian aid) [Endline] broken down by households_par...</v>
      </c>
      <c r="D551" s="19" t="s">
        <v>46</v>
      </c>
      <c r="E551" s="21">
        <v>1921</v>
      </c>
    </row>
    <row r="552" spans="2:5" x14ac:dyDescent="0.3">
      <c r="B552" s="19" t="s">
        <v>42</v>
      </c>
      <c r="C552" s="20" t="str">
        <f>HYPERLINK("#'Data'!A9215",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552" s="19" t="s">
        <v>46</v>
      </c>
      <c r="E552" s="21">
        <v>1936</v>
      </c>
    </row>
    <row r="553" spans="2:5" x14ac:dyDescent="0.3">
      <c r="B553" s="19" t="s">
        <v>42</v>
      </c>
      <c r="C553" s="20" t="str">
        <f>HYPERLINK("#'Data'!A9284", "Estimated percentage of total household expenditures spent on 'Rent' (past month, excl. humanitarian aid) [Endline] broken down by households_partiall...")</f>
        <v>Estimated percentage of total household expenditures spent on 'Rent' (past month, excl. humanitarian aid) [Endline] broken down by households_partiall...</v>
      </c>
      <c r="D553" s="19" t="s">
        <v>46</v>
      </c>
      <c r="E553" s="21">
        <v>1951</v>
      </c>
    </row>
    <row r="554" spans="2:5" x14ac:dyDescent="0.3">
      <c r="B554" s="19" t="s">
        <v>42</v>
      </c>
      <c r="C554" s="20" t="str">
        <f>HYPERLINK("#'Data'!A9350",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554" s="19" t="s">
        <v>46</v>
      </c>
      <c r="E554" s="21">
        <v>1966</v>
      </c>
    </row>
    <row r="555" spans="2:5" x14ac:dyDescent="0.3">
      <c r="B555" s="19" t="s">
        <v>42</v>
      </c>
      <c r="C555" s="20" t="str">
        <f>HYPERLINK("#'Data'!A9421", "Estimated percentage of total household expenditures spent on 'Medication' (past month, excl. humanitarian aid) [Endline] broken down by households_pa...")</f>
        <v>Estimated percentage of total household expenditures spent on 'Medication' (past month, excl. humanitarian aid) [Endline] broken down by households_pa...</v>
      </c>
      <c r="D555" s="19" t="s">
        <v>46</v>
      </c>
      <c r="E555" s="21">
        <v>1981</v>
      </c>
    </row>
    <row r="556" spans="2:5" x14ac:dyDescent="0.3">
      <c r="B556" s="19" t="s">
        <v>42</v>
      </c>
      <c r="C556" s="20" t="str">
        <f>HYPERLINK("#'Data'!A9488",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556" s="19" t="s">
        <v>46</v>
      </c>
      <c r="E556" s="21">
        <v>1996</v>
      </c>
    </row>
    <row r="557" spans="2:5" x14ac:dyDescent="0.3">
      <c r="B557" s="19" t="s">
        <v>42</v>
      </c>
      <c r="C557" s="20" t="str">
        <f>HYPERLINK("#'Data'!A9555",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557" s="19" t="s">
        <v>46</v>
      </c>
      <c r="E557" s="21">
        <v>2011</v>
      </c>
    </row>
    <row r="558" spans="2:5" x14ac:dyDescent="0.3">
      <c r="B558" s="19" t="s">
        <v>42</v>
      </c>
      <c r="C558" s="20" t="str">
        <f>HYPERLINK("#'Data'!A9624",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558" s="19" t="s">
        <v>46</v>
      </c>
      <c r="E558" s="21">
        <v>2026</v>
      </c>
    </row>
    <row r="559" spans="2:5" x14ac:dyDescent="0.3">
      <c r="B559" s="19" t="s">
        <v>42</v>
      </c>
      <c r="C559" s="20" t="str">
        <f>HYPERLINK("#'Data'!A9688",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559" s="19" t="s">
        <v>46</v>
      </c>
      <c r="E559" s="21">
        <v>2041</v>
      </c>
    </row>
    <row r="560" spans="2:5" x14ac:dyDescent="0.3">
      <c r="B560" s="19" t="s">
        <v>42</v>
      </c>
      <c r="C560" s="20" t="str">
        <f>HYPERLINK("#'Data'!A9755",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560" s="19" t="s">
        <v>46</v>
      </c>
      <c r="E560" s="21">
        <v>2056</v>
      </c>
    </row>
    <row r="561" spans="2:5" x14ac:dyDescent="0.3">
      <c r="B561" s="19" t="s">
        <v>42</v>
      </c>
      <c r="C561" s="20" t="str">
        <f>HYPERLINK("#'Data'!A9828",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561" s="19" t="s">
        <v>46</v>
      </c>
      <c r="E561" s="21">
        <v>2071</v>
      </c>
    </row>
    <row r="562" spans="2:5" x14ac:dyDescent="0.3">
      <c r="B562" s="19" t="s">
        <v>42</v>
      </c>
      <c r="C562" s="20" t="str">
        <f>HYPERLINK("#'Data'!A9899",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562" s="19" t="s">
        <v>46</v>
      </c>
      <c r="E562" s="21">
        <v>2086</v>
      </c>
    </row>
    <row r="563" spans="2:5" hidden="1" x14ac:dyDescent="0.3">
      <c r="B563" s="19" t="s">
        <v>40</v>
      </c>
      <c r="C563" s="20" t="str">
        <f>HYPERLINK("#'Data'!A59",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563" s="19" t="s">
        <v>46</v>
      </c>
      <c r="E563" s="21">
        <v>13</v>
      </c>
    </row>
    <row r="564" spans="2:5" hidden="1" x14ac:dyDescent="0.3">
      <c r="B564" s="19" t="s">
        <v>40</v>
      </c>
      <c r="C564" s="20" t="str">
        <f>HYPERLINK("#'Data'!A133",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564" s="19" t="s">
        <v>46</v>
      </c>
      <c r="E564" s="21">
        <v>28</v>
      </c>
    </row>
    <row r="565" spans="2:5" x14ac:dyDescent="0.3">
      <c r="B565" s="19" t="s">
        <v>42</v>
      </c>
      <c r="C565" s="20" t="str">
        <f>HYPERLINK("#'Data'!A183",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565" s="19" t="s">
        <v>41</v>
      </c>
      <c r="E565" s="21">
        <v>38</v>
      </c>
    </row>
    <row r="566" spans="2:5" x14ac:dyDescent="0.3">
      <c r="B566" s="19" t="s">
        <v>42</v>
      </c>
      <c r="C566" s="20" t="str">
        <f>HYPERLINK("#'Data'!A257",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566" s="19" t="s">
        <v>41</v>
      </c>
      <c r="E566" s="21">
        <v>53</v>
      </c>
    </row>
    <row r="567" spans="2:5" hidden="1" x14ac:dyDescent="0.3">
      <c r="B567" s="19" t="s">
        <v>40</v>
      </c>
      <c r="C567" s="20" t="str">
        <f>HYPERLINK("#'Data'!A355", "Sources of income or financial support  household received in the last month [Baseline] broken down by households_partially_or_fully_damaged on the ad...")</f>
        <v>Sources of income or financial support  household received in the last month [Baseline] broken down by households_partially_or_fully_damaged on the ad...</v>
      </c>
      <c r="D567" s="19" t="s">
        <v>46</v>
      </c>
      <c r="E567" s="21">
        <v>73</v>
      </c>
    </row>
    <row r="568" spans="2:5" x14ac:dyDescent="0.3">
      <c r="B568" s="19" t="s">
        <v>42</v>
      </c>
      <c r="C568" s="20" t="str">
        <f>HYPERLINK("#'Data'!A405",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568" s="19" t="s">
        <v>41</v>
      </c>
      <c r="E568" s="21">
        <v>83</v>
      </c>
    </row>
    <row r="569" spans="2:5" hidden="1" x14ac:dyDescent="0.3">
      <c r="B569" s="19" t="s">
        <v>40</v>
      </c>
      <c r="C569" s="20" t="str">
        <f>HYPERLINK("#'Data'!A503",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569" s="19" t="s">
        <v>46</v>
      </c>
      <c r="E569" s="21">
        <v>103</v>
      </c>
    </row>
    <row r="570" spans="2:5" hidden="1" x14ac:dyDescent="0.3">
      <c r="B570" s="19" t="s">
        <v>40</v>
      </c>
      <c r="C570" s="20" t="str">
        <f>HYPERLINK("#'Data'!A577",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570" s="19" t="s">
        <v>46</v>
      </c>
      <c r="E570" s="21">
        <v>118</v>
      </c>
    </row>
    <row r="571" spans="2:5" x14ac:dyDescent="0.3">
      <c r="B571" s="19" t="s">
        <v>42</v>
      </c>
      <c r="C571" s="20" t="str">
        <f>HYPERLINK("#'Data'!A627",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571" s="19" t="s">
        <v>41</v>
      </c>
      <c r="E571" s="21">
        <v>128</v>
      </c>
    </row>
    <row r="572" spans="2:5" x14ac:dyDescent="0.3">
      <c r="B572" s="19" t="s">
        <v>42</v>
      </c>
      <c r="C572" s="20" t="str">
        <f>HYPERLINK("#'Data'!A701",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572" s="19" t="s">
        <v>41</v>
      </c>
      <c r="E572" s="21">
        <v>143</v>
      </c>
    </row>
    <row r="573" spans="2:5" hidden="1" x14ac:dyDescent="0.3">
      <c r="B573" s="19" t="s">
        <v>40</v>
      </c>
      <c r="C573" s="20" t="str">
        <f>HYPERLINK("#'Data'!A799", "Household expenditures by category over the past 30 days [or month] in UAH [Baseline] broken down by households_partially_or_fully_damaged on the admi...")</f>
        <v>Household expenditures by category over the past 30 days [or month] in UAH [Baseline] broken down by households_partially_or_fully_damaged on the admi...</v>
      </c>
      <c r="D573" s="19" t="s">
        <v>46</v>
      </c>
      <c r="E573" s="21">
        <v>163</v>
      </c>
    </row>
    <row r="574" spans="2:5" x14ac:dyDescent="0.3">
      <c r="B574" s="19" t="s">
        <v>42</v>
      </c>
      <c r="C574" s="20" t="str">
        <f>HYPERLINK("#'Data'!A849", "Household expenditures by category over the past 30 days [or month] in UAH [Endline] broken down by households_consisting_of_elderly_people_60 on the ...")</f>
        <v>Household expenditures by category over the past 30 days [or month] in UAH [Endline] broken down by households_consisting_of_elderly_people_60 on the ...</v>
      </c>
      <c r="D574" s="19" t="s">
        <v>41</v>
      </c>
      <c r="E574" s="21">
        <v>173</v>
      </c>
    </row>
    <row r="575" spans="2:5" hidden="1" x14ac:dyDescent="0.3">
      <c r="B575" s="19" t="s">
        <v>40</v>
      </c>
      <c r="C575" s="20" t="str">
        <f>HYPERLINK("#'Data'!A947", "Household's ability to meet basic needs (self-defined and prioritized) [Baseline] broken down by households_partially_or_fully_damaged on the admin of...")</f>
        <v>Household's ability to meet basic needs (self-defined and prioritized) [Baseline] broken down by households_partially_or_fully_damaged on the admin of...</v>
      </c>
      <c r="D575" s="19" t="s">
        <v>46</v>
      </c>
      <c r="E575" s="21">
        <v>193</v>
      </c>
    </row>
    <row r="576" spans="2:5" x14ac:dyDescent="0.3">
      <c r="B576" s="19" t="s">
        <v>42</v>
      </c>
      <c r="C576" s="20" t="str">
        <f>HYPERLINK("#'Data'!A997", "Household's ability to meet basic needs (self-defined and prioritized) [Endline] broken down by households_consisting_of_elderly_people_60 on the admi...")</f>
        <v>Household's ability to meet basic needs (self-defined and prioritized) [Endline] broken down by households_consisting_of_elderly_people_60 on the admi...</v>
      </c>
      <c r="D576" s="19" t="s">
        <v>41</v>
      </c>
      <c r="E576" s="21">
        <v>203</v>
      </c>
    </row>
    <row r="577" spans="2:5" hidden="1" x14ac:dyDescent="0.3">
      <c r="B577" s="19" t="s">
        <v>40</v>
      </c>
      <c r="C577" s="20" t="str">
        <f>HYPERLINK("#'Data'!A1095", "Basic needs the household is currently unable to fulfill (if not all are met) [Baseline] broken down by households_partially_or_fully_damaged on the a...")</f>
        <v>Basic needs the household is currently unable to fulfill (if not all are met) [Baseline] broken down by households_partially_or_fully_damaged on the a...</v>
      </c>
      <c r="D577" s="19" t="s">
        <v>46</v>
      </c>
      <c r="E577" s="21">
        <v>223</v>
      </c>
    </row>
    <row r="578" spans="2:5" x14ac:dyDescent="0.3">
      <c r="B578" s="19" t="s">
        <v>42</v>
      </c>
      <c r="C578" s="20" t="str">
        <f>HYPERLINK("#'Data'!A1145", "Basic needs the household is currently unable to fulfill (if not all are met) [Endline] broken down by households_consisting_of_elderly_people_60 on t...")</f>
        <v>Basic needs the household is currently unable to fulfill (if not all are met) [Endline] broken down by households_consisting_of_elderly_people_60 on t...</v>
      </c>
      <c r="D578" s="19" t="s">
        <v>41</v>
      </c>
      <c r="E578" s="21">
        <v>233</v>
      </c>
    </row>
    <row r="579" spans="2:5" hidden="1" x14ac:dyDescent="0.3">
      <c r="B579" s="19" t="s">
        <v>40</v>
      </c>
      <c r="C579" s="20" t="str">
        <f>HYPERLINK("#'Data'!A1243", "Coping strategies used in the last 30 days due to insufficient resources to meet basic needs [Baseline] broken down by households_partially_or_fully_d...")</f>
        <v>Coping strategies used in the last 30 days due to insufficient resources to meet basic needs [Baseline] broken down by households_partially_or_fully_d...</v>
      </c>
      <c r="D579" s="19" t="s">
        <v>46</v>
      </c>
      <c r="E579" s="21">
        <v>253</v>
      </c>
    </row>
    <row r="580" spans="2:5" x14ac:dyDescent="0.3">
      <c r="B580" s="19" t="s">
        <v>42</v>
      </c>
      <c r="C580" s="20" t="str">
        <f>HYPERLINK("#'Data'!A1293", "Coping strategies used in the last 30 days due to insufficient resources to meet basic needs [Endline] broken down by households_consisting_of_elderly...")</f>
        <v>Coping strategies used in the last 30 days due to insufficient resources to meet basic needs [Endline] broken down by households_consisting_of_elderly...</v>
      </c>
      <c r="D580" s="19" t="s">
        <v>41</v>
      </c>
      <c r="E580" s="21">
        <v>263</v>
      </c>
    </row>
    <row r="581" spans="2:5" x14ac:dyDescent="0.3">
      <c r="B581" s="19" t="s">
        <v>42</v>
      </c>
      <c r="C581" s="20" t="str">
        <f>HYPERLINK("#'Data'!A1367", "Coping strategies avoided in the past 3 months due to receipt of MPCA [Endline] broken down by households_consisting_of_elderly_people_60 on the admin...")</f>
        <v>Coping strategies avoided in the past 3 months due to receipt of MPCA [Endline] broken down by households_consisting_of_elderly_people_60 on the admin...</v>
      </c>
      <c r="D581" s="19" t="s">
        <v>41</v>
      </c>
      <c r="E581" s="21">
        <v>278</v>
      </c>
    </row>
    <row r="582" spans="2:5" hidden="1" x14ac:dyDescent="0.3">
      <c r="B582" s="19" t="s">
        <v>40</v>
      </c>
      <c r="C582" s="20" t="str">
        <f>HYPERLINK("#'Data'!A1465", "Household perception of relevance of forthcoming MPCA (3,600 UAH for 3 months per member) [Baseline] broken down by households_partially_or_fully_dama...")</f>
        <v>Household perception of relevance of forthcoming MPCA (3,600 UAH for 3 months per member) [Baseline] broken down by households_partially_or_fully_dama...</v>
      </c>
      <c r="D582" s="19" t="s">
        <v>46</v>
      </c>
      <c r="E582" s="21">
        <v>298</v>
      </c>
    </row>
    <row r="583" spans="2:5" hidden="1" x14ac:dyDescent="0.3">
      <c r="B583" s="19" t="s">
        <v>40</v>
      </c>
      <c r="C583" s="20" t="str">
        <f>HYPERLINK("#'Data'!A1539", "Estimated percentage of household needs met by upcoming MPCA (if partially appropriate) [Baseline] broken down by households_partially_or_fully_damage...")</f>
        <v>Estimated percentage of household needs met by upcoming MPCA (if partially appropriate) [Baseline] broken down by households_partially_or_fully_damage...</v>
      </c>
      <c r="D583" s="19" t="s">
        <v>46</v>
      </c>
      <c r="E583" s="21">
        <v>313</v>
      </c>
    </row>
    <row r="584" spans="2:5" x14ac:dyDescent="0.3">
      <c r="B584" s="19" t="s">
        <v>42</v>
      </c>
      <c r="C584" s="20" t="str">
        <f>HYPERLINK("#'Data'!A1589", "Household opinion on adequacy of received MPCA (3,600 UAH for 3 months per member) [Endline] broken down by households_consisting_of_elderly_people_60...")</f>
        <v>Household opinion on adequacy of received MPCA (3,600 UAH for 3 months per member) [Endline] broken down by households_consisting_of_elderly_people_60...</v>
      </c>
      <c r="D584" s="19" t="s">
        <v>41</v>
      </c>
      <c r="E584" s="21">
        <v>323</v>
      </c>
    </row>
    <row r="585" spans="2:5" x14ac:dyDescent="0.3">
      <c r="B585" s="19" t="s">
        <v>42</v>
      </c>
      <c r="C585" s="20" t="str">
        <f>HYPERLINK("#'Data'!A1663", "Estimated percentage of household needs met by received MPCA (if partially appropriate) [Endline] broken down by households_consisting_of_elderly_peop...")</f>
        <v>Estimated percentage of household needs met by received MPCA (if partially appropriate) [Endline] broken down by households_consisting_of_elderly_peop...</v>
      </c>
      <c r="D585" s="19" t="s">
        <v>41</v>
      </c>
      <c r="E585" s="21">
        <v>338</v>
      </c>
    </row>
    <row r="586" spans="2:5" x14ac:dyDescent="0.3">
      <c r="B586" s="19" t="s">
        <v>42</v>
      </c>
      <c r="C586" s="20" t="str">
        <f>HYPERLINK("#'Data'!A1749", "Whether the household has already spent the received MPCA [Endline] broken down by households_consisting_of_elderly_people_60 on the admin of Overall ...")</f>
        <v>Whether the household has already spent the received MPCA [Endline] broken down by households_consisting_of_elderly_people_60 on the admin of Overall ...</v>
      </c>
      <c r="D586" s="19" t="s">
        <v>41</v>
      </c>
      <c r="E586" s="21">
        <v>356</v>
      </c>
    </row>
    <row r="587" spans="2:5" x14ac:dyDescent="0.3">
      <c r="B587" s="19" t="s">
        <v>42</v>
      </c>
      <c r="C587" s="20" t="str">
        <f>HYPERLINK("#'Data'!A1823", "Number of weeks MPCA lasted if fully spent [Endline] broken down by households_consisting_of_elderly_people_60 on the admin of Overall mean")</f>
        <v>Number of weeks MPCA lasted if fully spent [Endline] broken down by households_consisting_of_elderly_people_60 on the admin of Overall mean</v>
      </c>
      <c r="D587" s="19" t="s">
        <v>41</v>
      </c>
      <c r="E587" s="21">
        <v>371</v>
      </c>
    </row>
    <row r="588" spans="2:5" x14ac:dyDescent="0.3">
      <c r="B588" s="19" t="s">
        <v>42</v>
      </c>
      <c r="C588" s="20" t="str">
        <f>HYPERLINK("#'Data'!A1897", "Percentage of MPCA spent to date (if partially used) [Endline] broken down by households_consisting_of_elderly_people_60 on the admin of Overall mean")</f>
        <v>Percentage of MPCA spent to date (if partially used) [Endline] broken down by households_consisting_of_elderly_people_60 on the admin of Overall mean</v>
      </c>
      <c r="D588" s="19" t="s">
        <v>41</v>
      </c>
      <c r="E588" s="21">
        <v>386</v>
      </c>
    </row>
    <row r="589" spans="2:5" x14ac:dyDescent="0.3">
      <c r="B589" s="19" t="s">
        <v>42</v>
      </c>
      <c r="C589" s="20" t="str">
        <f>HYPERLINK("#'Data'!A1971", "Extent to which received MPCA helped cover household needs during usage period [Endline] broken down by households_consisting_of_elderly_people_60 on ...")</f>
        <v>Extent to which received MPCA helped cover household needs during usage period [Endline] broken down by households_consisting_of_elderly_people_60 on ...</v>
      </c>
      <c r="D589" s="19" t="s">
        <v>41</v>
      </c>
      <c r="E589" s="21">
        <v>401</v>
      </c>
    </row>
    <row r="590" spans="2:5" x14ac:dyDescent="0.3">
      <c r="B590" s="19" t="s">
        <v>42</v>
      </c>
      <c r="C590" s="20" t="str">
        <f>HYPERLINK("#'Data'!A2045", "Percentage of needs covered by MPCA (if partially met) [Endline] broken down by households_consisting_of_elderly_people_60 on the admin of Overall mea...")</f>
        <v>Percentage of needs covered by MPCA (if partially met) [Endline] broken down by households_consisting_of_elderly_people_60 on the admin of Overall mea...</v>
      </c>
      <c r="D590" s="19" t="s">
        <v>41</v>
      </c>
      <c r="E590" s="21">
        <v>416</v>
      </c>
    </row>
    <row r="591" spans="2:5" hidden="1" x14ac:dyDescent="0.3">
      <c r="B591" s="19" t="s">
        <v>40</v>
      </c>
      <c r="C591" s="20" t="str">
        <f>HYPERLINK("#'Data'!A2143", "Priority needs requiring financial aid, with importance level [Baseline] broken down by households_partially_or_fully_damaged on the admin of Overall ...")</f>
        <v>Priority needs requiring financial aid, with importance level [Baseline] broken down by households_partially_or_fully_damaged on the admin of Overall ...</v>
      </c>
      <c r="D591" s="19" t="s">
        <v>46</v>
      </c>
      <c r="E591" s="21">
        <v>436</v>
      </c>
    </row>
    <row r="592" spans="2:5" hidden="1" x14ac:dyDescent="0.3">
      <c r="B592" s="19" t="s">
        <v>40</v>
      </c>
      <c r="C592" s="20" t="str">
        <f>HYPERLINK("#'Data'!A2215", "Importance rating for 'Other' priority need requiring financial assistance [Baseline] broken down by households_partially_or_fully_damaged on the admi...")</f>
        <v>Importance rating for 'Other' priority need requiring financial assistance [Baseline] broken down by households_partially_or_fully_damaged on the admi...</v>
      </c>
      <c r="D592" s="19" t="s">
        <v>46</v>
      </c>
      <c r="E592" s="21">
        <v>451</v>
      </c>
    </row>
    <row r="593" spans="2:5" hidden="1" x14ac:dyDescent="0.3">
      <c r="B593" s="19" t="s">
        <v>40</v>
      </c>
      <c r="C593" s="20" t="str">
        <f>HYPERLINK("#'Data'!A2289", "Importance rating for 'Food' priority need requiring financial assistance [Baseline] broken down by households_partially_or_fully_damaged on the admin...")</f>
        <v>Importance rating for 'Food' priority need requiring financial assistance [Baseline] broken down by households_partially_or_fully_damaged on the admin...</v>
      </c>
      <c r="D593" s="19" t="s">
        <v>46</v>
      </c>
      <c r="E593" s="21">
        <v>466</v>
      </c>
    </row>
    <row r="594" spans="2:5" hidden="1" x14ac:dyDescent="0.3">
      <c r="B594" s="19" t="s">
        <v>40</v>
      </c>
      <c r="C594" s="20" t="str">
        <f>HYPERLINK("#'Data'!A2361", "Importance rating for 'Personal hygiene' priority need requiring financial assistance [Baseline] broken down by households_partially_or_fully_damaged ...")</f>
        <v>Importance rating for 'Personal hygiene' priority need requiring financial assistance [Baseline] broken down by households_partially_or_fully_damaged ...</v>
      </c>
      <c r="D594" s="19" t="s">
        <v>46</v>
      </c>
      <c r="E594" s="21">
        <v>481</v>
      </c>
    </row>
    <row r="595" spans="2:5" hidden="1" x14ac:dyDescent="0.3">
      <c r="B595" s="19" t="s">
        <v>40</v>
      </c>
      <c r="C595" s="20" t="str">
        <f>HYPERLINK("#'Data'!A2428", "Importance rating for 'Cleaning items' priority need requiring financial assistance [Baseline] broken down by households_partially_or_fully_damaged on...")</f>
        <v>Importance rating for 'Cleaning items' priority need requiring financial assistance [Baseline] broken down by households_partially_or_fully_damaged on...</v>
      </c>
      <c r="D595" s="19" t="s">
        <v>46</v>
      </c>
      <c r="E595" s="21">
        <v>496</v>
      </c>
    </row>
    <row r="596" spans="2:5" hidden="1" x14ac:dyDescent="0.3">
      <c r="B596" s="19" t="s">
        <v>40</v>
      </c>
      <c r="C596" s="20" t="str">
        <f>HYPERLINK("#'Data'!A2494", "Importance rating for 'Non-food items' priority need requiring financial assistance [Baseline] broken down by households_partially_or_fully_damaged on...")</f>
        <v>Importance rating for 'Non-food items' priority need requiring financial assistance [Baseline] broken down by households_partially_or_fully_damaged on...</v>
      </c>
      <c r="D596" s="19" t="s">
        <v>46</v>
      </c>
      <c r="E596" s="21">
        <v>511</v>
      </c>
    </row>
    <row r="597" spans="2:5" hidden="1" x14ac:dyDescent="0.3">
      <c r="B597" s="19" t="s">
        <v>40</v>
      </c>
      <c r="C597" s="20" t="str">
        <f>HYPERLINK("#'Data'!A2564", "Importance rating for 'Clothing and shoes' priority need requiring financial assistance [Baseline] broken down by households_partially_or_fully_damage...")</f>
        <v>Importance rating for 'Clothing and shoes' priority need requiring financial assistance [Baseline] broken down by households_partially_or_fully_damage...</v>
      </c>
      <c r="D597" s="19" t="s">
        <v>46</v>
      </c>
      <c r="E597" s="21">
        <v>526</v>
      </c>
    </row>
    <row r="598" spans="2:5" hidden="1" x14ac:dyDescent="0.3">
      <c r="B598" s="19" t="s">
        <v>40</v>
      </c>
      <c r="C598" s="20" t="str">
        <f>HYPERLINK("#'Data'!A2637", "Importance rating for 'Heating fuel' priority need requiring financial assistance [Baseline] broken down by households_partially_or_fully_damaged on t...")</f>
        <v>Importance rating for 'Heating fuel' priority need requiring financial assistance [Baseline] broken down by households_partially_or_fully_damaged on t...</v>
      </c>
      <c r="D598" s="19" t="s">
        <v>46</v>
      </c>
      <c r="E598" s="21">
        <v>541</v>
      </c>
    </row>
    <row r="599" spans="2:5" hidden="1" x14ac:dyDescent="0.3">
      <c r="B599" s="19" t="s">
        <v>40</v>
      </c>
      <c r="C599" s="20" t="str">
        <f>HYPERLINK("#'Data'!A2702", "Importance rating for 'Safe water' priority need requiring financial assistance [Baseline] broken down by households_partially_or_fully_damaged on the...")</f>
        <v>Importance rating for 'Safe water' priority need requiring financial assistance [Baseline] broken down by households_partially_or_fully_damaged on the...</v>
      </c>
      <c r="D599" s="19" t="s">
        <v>46</v>
      </c>
      <c r="E599" s="21">
        <v>556</v>
      </c>
    </row>
    <row r="600" spans="2:5" hidden="1" x14ac:dyDescent="0.3">
      <c r="B600" s="19" t="s">
        <v>40</v>
      </c>
      <c r="C600" s="20" t="str">
        <f>HYPERLINK("#'Data'!A2771", "Importance rating for 'Utilities' priority need requiring financial assistance [Baseline] broken down by households_partially_or_fully_damaged on the ...")</f>
        <v>Importance rating for 'Utilities' priority need requiring financial assistance [Baseline] broken down by households_partially_or_fully_damaged on the ...</v>
      </c>
      <c r="D600" s="19" t="s">
        <v>46</v>
      </c>
      <c r="E600" s="21">
        <v>571</v>
      </c>
    </row>
    <row r="601" spans="2:5" hidden="1" x14ac:dyDescent="0.3">
      <c r="B601" s="19" t="s">
        <v>40</v>
      </c>
      <c r="C601" s="20" t="str">
        <f>HYPERLINK("#'Data'!A2836", "Importance rating for 'Water supply' priority need requiring financial assistance [Baseline] broken down by households_partially_or_fully_damaged on t...")</f>
        <v>Importance rating for 'Water supply' priority need requiring financial assistance [Baseline] broken down by households_partially_or_fully_damaged on t...</v>
      </c>
      <c r="D601" s="19" t="s">
        <v>46</v>
      </c>
      <c r="E601" s="21">
        <v>586</v>
      </c>
    </row>
    <row r="602" spans="2:5" hidden="1" x14ac:dyDescent="0.3">
      <c r="B602" s="19" t="s">
        <v>40</v>
      </c>
      <c r="C602" s="20" t="str">
        <f>HYPERLINK("#'Data'!A2899", "Importance rating for 'Rent' priority need requiring financial assistance [Baseline] broken down by households_partially_or_fully_damaged on the admin...")</f>
        <v>Importance rating for 'Rent' priority need requiring financial assistance [Baseline] broken down by households_partially_or_fully_damaged on the admin...</v>
      </c>
      <c r="D602" s="19" t="s">
        <v>46</v>
      </c>
      <c r="E602" s="21">
        <v>601</v>
      </c>
    </row>
    <row r="603" spans="2:5" hidden="1" x14ac:dyDescent="0.3">
      <c r="B603" s="19" t="s">
        <v>40</v>
      </c>
      <c r="C603" s="20" t="str">
        <f>HYPERLINK("#'Data'!A2971", "Importance rating for 'Medication' priority need requiring financial assistance [Baseline] broken down by households_partially_or_fully_damaged on the...")</f>
        <v>Importance rating for 'Medication' priority need requiring financial assistance [Baseline] broken down by households_partially_or_fully_damaged on the...</v>
      </c>
      <c r="D603" s="19" t="s">
        <v>46</v>
      </c>
      <c r="E603" s="21">
        <v>616</v>
      </c>
    </row>
    <row r="604" spans="2:5" hidden="1" x14ac:dyDescent="0.3">
      <c r="B604" s="19" t="s">
        <v>40</v>
      </c>
      <c r="C604" s="20" t="str">
        <f>HYPERLINK("#'Data'!A3040", "Importance rating for 'Agricultural inputs' priority need requiring financial assistance [Baseline] broken down by households_partially_or_fully_damag...")</f>
        <v>Importance rating for 'Agricultural inputs' priority need requiring financial assistance [Baseline] broken down by households_partially_or_fully_damag...</v>
      </c>
      <c r="D604" s="19" t="s">
        <v>46</v>
      </c>
      <c r="E604" s="21">
        <v>631</v>
      </c>
    </row>
    <row r="605" spans="2:5" hidden="1" x14ac:dyDescent="0.3">
      <c r="B605" s="19" t="s">
        <v>40</v>
      </c>
      <c r="C605" s="20" t="str">
        <f>HYPERLINK("#'Data'!A3109", "Importance rating for 'Shelter maintenance' priority need requiring financial assistance [Baseline] broken down by households_partially_or_fully_damag...")</f>
        <v>Importance rating for 'Shelter maintenance' priority need requiring financial assistance [Baseline] broken down by households_partially_or_fully_damag...</v>
      </c>
      <c r="D605" s="19" t="s">
        <v>46</v>
      </c>
      <c r="E605" s="21">
        <v>646</v>
      </c>
    </row>
    <row r="606" spans="2:5" hidden="1" x14ac:dyDescent="0.3">
      <c r="B606" s="19" t="s">
        <v>40</v>
      </c>
      <c r="C606" s="20" t="str">
        <f>HYPERLINK("#'Data'!A3176", "Importance rating for 'Transportation' priority need requiring financial assistance [Baseline] broken down by households_partially_or_fully_damaged on...")</f>
        <v>Importance rating for 'Transportation' priority need requiring financial assistance [Baseline] broken down by households_partially_or_fully_damaged on...</v>
      </c>
      <c r="D606" s="19" t="s">
        <v>46</v>
      </c>
      <c r="E606" s="21">
        <v>661</v>
      </c>
    </row>
    <row r="607" spans="2:5" hidden="1" x14ac:dyDescent="0.3">
      <c r="B607" s="19" t="s">
        <v>40</v>
      </c>
      <c r="C607" s="20" t="str">
        <f>HYPERLINK("#'Data'!A3238", "Importance rating for 'Communication' priority need requiring financial assistance [Baseline] broken down by households_partially_or_fully_damaged on ...")</f>
        <v>Importance rating for 'Communication' priority need requiring financial assistance [Baseline] broken down by households_partially_or_fully_damaged on ...</v>
      </c>
      <c r="D607" s="19" t="s">
        <v>46</v>
      </c>
      <c r="E607" s="21">
        <v>676</v>
      </c>
    </row>
    <row r="608" spans="2:5" hidden="1" x14ac:dyDescent="0.3">
      <c r="B608" s="19" t="s">
        <v>40</v>
      </c>
      <c r="C608" s="20" t="str">
        <f>HYPERLINK("#'Data'!A3303", "Importance rating for 'Education materials' priority need requiring financial assistance [Baseline] broken down by households_partially_or_fully_damag...")</f>
        <v>Importance rating for 'Education materials' priority need requiring financial assistance [Baseline] broken down by households_partially_or_fully_damag...</v>
      </c>
      <c r="D608" s="19" t="s">
        <v>46</v>
      </c>
      <c r="E608" s="21">
        <v>691</v>
      </c>
    </row>
    <row r="609" spans="2:5" hidden="1" x14ac:dyDescent="0.3">
      <c r="B609" s="19" t="s">
        <v>40</v>
      </c>
      <c r="C609" s="20" t="str">
        <f>HYPERLINK("#'Data'!A3377", "Household needs met exclusively due to MPCA and their fulfillment level [Endline] broken down by households_partially_or_fully_damaged on the admin of...")</f>
        <v>Household needs met exclusively due to MPCA and their fulfillment level [Endline] broken down by households_partially_or_fully_damaged on the admin of...</v>
      </c>
      <c r="D609" s="19" t="s">
        <v>46</v>
      </c>
      <c r="E609" s="21">
        <v>706</v>
      </c>
    </row>
    <row r="610" spans="2:5" hidden="1" x14ac:dyDescent="0.3">
      <c r="B610" s="19" t="s">
        <v>40</v>
      </c>
      <c r="C610" s="20" t="str">
        <f>HYPERLINK("#'Data'!A3449", "Fulfillment level of 'Other' need met exclusively due to MPCA [Endline] broken down by households_partially_or_fully_damaged on the admin of Overall p...")</f>
        <v>Fulfillment level of 'Other' need met exclusively due to MPCA [Endline] broken down by households_partially_or_fully_damaged on the admin of Overall p...</v>
      </c>
      <c r="D610" s="19" t="s">
        <v>46</v>
      </c>
      <c r="E610" s="21">
        <v>721</v>
      </c>
    </row>
    <row r="611" spans="2:5" hidden="1" x14ac:dyDescent="0.3">
      <c r="B611" s="19" t="s">
        <v>40</v>
      </c>
      <c r="C611" s="20" t="str">
        <f>HYPERLINK("#'Data'!A3522", "Fulfillment level of 'Food' need met exclusively due to MPCA [Endline] broken down by households_partially_or_fully_damaged on the admin of Overall pe...")</f>
        <v>Fulfillment level of 'Food' need met exclusively due to MPCA [Endline] broken down by households_partially_or_fully_damaged on the admin of Overall pe...</v>
      </c>
      <c r="D611" s="19" t="s">
        <v>46</v>
      </c>
      <c r="E611" s="21">
        <v>736</v>
      </c>
    </row>
    <row r="612" spans="2:5" x14ac:dyDescent="0.3">
      <c r="B612" s="19" t="s">
        <v>42</v>
      </c>
      <c r="C612" s="20" t="str">
        <f>HYPERLINK("#'Data'!A3569", "Fulfillment level of 'Personal hygiene' need met exclusively due to MPCA [Endline] broken down by households_consisting_of_elderly_people_60 on the ad...")</f>
        <v>Fulfillment level of 'Personal hygiene' need met exclusively due to MPCA [Endline] broken down by households_consisting_of_elderly_people_60 on the ad...</v>
      </c>
      <c r="D612" s="19" t="s">
        <v>41</v>
      </c>
      <c r="E612" s="21">
        <v>746</v>
      </c>
    </row>
    <row r="613" spans="2:5" x14ac:dyDescent="0.3">
      <c r="B613" s="19" t="s">
        <v>42</v>
      </c>
      <c r="C613" s="20" t="str">
        <f>HYPERLINK("#'Data'!A3640", "Fulfillment level of 'Cleaning items' need met exclusively due to MPCA [Endline] broken down by households_consisting_of_elderly_people_60 on the admi...")</f>
        <v>Fulfillment level of 'Cleaning items' need met exclusively due to MPCA [Endline] broken down by households_consisting_of_elderly_people_60 on the admi...</v>
      </c>
      <c r="D613" s="19" t="s">
        <v>41</v>
      </c>
      <c r="E613" s="21">
        <v>761</v>
      </c>
    </row>
    <row r="614" spans="2:5" x14ac:dyDescent="0.3">
      <c r="B614" s="19" t="s">
        <v>42</v>
      </c>
      <c r="C614" s="20" t="str">
        <f>HYPERLINK("#'Data'!A3711", "Fulfillment level of 'Non-food items' need met exclusively due to MPCA [Endline] broken down by households_consisting_of_elderly_people_60 on the admi...")</f>
        <v>Fulfillment level of 'Non-food items' need met exclusively due to MPCA [Endline] broken down by households_consisting_of_elderly_people_60 on the admi...</v>
      </c>
      <c r="D614" s="19" t="s">
        <v>41</v>
      </c>
      <c r="E614" s="21">
        <v>776</v>
      </c>
    </row>
    <row r="615" spans="2:5" x14ac:dyDescent="0.3">
      <c r="B615" s="19" t="s">
        <v>42</v>
      </c>
      <c r="C615" s="20" t="str">
        <f>HYPERLINK("#'Data'!A3783", "Fulfillment level of 'Clothing and shoes' need met exclusively due to MPCA [Endline] broken down by households_consisting_of_elderly_people_60 on the ...")</f>
        <v>Fulfillment level of 'Clothing and shoes' need met exclusively due to MPCA [Endline] broken down by households_consisting_of_elderly_people_60 on the ...</v>
      </c>
      <c r="D615" s="19" t="s">
        <v>41</v>
      </c>
      <c r="E615" s="21">
        <v>791</v>
      </c>
    </row>
    <row r="616" spans="2:5" x14ac:dyDescent="0.3">
      <c r="B616" s="19" t="s">
        <v>42</v>
      </c>
      <c r="C616" s="20" t="str">
        <f>HYPERLINK("#'Data'!A3857", "Fulfillment level of 'Heating fuel' need met exclusively due to MPCA [Endline] broken down by households_consisting_of_elderly_people_60 on the admin ...")</f>
        <v>Fulfillment level of 'Heating fuel' need met exclusively due to MPCA [Endline] broken down by households_consisting_of_elderly_people_60 on the admin ...</v>
      </c>
      <c r="D616" s="19" t="s">
        <v>41</v>
      </c>
      <c r="E616" s="21">
        <v>806</v>
      </c>
    </row>
    <row r="617" spans="2:5" x14ac:dyDescent="0.3">
      <c r="B617" s="19" t="s">
        <v>42</v>
      </c>
      <c r="C617" s="20" t="str">
        <f>HYPERLINK("#'Data'!A3926", "Fulfillment level of 'Safe water' need met exclusively due to MPCA [Endline] broken down by households_consisting_of_elderly_people_60 on the admin of...")</f>
        <v>Fulfillment level of 'Safe water' need met exclusively due to MPCA [Endline] broken down by households_consisting_of_elderly_people_60 on the admin of...</v>
      </c>
      <c r="D617" s="19" t="s">
        <v>41</v>
      </c>
      <c r="E617" s="21">
        <v>821</v>
      </c>
    </row>
    <row r="618" spans="2:5" x14ac:dyDescent="0.3">
      <c r="B618" s="19" t="s">
        <v>42</v>
      </c>
      <c r="C618" s="20" t="str">
        <f>HYPERLINK("#'Data'!A3994", "Fulfillment level of 'Utilities' need met exclusively due to MPCA [Endline] broken down by households_consisting_of_elderly_people_60 on the admin of ...")</f>
        <v>Fulfillment level of 'Utilities' need met exclusively due to MPCA [Endline] broken down by households_consisting_of_elderly_people_60 on the admin of ...</v>
      </c>
      <c r="D618" s="19" t="s">
        <v>41</v>
      </c>
      <c r="E618" s="21">
        <v>836</v>
      </c>
    </row>
    <row r="619" spans="2:5" x14ac:dyDescent="0.3">
      <c r="B619" s="19" t="s">
        <v>42</v>
      </c>
      <c r="C619" s="20" t="str">
        <f>HYPERLINK("#'Data'!A4063", "Fulfillment level of 'Water supply' need met exclusively due to MPCA [Endline] broken down by households_consisting_of_elderly_people_60 on the admin ...")</f>
        <v>Fulfillment level of 'Water supply' need met exclusively due to MPCA [Endline] broken down by households_consisting_of_elderly_people_60 on the admin ...</v>
      </c>
      <c r="D619" s="19" t="s">
        <v>41</v>
      </c>
      <c r="E619" s="21">
        <v>851</v>
      </c>
    </row>
    <row r="620" spans="2:5" x14ac:dyDescent="0.3">
      <c r="B620" s="19" t="s">
        <v>42</v>
      </c>
      <c r="C620" s="20" t="str">
        <f>HYPERLINK("#'Data'!A4134", "Fulfillment level of 'Rent' need met exclusively due to MPCA [Endline] broken down by households_consisting_of_elderly_people_60 on the admin of Overa...")</f>
        <v>Fulfillment level of 'Rent' need met exclusively due to MPCA [Endline] broken down by households_consisting_of_elderly_people_60 on the admin of Overa...</v>
      </c>
      <c r="D620" s="19" t="s">
        <v>41</v>
      </c>
      <c r="E620" s="21">
        <v>866</v>
      </c>
    </row>
    <row r="621" spans="2:5" x14ac:dyDescent="0.3">
      <c r="B621" s="19" t="s">
        <v>42</v>
      </c>
      <c r="C621" s="20" t="str">
        <f>HYPERLINK("#'Data'!A4201", "Fulfillment level of 'Assistive products' need met exclusively due to MPCA [Endline] broken down by households_consisting_of_elderly_people_60 on the ...")</f>
        <v>Fulfillment level of 'Assistive products' need met exclusively due to MPCA [Endline] broken down by households_consisting_of_elderly_people_60 on the ...</v>
      </c>
      <c r="D621" s="19" t="s">
        <v>41</v>
      </c>
      <c r="E621" s="21">
        <v>881</v>
      </c>
    </row>
    <row r="622" spans="2:5" x14ac:dyDescent="0.3">
      <c r="B622" s="19" t="s">
        <v>42</v>
      </c>
      <c r="C622" s="20" t="str">
        <f>HYPERLINK("#'Data'!A4266", "Fulfillment level of 'Medication' need met exclusively due to MPCA [Endline] broken down by households_consisting_of_elderly_people_60 on the admin of...")</f>
        <v>Fulfillment level of 'Medication' need met exclusively due to MPCA [Endline] broken down by households_consisting_of_elderly_people_60 on the admin of...</v>
      </c>
      <c r="D622" s="19" t="s">
        <v>41</v>
      </c>
      <c r="E622" s="21">
        <v>896</v>
      </c>
    </row>
    <row r="623" spans="2:5" x14ac:dyDescent="0.3">
      <c r="B623" s="19" t="s">
        <v>42</v>
      </c>
      <c r="C623" s="20" t="str">
        <f>HYPERLINK("#'Data'!A4335", "Fulfillment level of 'Agricultural inputs' need met exclusively due to MPCA [Endline] broken down by households_consisting_of_elderly_people_60 on the...")</f>
        <v>Fulfillment level of 'Agricultural inputs' need met exclusively due to MPCA [Endline] broken down by households_consisting_of_elderly_people_60 on the...</v>
      </c>
      <c r="D623" s="19" t="s">
        <v>41</v>
      </c>
      <c r="E623" s="21">
        <v>911</v>
      </c>
    </row>
    <row r="624" spans="2:5" x14ac:dyDescent="0.3">
      <c r="B624" s="19" t="s">
        <v>42</v>
      </c>
      <c r="C624" s="20" t="str">
        <f>HYPERLINK("#'Data'!A4404", "Fulfillment level of 'Shelter maintenance' need met exclusively due to MPCA [Endline] broken down by households_consisting_of_elderly_people_60 on the...")</f>
        <v>Fulfillment level of 'Shelter maintenance' need met exclusively due to MPCA [Endline] broken down by households_consisting_of_elderly_people_60 on the...</v>
      </c>
      <c r="D624" s="19" t="s">
        <v>41</v>
      </c>
      <c r="E624" s="21">
        <v>926</v>
      </c>
    </row>
    <row r="625" spans="2:5" x14ac:dyDescent="0.3">
      <c r="B625" s="19" t="s">
        <v>42</v>
      </c>
      <c r="C625" s="20" t="str">
        <f>HYPERLINK("#'Data'!A4474", "Fulfillment level of 'Future savings' need met exclusively due to MPCA [Endline] broken down by households_consisting_of_elderly_people_60 on the admi...")</f>
        <v>Fulfillment level of 'Future savings' need met exclusively due to MPCA [Endline] broken down by households_consisting_of_elderly_people_60 on the admi...</v>
      </c>
      <c r="D625" s="19" t="s">
        <v>41</v>
      </c>
      <c r="E625" s="21">
        <v>941</v>
      </c>
    </row>
    <row r="626" spans="2:5" x14ac:dyDescent="0.3">
      <c r="B626" s="19" t="s">
        <v>42</v>
      </c>
      <c r="C626" s="20" t="str">
        <f>HYPERLINK("#'Data'!A4542", "Fulfillment level of 'Shared with others' need met exclusively due to MPCA [Endline] broken down by households_consisting_of_elderly_people_60 on the ...")</f>
        <v>Fulfillment level of 'Shared with others' need met exclusively due to MPCA [Endline] broken down by households_consisting_of_elderly_people_60 on the ...</v>
      </c>
      <c r="D626" s="19" t="s">
        <v>41</v>
      </c>
      <c r="E626" s="21">
        <v>956</v>
      </c>
    </row>
    <row r="627" spans="2:5" x14ac:dyDescent="0.3">
      <c r="B627" s="19" t="s">
        <v>42</v>
      </c>
      <c r="C627" s="20" t="str">
        <f>HYPERLINK("#'Data'!A4611", "Fulfillment level of 'Transportation' need met exclusively due to MPCA [Endline] broken down by households_consisting_of_elderly_people_60 on the admi...")</f>
        <v>Fulfillment level of 'Transportation' need met exclusively due to MPCA [Endline] broken down by households_consisting_of_elderly_people_60 on the admi...</v>
      </c>
      <c r="D627" s="19" t="s">
        <v>41</v>
      </c>
      <c r="E627" s="21">
        <v>971</v>
      </c>
    </row>
    <row r="628" spans="2:5" x14ac:dyDescent="0.3">
      <c r="B628" s="19" t="s">
        <v>42</v>
      </c>
      <c r="C628" s="20" t="str">
        <f>HYPERLINK("#'Data'!A4681", "Fulfillment level of 'Communication' need met exclusively due to MPCA [Endline] broken down by households_consisting_of_elderly_people_60 on the admin...")</f>
        <v>Fulfillment level of 'Communication' need met exclusively due to MPCA [Endline] broken down by households_consisting_of_elderly_people_60 on the admin...</v>
      </c>
      <c r="D628" s="19" t="s">
        <v>41</v>
      </c>
      <c r="E628" s="21">
        <v>986</v>
      </c>
    </row>
    <row r="629" spans="2:5" x14ac:dyDescent="0.3">
      <c r="B629" s="19" t="s">
        <v>42</v>
      </c>
      <c r="C629" s="20" t="str">
        <f>HYPERLINK("#'Data'!A4751", "Fulfillment level of 'Education materials' need met exclusively due to MPCA [Endline] broken down by households_consisting_of_elderly_people_60 on the...")</f>
        <v>Fulfillment level of 'Education materials' need met exclusively due to MPCA [Endline] broken down by households_consisting_of_elderly_people_60 on the...</v>
      </c>
      <c r="D629" s="19" t="s">
        <v>41</v>
      </c>
      <c r="E629" s="21">
        <v>1001</v>
      </c>
    </row>
    <row r="630" spans="2:5" x14ac:dyDescent="0.3">
      <c r="B630" s="19" t="s">
        <v>42</v>
      </c>
      <c r="C630" s="20" t="str">
        <f>HYPERLINK("#'Data'!A4825", "Estimated percentage of MPCA spent on each category of goods and services [Endline] broken down by households_consisting_of_elderly_people_60 on the a...")</f>
        <v>Estimated percentage of MPCA spent on each category of goods and services [Endline] broken down by households_consisting_of_elderly_people_60 on the a...</v>
      </c>
      <c r="D630" s="19" t="s">
        <v>41</v>
      </c>
      <c r="E630" s="21">
        <v>1016</v>
      </c>
    </row>
    <row r="631" spans="2:5" x14ac:dyDescent="0.3">
      <c r="B631" s="19" t="s">
        <v>42</v>
      </c>
      <c r="C631" s="20" t="str">
        <f>HYPERLINK("#'Data'!A4897", "Estimated percentage of MPCA spent on 'Other' category [Endline] broken down by households_consisting_of_elderly_people_60 on the admin of Overall mea...")</f>
        <v>Estimated percentage of MPCA spent on 'Other' category [Endline] broken down by households_consisting_of_elderly_people_60 on the admin of Overall mea...</v>
      </c>
      <c r="D631" s="19" t="s">
        <v>41</v>
      </c>
      <c r="E631" s="21">
        <v>1031</v>
      </c>
    </row>
    <row r="632" spans="2:5" x14ac:dyDescent="0.3">
      <c r="B632" s="19" t="s">
        <v>42</v>
      </c>
      <c r="C632" s="20" t="str">
        <f>HYPERLINK("#'Data'!A4970", "Estimated percentage of MPCA spent on 'Food' category [Endline] broken down by households_consisting_of_elderly_people_60 on the admin of Overall mean")</f>
        <v>Estimated percentage of MPCA spent on 'Food' category [Endline] broken down by households_consisting_of_elderly_people_60 on the admin of Overall mean</v>
      </c>
      <c r="D632" s="19" t="s">
        <v>41</v>
      </c>
      <c r="E632" s="21">
        <v>1046</v>
      </c>
    </row>
    <row r="633" spans="2:5" x14ac:dyDescent="0.3">
      <c r="B633" s="19" t="s">
        <v>42</v>
      </c>
      <c r="C633" s="20" t="str">
        <f>HYPERLINK("#'Data'!A5041", "Estimated percentage of MPCA spent on 'Personal hygiene' category [Endline] broken down by households_consisting_of_elderly_people_60 on the admin of ...")</f>
        <v>Estimated percentage of MPCA spent on 'Personal hygiene' category [Endline] broken down by households_consisting_of_elderly_people_60 on the admin of ...</v>
      </c>
      <c r="D633" s="19" t="s">
        <v>41</v>
      </c>
      <c r="E633" s="21">
        <v>1061</v>
      </c>
    </row>
    <row r="634" spans="2:5" x14ac:dyDescent="0.3">
      <c r="B634" s="19" t="s">
        <v>42</v>
      </c>
      <c r="C634" s="20" t="str">
        <f>HYPERLINK("#'Data'!A5113", "Estimated percentage of MPCA spent on 'Cleaning items' category [Endline] broken down by households_consisting_of_elderly_people_60 on the admin of Ov...")</f>
        <v>Estimated percentage of MPCA spent on 'Cleaning items' category [Endline] broken down by households_consisting_of_elderly_people_60 on the admin of Ov...</v>
      </c>
      <c r="D634" s="19" t="s">
        <v>41</v>
      </c>
      <c r="E634" s="21">
        <v>1076</v>
      </c>
    </row>
    <row r="635" spans="2:5" x14ac:dyDescent="0.3">
      <c r="B635" s="19" t="s">
        <v>42</v>
      </c>
      <c r="C635" s="20" t="str">
        <f>HYPERLINK("#'Data'!A5184", "Estimated percentage of MPCA spent on 'Non-food items' category [Endline] broken down by households_consisting_of_elderly_people_60 on the admin of Ov...")</f>
        <v>Estimated percentage of MPCA spent on 'Non-food items' category [Endline] broken down by households_consisting_of_elderly_people_60 on the admin of Ov...</v>
      </c>
      <c r="D635" s="19" t="s">
        <v>41</v>
      </c>
      <c r="E635" s="21">
        <v>1091</v>
      </c>
    </row>
    <row r="636" spans="2:5" x14ac:dyDescent="0.3">
      <c r="B636" s="19" t="s">
        <v>42</v>
      </c>
      <c r="C636" s="20" t="str">
        <f>HYPERLINK("#'Data'!A5257", "Estimated percentage of MPCA spent on 'Clothing and shoes' category [Endline] broken down by households_consisting_of_elderly_people_60 on the admin o...")</f>
        <v>Estimated percentage of MPCA spent on 'Clothing and shoes' category [Endline] broken down by households_consisting_of_elderly_people_60 on the admin o...</v>
      </c>
      <c r="D636" s="19" t="s">
        <v>41</v>
      </c>
      <c r="E636" s="21">
        <v>1106</v>
      </c>
    </row>
    <row r="637" spans="2:5" x14ac:dyDescent="0.3">
      <c r="B637" s="19" t="s">
        <v>42</v>
      </c>
      <c r="C637" s="20" t="str">
        <f>HYPERLINK("#'Data'!A5331", "Estimated percentage of MPCA spent on 'Heating fuel' category [Endline] broken down by households_consisting_of_elderly_people_60 on the admin of Over...")</f>
        <v>Estimated percentage of MPCA spent on 'Heating fuel' category [Endline] broken down by households_consisting_of_elderly_people_60 on the admin of Over...</v>
      </c>
      <c r="D637" s="19" t="s">
        <v>41</v>
      </c>
      <c r="E637" s="21">
        <v>1121</v>
      </c>
    </row>
    <row r="638" spans="2:5" x14ac:dyDescent="0.3">
      <c r="B638" s="19" t="s">
        <v>42</v>
      </c>
      <c r="C638" s="20" t="str">
        <f>HYPERLINK("#'Data'!A5400", "Estimated percentage of MPCA spent on 'Safe water' category [Endline] broken down by households_consisting_of_elderly_people_60 on the admin of Overal...")</f>
        <v>Estimated percentage of MPCA spent on 'Safe water' category [Endline] broken down by households_consisting_of_elderly_people_60 on the admin of Overal...</v>
      </c>
      <c r="D638" s="19" t="s">
        <v>41</v>
      </c>
      <c r="E638" s="21">
        <v>1136</v>
      </c>
    </row>
    <row r="639" spans="2:5" x14ac:dyDescent="0.3">
      <c r="B639" s="19" t="s">
        <v>42</v>
      </c>
      <c r="C639" s="20" t="str">
        <f>HYPERLINK("#'Data'!A5468", "Estimated percentage of MPCA spent on 'Utilities' category [Endline] broken down by households_consisting_of_elderly_people_60 on the admin of Overall...")</f>
        <v>Estimated percentage of MPCA spent on 'Utilities' category [Endline] broken down by households_consisting_of_elderly_people_60 on the admin of Overall...</v>
      </c>
      <c r="D639" s="19" t="s">
        <v>41</v>
      </c>
      <c r="E639" s="21">
        <v>1151</v>
      </c>
    </row>
    <row r="640" spans="2:5" x14ac:dyDescent="0.3">
      <c r="B640" s="19" t="s">
        <v>42</v>
      </c>
      <c r="C640" s="20" t="str">
        <f>HYPERLINK("#'Data'!A5537", "Estimated percentage of MPCA spent on 'Water supply' category [Endline] broken down by households_consisting_of_elderly_people_60 on the admin of Over...")</f>
        <v>Estimated percentage of MPCA spent on 'Water supply' category [Endline] broken down by households_consisting_of_elderly_people_60 on the admin of Over...</v>
      </c>
      <c r="D640" s="19" t="s">
        <v>41</v>
      </c>
      <c r="E640" s="21">
        <v>1166</v>
      </c>
    </row>
    <row r="641" spans="2:5" x14ac:dyDescent="0.3">
      <c r="B641" s="19" t="s">
        <v>42</v>
      </c>
      <c r="C641" s="20" t="str">
        <f>HYPERLINK("#'Data'!A5608", "Estimated percentage of MPCA spent on 'Rent' category [Endline] broken down by households_consisting_of_elderly_people_60 on the admin of Overall mean")</f>
        <v>Estimated percentage of MPCA spent on 'Rent' category [Endline] broken down by households_consisting_of_elderly_people_60 on the admin of Overall mean</v>
      </c>
      <c r="D641" s="19" t="s">
        <v>41</v>
      </c>
      <c r="E641" s="21">
        <v>1181</v>
      </c>
    </row>
    <row r="642" spans="2:5" x14ac:dyDescent="0.3">
      <c r="B642" s="19" t="s">
        <v>42</v>
      </c>
      <c r="C642" s="20" t="str">
        <f>HYPERLINK("#'Data'!A5675", "Estimated percentage of MPCA spent on 'Assistive products' category [Endline] broken down by households_consisting_of_elderly_people_60 on the admin o...")</f>
        <v>Estimated percentage of MPCA spent on 'Assistive products' category [Endline] broken down by households_consisting_of_elderly_people_60 on the admin o...</v>
      </c>
      <c r="D642" s="19" t="s">
        <v>41</v>
      </c>
      <c r="E642" s="21">
        <v>1196</v>
      </c>
    </row>
    <row r="643" spans="2:5" x14ac:dyDescent="0.3">
      <c r="B643" s="19" t="s">
        <v>42</v>
      </c>
      <c r="C643" s="20" t="str">
        <f>HYPERLINK("#'Data'!A5740", "Estimated percentage of MPCA spent on 'Medication' category [Endline] broken down by households_consisting_of_elderly_people_60 on the admin of Overal...")</f>
        <v>Estimated percentage of MPCA spent on 'Medication' category [Endline] broken down by households_consisting_of_elderly_people_60 on the admin of Overal...</v>
      </c>
      <c r="D643" s="19" t="s">
        <v>41</v>
      </c>
      <c r="E643" s="21">
        <v>1211</v>
      </c>
    </row>
    <row r="644" spans="2:5" x14ac:dyDescent="0.3">
      <c r="B644" s="19" t="s">
        <v>42</v>
      </c>
      <c r="C644" s="20" t="str">
        <f>HYPERLINK("#'Data'!A5811", "Estimated percentage of MPCA spent on 'Agricultural inputs' category [Endline] broken down by households_consisting_of_elderly_people_60 on the admin ...")</f>
        <v>Estimated percentage of MPCA spent on 'Agricultural inputs' category [Endline] broken down by households_consisting_of_elderly_people_60 on the admin ...</v>
      </c>
      <c r="D644" s="19" t="s">
        <v>41</v>
      </c>
      <c r="E644" s="21">
        <v>1226</v>
      </c>
    </row>
    <row r="645" spans="2:5" x14ac:dyDescent="0.3">
      <c r="B645" s="19" t="s">
        <v>42</v>
      </c>
      <c r="C645" s="20" t="str">
        <f>HYPERLINK("#'Data'!A5881", "Estimated percentage of MPCA spent on 'Shelter maintenance' category [Endline] broken down by households_consisting_of_elderly_people_60 on the admin ...")</f>
        <v>Estimated percentage of MPCA spent on 'Shelter maintenance' category [Endline] broken down by households_consisting_of_elderly_people_60 on the admin ...</v>
      </c>
      <c r="D645" s="19" t="s">
        <v>41</v>
      </c>
      <c r="E645" s="21">
        <v>1241</v>
      </c>
    </row>
    <row r="646" spans="2:5" x14ac:dyDescent="0.3">
      <c r="B646" s="19" t="s">
        <v>42</v>
      </c>
      <c r="C646" s="20" t="str">
        <f>HYPERLINK("#'Data'!A5951", "Estimated percentage of MPCA spent on 'Future savings' category [Endline] broken down by households_consisting_of_elderly_people_60 on the admin of Ov...")</f>
        <v>Estimated percentage of MPCA spent on 'Future savings' category [Endline] broken down by households_consisting_of_elderly_people_60 on the admin of Ov...</v>
      </c>
      <c r="D646" s="19" t="s">
        <v>41</v>
      </c>
      <c r="E646" s="21">
        <v>1256</v>
      </c>
    </row>
    <row r="647" spans="2:5" x14ac:dyDescent="0.3">
      <c r="B647" s="19" t="s">
        <v>42</v>
      </c>
      <c r="C647" s="20" t="str">
        <f>HYPERLINK("#'Data'!A6020", "Estimated percentage of MPCA spent on 'Shared with others' category [Endline] broken down by households_consisting_of_elderly_people_60 on the admin o...")</f>
        <v>Estimated percentage of MPCA spent on 'Shared with others' category [Endline] broken down by households_consisting_of_elderly_people_60 on the admin o...</v>
      </c>
      <c r="D647" s="19" t="s">
        <v>41</v>
      </c>
      <c r="E647" s="21">
        <v>1271</v>
      </c>
    </row>
    <row r="648" spans="2:5" x14ac:dyDescent="0.3">
      <c r="B648" s="19" t="s">
        <v>42</v>
      </c>
      <c r="C648" s="20" t="str">
        <f>HYPERLINK("#'Data'!A6089", "Estimated percentage of MPCA spent on 'Transportation' category [Endline] broken down by households_consisting_of_elderly_people_60 on the admin of Ov...")</f>
        <v>Estimated percentage of MPCA spent on 'Transportation' category [Endline] broken down by households_consisting_of_elderly_people_60 on the admin of Ov...</v>
      </c>
      <c r="D648" s="19" t="s">
        <v>41</v>
      </c>
      <c r="E648" s="21">
        <v>1286</v>
      </c>
    </row>
    <row r="649" spans="2:5" x14ac:dyDescent="0.3">
      <c r="B649" s="19" t="s">
        <v>42</v>
      </c>
      <c r="C649" s="20" t="str">
        <f>HYPERLINK("#'Data'!A6161", "Estimated percentage of MPCA spent on 'Communication' category [Endline] broken down by households_consisting_of_elderly_people_60 on the admin of Ove...")</f>
        <v>Estimated percentage of MPCA spent on 'Communication' category [Endline] broken down by households_consisting_of_elderly_people_60 on the admin of Ove...</v>
      </c>
      <c r="D649" s="19" t="s">
        <v>41</v>
      </c>
      <c r="E649" s="21">
        <v>1301</v>
      </c>
    </row>
    <row r="650" spans="2:5" x14ac:dyDescent="0.3">
      <c r="B650" s="19" t="s">
        <v>42</v>
      </c>
      <c r="C650" s="20" t="str">
        <f>HYPERLINK("#'Data'!A6231", "Estimated percentage of MPCA spent on 'Education materials' category [Endline] broken down by households_consisting_of_elderly_people_60 on the admin ...")</f>
        <v>Estimated percentage of MPCA spent on 'Education materials' category [Endline] broken down by households_consisting_of_elderly_people_60 on the admin ...</v>
      </c>
      <c r="D650" s="19" t="s">
        <v>41</v>
      </c>
      <c r="E650" s="21">
        <v>1316</v>
      </c>
    </row>
    <row r="651" spans="2:5" x14ac:dyDescent="0.3">
      <c r="B651" s="19" t="s">
        <v>42</v>
      </c>
      <c r="C651" s="20" t="str">
        <f>HYPERLINK("#'Data'!A6305", "Additional priority needs potentially met if MPCA duration extended to 6 months [Endline] broken down by households_consisting_of_elderly_people_60 on...")</f>
        <v>Additional priority needs potentially met if MPCA duration extended to 6 months [Endline] broken down by households_consisting_of_elderly_people_60 on...</v>
      </c>
      <c r="D651" s="19" t="s">
        <v>41</v>
      </c>
      <c r="E651" s="21">
        <v>1331</v>
      </c>
    </row>
    <row r="652" spans="2:5" x14ac:dyDescent="0.3">
      <c r="B652" s="19" t="s">
        <v>42</v>
      </c>
      <c r="C652" s="20" t="str">
        <f>HYPERLINK("#'Data'!A6379", "Additional priority needs potentially met with doubled MPCA amount over past 3 months [Endline] broken down by households_consisting_of_elderly_people...")</f>
        <v>Additional priority needs potentially met with doubled MPCA amount over past 3 months [Endline] broken down by households_consisting_of_elderly_people...</v>
      </c>
      <c r="D652" s="19" t="s">
        <v>41</v>
      </c>
      <c r="E652" s="21">
        <v>1346</v>
      </c>
    </row>
    <row r="653" spans="2:5" x14ac:dyDescent="0.3">
      <c r="B653" s="19" t="s">
        <v>42</v>
      </c>
      <c r="C653" s="20" t="str">
        <f>HYPERLINK("#'Data'!A6453", "Needs that MPCA is considered insufficient to address [Baseline] broken down by households_consisting_of_elderly_people_60 on the admin of Overall per...")</f>
        <v>Needs that MPCA is considered insufficient to address [Baseline] broken down by households_consisting_of_elderly_people_60 on the admin of Overall per...</v>
      </c>
      <c r="D653" s="19" t="s">
        <v>41</v>
      </c>
      <c r="E653" s="21">
        <v>1361</v>
      </c>
    </row>
    <row r="654" spans="2:5" x14ac:dyDescent="0.3">
      <c r="B654" s="19" t="s">
        <v>42</v>
      </c>
      <c r="C654" s="20" t="str">
        <f>HYPERLINK("#'Data'!A6527", "Needs that MPCA is considered insufficient to address [Endline] broken down by households_consisting_of_elderly_people_60 on the admin of Overall perc")</f>
        <v>Needs that MPCA is considered insufficient to address [Endline] broken down by households_consisting_of_elderly_people_60 on the admin of Overall perc</v>
      </c>
      <c r="D654" s="19" t="s">
        <v>41</v>
      </c>
      <c r="E654" s="21">
        <v>1376</v>
      </c>
    </row>
    <row r="655" spans="2:5" x14ac:dyDescent="0.3">
      <c r="B655" s="19" t="s">
        <v>42</v>
      </c>
      <c r="C655" s="20" t="str">
        <f>HYPERLINK("#'Data'!A6601", "Preferred type of assistance for meeting current household needs [Baseline] broken down by households_consisting_of_elderly_people_60 on the admin of ...")</f>
        <v>Preferred type of assistance for meeting current household needs [Baseline] broken down by households_consisting_of_elderly_people_60 on the admin of ...</v>
      </c>
      <c r="D655" s="19" t="s">
        <v>41</v>
      </c>
      <c r="E655" s="21">
        <v>1391</v>
      </c>
    </row>
    <row r="656" spans="2:5" hidden="1" x14ac:dyDescent="0.3">
      <c r="B656" s="19" t="s">
        <v>40</v>
      </c>
      <c r="C656" s="20" t="str">
        <f>HYPERLINK("#'Data'!A6699", "Preferred type of assistance for meeting current household needs [Endline] broken down by households_partially_or_fully_damaged on the admin of Overal...")</f>
        <v>Preferred type of assistance for meeting current household needs [Endline] broken down by households_partially_or_fully_damaged on the admin of Overal...</v>
      </c>
      <c r="D656" s="19" t="s">
        <v>46</v>
      </c>
      <c r="E656" s="21">
        <v>1411</v>
      </c>
    </row>
    <row r="657" spans="2:5" x14ac:dyDescent="0.3">
      <c r="B657" s="19" t="s">
        <v>42</v>
      </c>
      <c r="C657" s="20" t="str">
        <f>HYPERLINK("#'Data'!A6749", "Remaining needs after MPCA that require additional cash or in-kind assistance [Endline] broken down by households_consisting_of_elderly_people_60 on t...")</f>
        <v>Remaining needs after MPCA that require additional cash or in-kind assistance [Endline] broken down by households_consisting_of_elderly_people_60 on t...</v>
      </c>
      <c r="D657" s="19" t="s">
        <v>41</v>
      </c>
      <c r="E657" s="21">
        <v>1421</v>
      </c>
    </row>
    <row r="658" spans="2:5" hidden="1" x14ac:dyDescent="0.3">
      <c r="B658" s="19" t="s">
        <v>40</v>
      </c>
      <c r="C658" s="20" t="str">
        <f>HYPERLINK("#'Data'!A6847", "Remaining needs after MPCA that require additional cash or in-kind assistance [Endline] broken down by households_partially_or_fully_damaged on the ad...")</f>
        <v>Remaining needs after MPCA that require additional cash or in-kind assistance [Endline] broken down by households_partially_or_fully_damaged on the ad...</v>
      </c>
      <c r="D658" s="19" t="s">
        <v>46</v>
      </c>
      <c r="E658" s="21">
        <v>1441</v>
      </c>
    </row>
    <row r="659" spans="2:5" x14ac:dyDescent="0.3">
      <c r="B659" s="19" t="s">
        <v>42</v>
      </c>
      <c r="C659" s="20" t="str">
        <f>HYPERLINK("#'Data'!A6897", "Amount of multi-purpose cash assistance received over last 3 months in UAH [Endline] broken down by households_consisting_of_elderly_people_60 on the ...")</f>
        <v>Amount of multi-purpose cash assistance received over last 3 months in UAH [Endline] broken down by households_consisting_of_elderly_people_60 on the ...</v>
      </c>
      <c r="D659" s="19" t="s">
        <v>41</v>
      </c>
      <c r="E659" s="21">
        <v>1451</v>
      </c>
    </row>
    <row r="660" spans="2:5" x14ac:dyDescent="0.3">
      <c r="B660" s="19" t="s">
        <v>42</v>
      </c>
      <c r="C660" s="20" t="str">
        <f>HYPERLINK("#'Data'!A6971", "Amount of multi-purpose cash assistance received over last 3 months per hh member in UAH [Endline] broken down by households_consisting_of_elderly_peo...")</f>
        <v>Amount of multi-purpose cash assistance received over last 3 months per hh member in UAH [Endline] broken down by households_consisting_of_elderly_peo...</v>
      </c>
      <c r="D660" s="19" t="s">
        <v>41</v>
      </c>
      <c r="E660" s="21">
        <v>1466</v>
      </c>
    </row>
    <row r="661" spans="2:5" x14ac:dyDescent="0.3">
      <c r="B661" s="19" t="s">
        <v>42</v>
      </c>
      <c r="C661" s="20" t="str">
        <f>HYPERLINK("#'Data'!A7045", "Other types of humanitarian aid received in the previous three months [Endline] broken down by households_consisting_of_elderly_people_60 on the admin...")</f>
        <v>Other types of humanitarian aid received in the previous three months [Endline] broken down by households_consisting_of_elderly_people_60 on the admin...</v>
      </c>
      <c r="D661" s="19" t="s">
        <v>41</v>
      </c>
      <c r="E661" s="21">
        <v>1481</v>
      </c>
    </row>
    <row r="662" spans="2:5" x14ac:dyDescent="0.3">
      <c r="B662" s="19" t="s">
        <v>42</v>
      </c>
      <c r="C662" s="20" t="str">
        <f>HYPERLINK("#'Data'!A7114", "Estimated percentage of total household expenditures spent on 'Other' (past month, excl. humanitarian aid) [Baseline] broken down by households_consis...")</f>
        <v>Estimated percentage of total household expenditures spent on 'Other' (past month, excl. humanitarian aid) [Baseline] broken down by households_consis...</v>
      </c>
      <c r="D662" s="19" t="s">
        <v>41</v>
      </c>
      <c r="E662" s="21">
        <v>1496</v>
      </c>
    </row>
    <row r="663" spans="2:5" x14ac:dyDescent="0.3">
      <c r="B663" s="19" t="s">
        <v>42</v>
      </c>
      <c r="C663" s="20" t="str">
        <f>HYPERLINK("#'Data'!A7185", "Estimated percentage of total household expenditures spent on 'Food' (past month, excl. humanitarian aid) [Baseline] broken down by households_consist...")</f>
        <v>Estimated percentage of total household expenditures spent on 'Food' (past month, excl. humanitarian aid) [Baseline] broken down by households_consist...</v>
      </c>
      <c r="D663" s="19" t="s">
        <v>41</v>
      </c>
      <c r="E663" s="21">
        <v>1511</v>
      </c>
    </row>
    <row r="664" spans="2:5" x14ac:dyDescent="0.3">
      <c r="B664" s="19" t="s">
        <v>42</v>
      </c>
      <c r="C664" s="20" t="str">
        <f>HYPERLINK("#'Data'!A7258",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664" s="19" t="s">
        <v>41</v>
      </c>
      <c r="E664" s="21">
        <v>1526</v>
      </c>
    </row>
    <row r="665" spans="2:5" hidden="1" x14ac:dyDescent="0.3">
      <c r="B665" s="19" t="s">
        <v>40</v>
      </c>
      <c r="C665" s="20" t="str">
        <f>HYPERLINK("#'Data'!A7355",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665" s="19" t="s">
        <v>46</v>
      </c>
      <c r="E665" s="21">
        <v>1546</v>
      </c>
    </row>
    <row r="666" spans="2:5" hidden="1" x14ac:dyDescent="0.3">
      <c r="B666" s="19" t="s">
        <v>40</v>
      </c>
      <c r="C666" s="20" t="str">
        <f>HYPERLINK("#'Data'!A7425",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666" s="19" t="s">
        <v>46</v>
      </c>
      <c r="E666" s="21">
        <v>1561</v>
      </c>
    </row>
    <row r="667" spans="2:5" hidden="1" x14ac:dyDescent="0.3">
      <c r="B667" s="19" t="s">
        <v>40</v>
      </c>
      <c r="C667" s="20" t="str">
        <f>HYPERLINK("#'Data'!A7498",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667" s="19" t="s">
        <v>46</v>
      </c>
      <c r="E667" s="21">
        <v>1576</v>
      </c>
    </row>
    <row r="668" spans="2:5" hidden="1" x14ac:dyDescent="0.3">
      <c r="B668" s="19" t="s">
        <v>40</v>
      </c>
      <c r="C668" s="20" t="str">
        <f>HYPERLINK("#'Data'!A7569",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668" s="19" t="s">
        <v>46</v>
      </c>
      <c r="E668" s="21">
        <v>1591</v>
      </c>
    </row>
    <row r="669" spans="2:5" hidden="1" x14ac:dyDescent="0.3">
      <c r="B669" s="19" t="s">
        <v>40</v>
      </c>
      <c r="C669" s="20" t="str">
        <f>HYPERLINK("#'Data'!A7641", "Estimated percentage of total household expenditures spent on 'Safe water' (past month, excl. humanitarian aid) [Baseline] broken down by households_p...")</f>
        <v>Estimated percentage of total household expenditures spent on 'Safe water' (past month, excl. humanitarian aid) [Baseline] broken down by households_p...</v>
      </c>
      <c r="D669" s="19" t="s">
        <v>46</v>
      </c>
      <c r="E669" s="21">
        <v>1606</v>
      </c>
    </row>
    <row r="670" spans="2:5" hidden="1" x14ac:dyDescent="0.3">
      <c r="B670" s="19" t="s">
        <v>40</v>
      </c>
      <c r="C670" s="20" t="str">
        <f>HYPERLINK("#'Data'!A7715", "Estimated percentage of total household expenditures spent on 'Utilities' (past month, excl. humanitarian aid) [Baseline] broken down by households_pa...")</f>
        <v>Estimated percentage of total household expenditures spent on 'Utilities' (past month, excl. humanitarian aid) [Baseline] broken down by households_pa...</v>
      </c>
      <c r="D670" s="19" t="s">
        <v>46</v>
      </c>
      <c r="E670" s="21">
        <v>1621</v>
      </c>
    </row>
    <row r="671" spans="2:5" hidden="1" x14ac:dyDescent="0.3">
      <c r="B671" s="19" t="s">
        <v>40</v>
      </c>
      <c r="C671" s="20" t="str">
        <f>HYPERLINK("#'Data'!A7786",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671" s="19" t="s">
        <v>46</v>
      </c>
      <c r="E671" s="21">
        <v>1636</v>
      </c>
    </row>
    <row r="672" spans="2:5" hidden="1" x14ac:dyDescent="0.3">
      <c r="B672" s="19" t="s">
        <v>40</v>
      </c>
      <c r="C672" s="20" t="str">
        <f>HYPERLINK("#'Data'!A7857", "Estimated percentage of total household expenditures spent on 'Rent' (past month, excl. humanitarian aid) [Baseline] broken down by households_partial...")</f>
        <v>Estimated percentage of total household expenditures spent on 'Rent' (past month, excl. humanitarian aid) [Baseline] broken down by households_partial...</v>
      </c>
      <c r="D672" s="19" t="s">
        <v>46</v>
      </c>
      <c r="E672" s="21">
        <v>1651</v>
      </c>
    </row>
    <row r="673" spans="2:5" hidden="1" x14ac:dyDescent="0.3">
      <c r="B673" s="19" t="s">
        <v>40</v>
      </c>
      <c r="C673" s="20" t="str">
        <f>HYPERLINK("#'Data'!A7926",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673" s="19" t="s">
        <v>46</v>
      </c>
      <c r="E673" s="21">
        <v>1666</v>
      </c>
    </row>
    <row r="674" spans="2:5" hidden="1" x14ac:dyDescent="0.3">
      <c r="B674" s="19" t="s">
        <v>40</v>
      </c>
      <c r="C674" s="20" t="str">
        <f>HYPERLINK("#'Data'!A7999", "Estimated percentage of total household expenditures spent on 'Medication' (past month, excl. humanitarian aid) [Baseline] broken down by households_p...")</f>
        <v>Estimated percentage of total household expenditures spent on 'Medication' (past month, excl. humanitarian aid) [Baseline] broken down by households_p...</v>
      </c>
      <c r="D674" s="19" t="s">
        <v>46</v>
      </c>
      <c r="E674" s="21">
        <v>1681</v>
      </c>
    </row>
    <row r="675" spans="2:5" hidden="1" x14ac:dyDescent="0.3">
      <c r="B675" s="19" t="s">
        <v>40</v>
      </c>
      <c r="C675" s="20" t="str">
        <f>HYPERLINK("#'Data'!A8068",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675" s="19" t="s">
        <v>46</v>
      </c>
      <c r="E675" s="21">
        <v>1696</v>
      </c>
    </row>
    <row r="676" spans="2:5" hidden="1" x14ac:dyDescent="0.3">
      <c r="B676" s="19" t="s">
        <v>40</v>
      </c>
      <c r="C676" s="20" t="str">
        <f>HYPERLINK("#'Data'!A8139",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676" s="19" t="s">
        <v>46</v>
      </c>
      <c r="E676" s="21">
        <v>1711</v>
      </c>
    </row>
    <row r="677" spans="2:5" hidden="1" x14ac:dyDescent="0.3">
      <c r="B677" s="19" t="s">
        <v>40</v>
      </c>
      <c r="C677" s="20" t="str">
        <f>HYPERLINK("#'Data'!A8207",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677" s="19" t="s">
        <v>46</v>
      </c>
      <c r="E677" s="21">
        <v>1726</v>
      </c>
    </row>
    <row r="678" spans="2:5" hidden="1" x14ac:dyDescent="0.3">
      <c r="B678" s="19" t="s">
        <v>40</v>
      </c>
      <c r="C678" s="20" t="str">
        <f>HYPERLINK("#'Data'!A8276",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678" s="19" t="s">
        <v>46</v>
      </c>
      <c r="E678" s="21">
        <v>1741</v>
      </c>
    </row>
    <row r="679" spans="2:5" hidden="1" x14ac:dyDescent="0.3">
      <c r="B679" s="19" t="s">
        <v>40</v>
      </c>
      <c r="C679" s="20" t="str">
        <f>HYPERLINK("#'Data'!A8348",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679" s="19" t="s">
        <v>46</v>
      </c>
      <c r="E679" s="21">
        <v>1756</v>
      </c>
    </row>
    <row r="680" spans="2:5" hidden="1" x14ac:dyDescent="0.3">
      <c r="B680" s="19" t="s">
        <v>40</v>
      </c>
      <c r="C680" s="20" t="str">
        <f>HYPERLINK("#'Data'!A8422",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680" s="19" t="s">
        <v>46</v>
      </c>
      <c r="E680" s="21">
        <v>1771</v>
      </c>
    </row>
    <row r="681" spans="2:5" hidden="1" x14ac:dyDescent="0.3">
      <c r="B681" s="19" t="s">
        <v>40</v>
      </c>
      <c r="C681" s="20" t="str">
        <f>HYPERLINK("#'Data'!A8493",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681" s="19" t="s">
        <v>46</v>
      </c>
      <c r="E681" s="21">
        <v>1786</v>
      </c>
    </row>
    <row r="682" spans="2:5" hidden="1" x14ac:dyDescent="0.3">
      <c r="B682" s="19" t="s">
        <v>40</v>
      </c>
      <c r="C682" s="20" t="str">
        <f>HYPERLINK("#'Data'!A8561", "Estimated percentage of total household expenditures spent on 'Other' (past month, excl. humanitarian aid) [Endline] broken down by households_partial...")</f>
        <v>Estimated percentage of total household expenditures spent on 'Other' (past month, excl. humanitarian aid) [Endline] broken down by households_partial...</v>
      </c>
      <c r="D682" s="19" t="s">
        <v>46</v>
      </c>
      <c r="E682" s="21">
        <v>1801</v>
      </c>
    </row>
    <row r="683" spans="2:5" hidden="1" x14ac:dyDescent="0.3">
      <c r="B683" s="19" t="s">
        <v>40</v>
      </c>
      <c r="C683" s="20" t="str">
        <f>HYPERLINK("#'Data'!A8633", "Estimated percentage of total household expenditures spent on 'Food' (past month, excl. humanitarian aid) [Endline] broken down by households_partiall...")</f>
        <v>Estimated percentage of total household expenditures spent on 'Food' (past month, excl. humanitarian aid) [Endline] broken down by households_partiall...</v>
      </c>
      <c r="D683" s="19" t="s">
        <v>46</v>
      </c>
      <c r="E683" s="21">
        <v>1816</v>
      </c>
    </row>
    <row r="684" spans="2:5" hidden="1" x14ac:dyDescent="0.3">
      <c r="B684" s="19" t="s">
        <v>40</v>
      </c>
      <c r="C684" s="20" t="str">
        <f>HYPERLINK("#'Data'!A8706",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684" s="19" t="s">
        <v>46</v>
      </c>
      <c r="E684" s="21">
        <v>1831</v>
      </c>
    </row>
    <row r="685" spans="2:5" x14ac:dyDescent="0.3">
      <c r="B685" s="19" t="s">
        <v>42</v>
      </c>
      <c r="C685" s="20" t="str">
        <f>HYPERLINK("#'Data'!A8755",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685" s="19" t="s">
        <v>41</v>
      </c>
      <c r="E685" s="21">
        <v>1841</v>
      </c>
    </row>
    <row r="686" spans="2:5" x14ac:dyDescent="0.3">
      <c r="B686" s="19" t="s">
        <v>42</v>
      </c>
      <c r="C686" s="20" t="str">
        <f>HYPERLINK("#'Data'!A8827",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686" s="19" t="s">
        <v>41</v>
      </c>
      <c r="E686" s="21">
        <v>1856</v>
      </c>
    </row>
    <row r="687" spans="2:5" x14ac:dyDescent="0.3">
      <c r="B687" s="19" t="s">
        <v>42</v>
      </c>
      <c r="C687" s="20" t="str">
        <f>HYPERLINK("#'Data'!A8900",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687" s="19" t="s">
        <v>41</v>
      </c>
      <c r="E687" s="21">
        <v>1871</v>
      </c>
    </row>
    <row r="688" spans="2:5" x14ac:dyDescent="0.3">
      <c r="B688" s="19" t="s">
        <v>42</v>
      </c>
      <c r="C688" s="20" t="str">
        <f>HYPERLINK("#'Data'!A8974",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688" s="19" t="s">
        <v>41</v>
      </c>
      <c r="E688" s="21">
        <v>1886</v>
      </c>
    </row>
    <row r="689" spans="2:5" x14ac:dyDescent="0.3">
      <c r="B689" s="19" t="s">
        <v>42</v>
      </c>
      <c r="C689" s="20" t="str">
        <f>HYPERLINK("#'Data'!A9046", "Estimated percentage of total household expenditures spent on 'Safe water' (past month, excl. humanitarian aid) [Endline] broken down by households_co...")</f>
        <v>Estimated percentage of total household expenditures spent on 'Safe water' (past month, excl. humanitarian aid) [Endline] broken down by households_co...</v>
      </c>
      <c r="D689" s="19" t="s">
        <v>41</v>
      </c>
      <c r="E689" s="21">
        <v>1901</v>
      </c>
    </row>
    <row r="690" spans="2:5" x14ac:dyDescent="0.3">
      <c r="B690" s="19" t="s">
        <v>42</v>
      </c>
      <c r="C690" s="20" t="str">
        <f>HYPERLINK("#'Data'!A9120", "Estimated percentage of total household expenditures spent on 'Utilities' (past month, excl. humanitarian aid) [Endline] broken down by households_con...")</f>
        <v>Estimated percentage of total household expenditures spent on 'Utilities' (past month, excl. humanitarian aid) [Endline] broken down by households_con...</v>
      </c>
      <c r="D690" s="19" t="s">
        <v>41</v>
      </c>
      <c r="E690" s="21">
        <v>1916</v>
      </c>
    </row>
    <row r="691" spans="2:5" x14ac:dyDescent="0.3">
      <c r="B691" s="19" t="s">
        <v>42</v>
      </c>
      <c r="C691" s="20" t="str">
        <f>HYPERLINK("#'Data'!A9191",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691" s="19" t="s">
        <v>41</v>
      </c>
      <c r="E691" s="21">
        <v>1931</v>
      </c>
    </row>
    <row r="692" spans="2:5" x14ac:dyDescent="0.3">
      <c r="B692" s="19" t="s">
        <v>42</v>
      </c>
      <c r="C692" s="20" t="str">
        <f>HYPERLINK("#'Data'!A9262", "Estimated percentage of total household expenditures spent on 'Rent' (past month, excl. humanitarian aid) [Endline] broken down by households_consisti...")</f>
        <v>Estimated percentage of total household expenditures spent on 'Rent' (past month, excl. humanitarian aid) [Endline] broken down by households_consisti...</v>
      </c>
      <c r="D692" s="19" t="s">
        <v>41</v>
      </c>
      <c r="E692" s="21">
        <v>1946</v>
      </c>
    </row>
    <row r="693" spans="2:5" x14ac:dyDescent="0.3">
      <c r="B693" s="19" t="s">
        <v>42</v>
      </c>
      <c r="C693" s="20" t="str">
        <f>HYPERLINK("#'Data'!A9327",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693" s="19" t="s">
        <v>41</v>
      </c>
      <c r="E693" s="21">
        <v>1961</v>
      </c>
    </row>
    <row r="694" spans="2:5" x14ac:dyDescent="0.3">
      <c r="B694" s="19" t="s">
        <v>42</v>
      </c>
      <c r="C694" s="20" t="str">
        <f>HYPERLINK("#'Data'!A9397", "Estimated percentage of total household expenditures spent on 'Medication' (past month, excl. humanitarian aid) [Endline] broken down by households_co...")</f>
        <v>Estimated percentage of total household expenditures spent on 'Medication' (past month, excl. humanitarian aid) [Endline] broken down by households_co...</v>
      </c>
      <c r="D694" s="19" t="s">
        <v>41</v>
      </c>
      <c r="E694" s="21">
        <v>1976</v>
      </c>
    </row>
    <row r="695" spans="2:5" x14ac:dyDescent="0.3">
      <c r="B695" s="19" t="s">
        <v>42</v>
      </c>
      <c r="C695" s="20" t="str">
        <f>HYPERLINK("#'Data'!A9466",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695" s="19" t="s">
        <v>41</v>
      </c>
      <c r="E695" s="21">
        <v>1991</v>
      </c>
    </row>
    <row r="696" spans="2:5" x14ac:dyDescent="0.3">
      <c r="B696" s="19" t="s">
        <v>42</v>
      </c>
      <c r="C696" s="20" t="str">
        <f>HYPERLINK("#'Data'!A9532",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696" s="19" t="s">
        <v>41</v>
      </c>
      <c r="E696" s="21">
        <v>2006</v>
      </c>
    </row>
    <row r="697" spans="2:5" x14ac:dyDescent="0.3">
      <c r="B697" s="19" t="s">
        <v>42</v>
      </c>
      <c r="C697" s="20" t="str">
        <f>HYPERLINK("#'Data'!A9602",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697" s="19" t="s">
        <v>41</v>
      </c>
      <c r="E697" s="21">
        <v>2021</v>
      </c>
    </row>
    <row r="698" spans="2:5" x14ac:dyDescent="0.3">
      <c r="B698" s="19" t="s">
        <v>42</v>
      </c>
      <c r="C698" s="20" t="str">
        <f>HYPERLINK("#'Data'!A9666",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698" s="19" t="s">
        <v>41</v>
      </c>
      <c r="E698" s="21">
        <v>2036</v>
      </c>
    </row>
    <row r="699" spans="2:5" x14ac:dyDescent="0.3">
      <c r="B699" s="19" t="s">
        <v>42</v>
      </c>
      <c r="C699" s="20" t="str">
        <f>HYPERLINK("#'Data'!A9732",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699" s="19" t="s">
        <v>41</v>
      </c>
      <c r="E699" s="21">
        <v>2051</v>
      </c>
    </row>
    <row r="700" spans="2:5" x14ac:dyDescent="0.3">
      <c r="B700" s="19" t="s">
        <v>42</v>
      </c>
      <c r="C700" s="20" t="str">
        <f>HYPERLINK("#'Data'!A9804",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700" s="19" t="s">
        <v>41</v>
      </c>
      <c r="E700" s="21">
        <v>2066</v>
      </c>
    </row>
    <row r="701" spans="2:5" x14ac:dyDescent="0.3">
      <c r="B701" s="19" t="s">
        <v>42</v>
      </c>
      <c r="C701" s="20" t="str">
        <f>HYPERLINK("#'Data'!A9876",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701" s="19" t="s">
        <v>41</v>
      </c>
      <c r="E701" s="21">
        <v>2081</v>
      </c>
    </row>
    <row r="702" spans="2:5" hidden="1" x14ac:dyDescent="0.3">
      <c r="B702" s="19" t="s">
        <v>40</v>
      </c>
      <c r="C702" s="20" t="str">
        <f>HYPERLINK("#'Data'!A64",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702" s="19" t="s">
        <v>47</v>
      </c>
      <c r="E702" s="21">
        <v>14</v>
      </c>
    </row>
    <row r="703" spans="2:5" hidden="1" x14ac:dyDescent="0.3">
      <c r="B703" s="19" t="s">
        <v>40</v>
      </c>
      <c r="C703" s="20" t="str">
        <f>HYPERLINK("#'Data'!A138",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703" s="19" t="s">
        <v>47</v>
      </c>
      <c r="E703" s="21">
        <v>29</v>
      </c>
    </row>
    <row r="704" spans="2:5" x14ac:dyDescent="0.3">
      <c r="B704" s="19" t="s">
        <v>42</v>
      </c>
      <c r="C704" s="20" t="str">
        <f>HYPERLINK("#'Data'!A212",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704" s="19" t="s">
        <v>47</v>
      </c>
      <c r="E704" s="21">
        <v>44</v>
      </c>
    </row>
    <row r="705" spans="2:5" x14ac:dyDescent="0.3">
      <c r="B705" s="19" t="s">
        <v>42</v>
      </c>
      <c r="C705" s="20" t="str">
        <f>HYPERLINK("#'Data'!A286",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705" s="19" t="s">
        <v>47</v>
      </c>
      <c r="E705" s="21">
        <v>59</v>
      </c>
    </row>
    <row r="706" spans="2:5" hidden="1" x14ac:dyDescent="0.3">
      <c r="B706" s="19" t="s">
        <v>40</v>
      </c>
      <c r="C706" s="20" t="str">
        <f>HYPERLINK("#'Data'!A360", "Sources of income or financial support  household received in the last month [Baseline] broken down by households_whose_members_were_injured_or_killed...")</f>
        <v>Sources of income or financial support  household received in the last month [Baseline] broken down by households_whose_members_were_injured_or_killed...</v>
      </c>
      <c r="D706" s="19" t="s">
        <v>47</v>
      </c>
      <c r="E706" s="21">
        <v>74</v>
      </c>
    </row>
    <row r="707" spans="2:5" x14ac:dyDescent="0.3">
      <c r="B707" s="19" t="s">
        <v>42</v>
      </c>
      <c r="C707" s="20" t="str">
        <f>HYPERLINK("#'Data'!A434",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707" s="19" t="s">
        <v>47</v>
      </c>
      <c r="E707" s="21">
        <v>89</v>
      </c>
    </row>
    <row r="708" spans="2:5" hidden="1" x14ac:dyDescent="0.3">
      <c r="B708" s="19" t="s">
        <v>40</v>
      </c>
      <c r="C708" s="20" t="str">
        <f>HYPERLINK("#'Data'!A508",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708" s="19" t="s">
        <v>47</v>
      </c>
      <c r="E708" s="21">
        <v>104</v>
      </c>
    </row>
    <row r="709" spans="2:5" hidden="1" x14ac:dyDescent="0.3">
      <c r="B709" s="19" t="s">
        <v>40</v>
      </c>
      <c r="C709" s="20" t="str">
        <f>HYPERLINK("#'Data'!A582",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709" s="19" t="s">
        <v>47</v>
      </c>
      <c r="E709" s="21">
        <v>119</v>
      </c>
    </row>
    <row r="710" spans="2:5" x14ac:dyDescent="0.3">
      <c r="B710" s="19" t="s">
        <v>42</v>
      </c>
      <c r="C710" s="20" t="str">
        <f>HYPERLINK("#'Data'!A656",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710" s="19" t="s">
        <v>47</v>
      </c>
      <c r="E710" s="21">
        <v>134</v>
      </c>
    </row>
    <row r="711" spans="2:5" x14ac:dyDescent="0.3">
      <c r="B711" s="19" t="s">
        <v>42</v>
      </c>
      <c r="C711" s="20" t="str">
        <f>HYPERLINK("#'Data'!A730",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711" s="19" t="s">
        <v>47</v>
      </c>
      <c r="E711" s="21">
        <v>149</v>
      </c>
    </row>
    <row r="712" spans="2:5" hidden="1" x14ac:dyDescent="0.3">
      <c r="B712" s="19" t="s">
        <v>40</v>
      </c>
      <c r="C712" s="20" t="str">
        <f>HYPERLINK("#'Data'!A804", "Household expenditures by category over the past 30 days [or month] in UAH [Baseline] broken down by households_whose_members_were_injured_or_killed_a...")</f>
        <v>Household expenditures by category over the past 30 days [or month] in UAH [Baseline] broken down by households_whose_members_were_injured_or_killed_a...</v>
      </c>
      <c r="D712" s="19" t="s">
        <v>47</v>
      </c>
      <c r="E712" s="21">
        <v>164</v>
      </c>
    </row>
    <row r="713" spans="2:5" x14ac:dyDescent="0.3">
      <c r="B713" s="19" t="s">
        <v>42</v>
      </c>
      <c r="C713" s="20" t="str">
        <f>HYPERLINK("#'Data'!A878", "Household expenditures by category over the past 30 days [or month] in UAH [Endline] broken down by households_whose_members_were_injured_or_killed_as...")</f>
        <v>Household expenditures by category over the past 30 days [or month] in UAH [Endline] broken down by households_whose_members_were_injured_or_killed_as...</v>
      </c>
      <c r="D713" s="19" t="s">
        <v>47</v>
      </c>
      <c r="E713" s="21">
        <v>179</v>
      </c>
    </row>
    <row r="714" spans="2:5" hidden="1" x14ac:dyDescent="0.3">
      <c r="B714" s="19" t="s">
        <v>40</v>
      </c>
      <c r="C714" s="20" t="str">
        <f>HYPERLINK("#'Data'!A952", "Household's ability to meet basic needs (self-defined and prioritized) [Baseline] broken down by households_whose_members_were_injured_or_killed_as_a_...")</f>
        <v>Household's ability to meet basic needs (self-defined and prioritized) [Baseline] broken down by households_whose_members_were_injured_or_killed_as_a_...</v>
      </c>
      <c r="D714" s="19" t="s">
        <v>47</v>
      </c>
      <c r="E714" s="21">
        <v>194</v>
      </c>
    </row>
    <row r="715" spans="2:5" x14ac:dyDescent="0.3">
      <c r="B715" s="19" t="s">
        <v>42</v>
      </c>
      <c r="C715" s="20" t="str">
        <f>HYPERLINK("#'Data'!A1026", "Household's ability to meet basic needs (self-defined and prioritized) [Endline] broken down by households_whose_members_were_injured_or_killed_as_a_r...")</f>
        <v>Household's ability to meet basic needs (self-defined and prioritized) [Endline] broken down by households_whose_members_were_injured_or_killed_as_a_r...</v>
      </c>
      <c r="D715" s="19" t="s">
        <v>47</v>
      </c>
      <c r="E715" s="21">
        <v>209</v>
      </c>
    </row>
    <row r="716" spans="2:5" hidden="1" x14ac:dyDescent="0.3">
      <c r="B716" s="19" t="s">
        <v>40</v>
      </c>
      <c r="C716" s="20" t="str">
        <f>HYPERLINK("#'Data'!A1100", "Basic needs the household is currently unable to fulfill (if not all are met) [Baseline] broken down by households_whose_members_were_injured_or_kille...")</f>
        <v>Basic needs the household is currently unable to fulfill (if not all are met) [Baseline] broken down by households_whose_members_were_injured_or_kille...</v>
      </c>
      <c r="D716" s="19" t="s">
        <v>47</v>
      </c>
      <c r="E716" s="21">
        <v>224</v>
      </c>
    </row>
    <row r="717" spans="2:5" x14ac:dyDescent="0.3">
      <c r="B717" s="19" t="s">
        <v>42</v>
      </c>
      <c r="C717" s="20" t="str">
        <f>HYPERLINK("#'Data'!A1174", "Basic needs the household is currently unable to fulfill (if not all are met) [Endline] broken down by households_whose_members_were_injured_or_killed...")</f>
        <v>Basic needs the household is currently unable to fulfill (if not all are met) [Endline] broken down by households_whose_members_were_injured_or_killed...</v>
      </c>
      <c r="D717" s="19" t="s">
        <v>47</v>
      </c>
      <c r="E717" s="21">
        <v>239</v>
      </c>
    </row>
    <row r="718" spans="2:5" hidden="1" x14ac:dyDescent="0.3">
      <c r="B718" s="19" t="s">
        <v>40</v>
      </c>
      <c r="C718" s="20" t="str">
        <f>HYPERLINK("#'Data'!A1248", "Coping strategies used in the last 30 days due to insufficient resources to meet basic needs [Baseline] broken down by households_whose_members_were_i...")</f>
        <v>Coping strategies used in the last 30 days due to insufficient resources to meet basic needs [Baseline] broken down by households_whose_members_were_i...</v>
      </c>
      <c r="D718" s="19" t="s">
        <v>47</v>
      </c>
      <c r="E718" s="21">
        <v>254</v>
      </c>
    </row>
    <row r="719" spans="2:5" x14ac:dyDescent="0.3">
      <c r="B719" s="19" t="s">
        <v>42</v>
      </c>
      <c r="C719" s="20" t="str">
        <f>HYPERLINK("#'Data'!A1322", "Coping strategies used in the last 30 days due to insufficient resources to meet basic needs [Endline] broken down by households_whose_members_were_in...")</f>
        <v>Coping strategies used in the last 30 days due to insufficient resources to meet basic needs [Endline] broken down by households_whose_members_were_in...</v>
      </c>
      <c r="D719" s="19" t="s">
        <v>47</v>
      </c>
      <c r="E719" s="21">
        <v>269</v>
      </c>
    </row>
    <row r="720" spans="2:5" x14ac:dyDescent="0.3">
      <c r="B720" s="19" t="s">
        <v>42</v>
      </c>
      <c r="C720" s="20" t="str">
        <f>HYPERLINK("#'Data'!A1396", "Coping strategies avoided in the past 3 months due to receipt of MPCA [Endline] broken down by households_whose_members_were_injured_or_killed_as_a_re...")</f>
        <v>Coping strategies avoided in the past 3 months due to receipt of MPCA [Endline] broken down by households_whose_members_were_injured_or_killed_as_a_re...</v>
      </c>
      <c r="D720" s="19" t="s">
        <v>47</v>
      </c>
      <c r="E720" s="21">
        <v>284</v>
      </c>
    </row>
    <row r="721" spans="2:5" hidden="1" x14ac:dyDescent="0.3">
      <c r="B721" s="19" t="s">
        <v>40</v>
      </c>
      <c r="C721" s="20" t="str">
        <f>HYPERLINK("#'Data'!A1470", "Household perception of relevance of forthcoming MPCA (3,600 UAH for 3 months per member) [Baseline] broken down by households_whose_members_were_inju...")</f>
        <v>Household perception of relevance of forthcoming MPCA (3,600 UAH for 3 months per member) [Baseline] broken down by households_whose_members_were_inju...</v>
      </c>
      <c r="D721" s="19" t="s">
        <v>47</v>
      </c>
      <c r="E721" s="21">
        <v>299</v>
      </c>
    </row>
    <row r="722" spans="2:5" hidden="1" x14ac:dyDescent="0.3">
      <c r="B722" s="19" t="s">
        <v>40</v>
      </c>
      <c r="C722" s="20" t="str">
        <f>HYPERLINK("#'Data'!A1544", "Estimated percentage of household needs met by upcoming MPCA (if partially appropriate) [Baseline] broken down by households_whose_members_were_injure...")</f>
        <v>Estimated percentage of household needs met by upcoming MPCA (if partially appropriate) [Baseline] broken down by households_whose_members_were_injure...</v>
      </c>
      <c r="D722" s="19" t="s">
        <v>47</v>
      </c>
      <c r="E722" s="21">
        <v>314</v>
      </c>
    </row>
    <row r="723" spans="2:5" x14ac:dyDescent="0.3">
      <c r="B723" s="19" t="s">
        <v>42</v>
      </c>
      <c r="C723" s="20" t="str">
        <f>HYPERLINK("#'Data'!A1618", "Household opinion on adequacy of received MPCA (3,600 UAH for 3 months per member) [Endline] broken down by households_whose_members_were_injured_or_k...")</f>
        <v>Household opinion on adequacy of received MPCA (3,600 UAH for 3 months per member) [Endline] broken down by households_whose_members_were_injured_or_k...</v>
      </c>
      <c r="D723" s="19" t="s">
        <v>47</v>
      </c>
      <c r="E723" s="21">
        <v>329</v>
      </c>
    </row>
    <row r="724" spans="2:5" x14ac:dyDescent="0.3">
      <c r="B724" s="19" t="s">
        <v>42</v>
      </c>
      <c r="C724" s="20" t="str">
        <f>HYPERLINK("#'Data'!A1692", "Estimated percentage of household needs met by received MPCA (if partially appropriate) [Endline] broken down by households_whose_members_were_injured...")</f>
        <v>Estimated percentage of household needs met by received MPCA (if partially appropriate) [Endline] broken down by households_whose_members_were_injured...</v>
      </c>
      <c r="D724" s="19" t="s">
        <v>47</v>
      </c>
      <c r="E724" s="21">
        <v>344</v>
      </c>
    </row>
    <row r="725" spans="2:5" x14ac:dyDescent="0.3">
      <c r="B725" s="19" t="s">
        <v>42</v>
      </c>
      <c r="C725" s="20" t="str">
        <f>HYPERLINK("#'Data'!A1778", "Whether the household has already spent the received MPCA [Endline] broken down by households_whose_members_were_injured_or_killed_as_a_result_of_host...")</f>
        <v>Whether the household has already spent the received MPCA [Endline] broken down by households_whose_members_were_injured_or_killed_as_a_result_of_host...</v>
      </c>
      <c r="D725" s="19" t="s">
        <v>47</v>
      </c>
      <c r="E725" s="21">
        <v>362</v>
      </c>
    </row>
    <row r="726" spans="2:5" x14ac:dyDescent="0.3">
      <c r="B726" s="19" t="s">
        <v>42</v>
      </c>
      <c r="C726" s="20" t="str">
        <f>HYPERLINK("#'Data'!A1852", "Number of weeks MPCA lasted if fully spent [Endline] broken down by households_whose_members_were_injured_or_killed_as_a_result_of_hostilities on the ...")</f>
        <v>Number of weeks MPCA lasted if fully spent [Endline] broken down by households_whose_members_were_injured_or_killed_as_a_result_of_hostilities on the ...</v>
      </c>
      <c r="D726" s="19" t="s">
        <v>47</v>
      </c>
      <c r="E726" s="21">
        <v>377</v>
      </c>
    </row>
    <row r="727" spans="2:5" x14ac:dyDescent="0.3">
      <c r="B727" s="19" t="s">
        <v>42</v>
      </c>
      <c r="C727" s="20" t="str">
        <f>HYPERLINK("#'Data'!A1926", "Percentage of MPCA spent to date (if partially used) [Endline] broken down by households_whose_members_were_injured_or_killed_as_a_result_of_hostiliti...")</f>
        <v>Percentage of MPCA spent to date (if partially used) [Endline] broken down by households_whose_members_were_injured_or_killed_as_a_result_of_hostiliti...</v>
      </c>
      <c r="D727" s="19" t="s">
        <v>47</v>
      </c>
      <c r="E727" s="21">
        <v>392</v>
      </c>
    </row>
    <row r="728" spans="2:5" x14ac:dyDescent="0.3">
      <c r="B728" s="19" t="s">
        <v>42</v>
      </c>
      <c r="C728" s="20" t="str">
        <f>HYPERLINK("#'Data'!A2000", "Extent to which received MPCA helped cover household needs during usage period [Endline] broken down by households_whose_members_were_injured_or_kille...")</f>
        <v>Extent to which received MPCA helped cover household needs during usage period [Endline] broken down by households_whose_members_were_injured_or_kille...</v>
      </c>
      <c r="D728" s="19" t="s">
        <v>47</v>
      </c>
      <c r="E728" s="21">
        <v>407</v>
      </c>
    </row>
    <row r="729" spans="2:5" x14ac:dyDescent="0.3">
      <c r="B729" s="19" t="s">
        <v>42</v>
      </c>
      <c r="C729" s="20" t="str">
        <f>HYPERLINK("#'Data'!A2074", "Percentage of needs covered by MPCA (if partially met) [Endline] broken down by households_whose_members_were_injured_or_killed_as_a_result_of_hostili...")</f>
        <v>Percentage of needs covered by MPCA (if partially met) [Endline] broken down by households_whose_members_were_injured_or_killed_as_a_result_of_hostili...</v>
      </c>
      <c r="D729" s="19" t="s">
        <v>47</v>
      </c>
      <c r="E729" s="21">
        <v>422</v>
      </c>
    </row>
    <row r="730" spans="2:5" hidden="1" x14ac:dyDescent="0.3">
      <c r="B730" s="19" t="s">
        <v>40</v>
      </c>
      <c r="C730" s="20" t="str">
        <f>HYPERLINK("#'Data'!A2148", "Priority needs requiring financial aid, with importance level [Baseline] broken down by households_whose_members_were_injured_or_killed_as_a_result_of...")</f>
        <v>Priority needs requiring financial aid, with importance level [Baseline] broken down by households_whose_members_were_injured_or_killed_as_a_result_of...</v>
      </c>
      <c r="D730" s="19" t="s">
        <v>47</v>
      </c>
      <c r="E730" s="21">
        <v>437</v>
      </c>
    </row>
    <row r="731" spans="2:5" hidden="1" x14ac:dyDescent="0.3">
      <c r="B731" s="19" t="s">
        <v>40</v>
      </c>
      <c r="C731" s="20" t="str">
        <f>HYPERLINK("#'Data'!A2220", "Importance rating for 'Other' priority need requiring financial assistance [Baseline] broken down by households_whose_members_were_injured_or_killed_a...")</f>
        <v>Importance rating for 'Other' priority need requiring financial assistance [Baseline] broken down by households_whose_members_were_injured_or_killed_a...</v>
      </c>
      <c r="D731" s="19" t="s">
        <v>47</v>
      </c>
      <c r="E731" s="21">
        <v>452</v>
      </c>
    </row>
    <row r="732" spans="2:5" hidden="1" x14ac:dyDescent="0.3">
      <c r="B732" s="19" t="s">
        <v>40</v>
      </c>
      <c r="C732" s="20" t="str">
        <f>HYPERLINK("#'Data'!A2294", "Importance rating for 'Food' priority need requiring financial assistance [Baseline] broken down by households_whose_members_were_injured_or_killed_as...")</f>
        <v>Importance rating for 'Food' priority need requiring financial assistance [Baseline] broken down by households_whose_members_were_injured_or_killed_as...</v>
      </c>
      <c r="D732" s="19" t="s">
        <v>47</v>
      </c>
      <c r="E732" s="21">
        <v>467</v>
      </c>
    </row>
    <row r="733" spans="2:5" hidden="1" x14ac:dyDescent="0.3">
      <c r="B733" s="19" t="s">
        <v>40</v>
      </c>
      <c r="C733" s="20" t="str">
        <f>HYPERLINK("#'Data'!A2366", "Importance rating for 'Personal hygiene' priority need requiring financial assistance [Baseline] broken down by households_whose_members_were_injured_...")</f>
        <v>Importance rating for 'Personal hygiene' priority need requiring financial assistance [Baseline] broken down by households_whose_members_were_injured_...</v>
      </c>
      <c r="D733" s="19" t="s">
        <v>47</v>
      </c>
      <c r="E733" s="21">
        <v>482</v>
      </c>
    </row>
    <row r="734" spans="2:5" hidden="1" x14ac:dyDescent="0.3">
      <c r="B734" s="19" t="s">
        <v>40</v>
      </c>
      <c r="C734" s="20" t="str">
        <f>HYPERLINK("#'Data'!A2432", "Importance rating for 'Cleaning items' priority need requiring financial assistance [Baseline] broken down by households_whose_members_were_injured_or...")</f>
        <v>Importance rating for 'Cleaning items' priority need requiring financial assistance [Baseline] broken down by households_whose_members_were_injured_or...</v>
      </c>
      <c r="D734" s="19" t="s">
        <v>47</v>
      </c>
      <c r="E734" s="21">
        <v>497</v>
      </c>
    </row>
    <row r="735" spans="2:5" hidden="1" x14ac:dyDescent="0.3">
      <c r="B735" s="19" t="s">
        <v>40</v>
      </c>
      <c r="C735" s="20" t="str">
        <f>HYPERLINK("#'Data'!A2499", "Importance rating for 'Non-food items' priority need requiring financial assistance [Baseline] broken down by households_whose_members_were_injured_or...")</f>
        <v>Importance rating for 'Non-food items' priority need requiring financial assistance [Baseline] broken down by households_whose_members_were_injured_or...</v>
      </c>
      <c r="D735" s="19" t="s">
        <v>47</v>
      </c>
      <c r="E735" s="21">
        <v>512</v>
      </c>
    </row>
    <row r="736" spans="2:5" hidden="1" x14ac:dyDescent="0.3">
      <c r="B736" s="19" t="s">
        <v>40</v>
      </c>
      <c r="C736" s="20" t="str">
        <f>HYPERLINK("#'Data'!A2569", "Importance rating for 'Clothing and shoes' priority need requiring financial assistance [Baseline] broken down by households_whose_members_were_injure...")</f>
        <v>Importance rating for 'Clothing and shoes' priority need requiring financial assistance [Baseline] broken down by households_whose_members_were_injure...</v>
      </c>
      <c r="D736" s="19" t="s">
        <v>47</v>
      </c>
      <c r="E736" s="21">
        <v>527</v>
      </c>
    </row>
    <row r="737" spans="2:5" hidden="1" x14ac:dyDescent="0.3">
      <c r="B737" s="19" t="s">
        <v>40</v>
      </c>
      <c r="C737" s="20" t="str">
        <f>HYPERLINK("#'Data'!A2642", "Importance rating for 'Heating fuel' priority need requiring financial assistance [Baseline] broken down by households_whose_members_were_injured_or_k...")</f>
        <v>Importance rating for 'Heating fuel' priority need requiring financial assistance [Baseline] broken down by households_whose_members_were_injured_or_k...</v>
      </c>
      <c r="D737" s="19" t="s">
        <v>47</v>
      </c>
      <c r="E737" s="21">
        <v>542</v>
      </c>
    </row>
    <row r="738" spans="2:5" hidden="1" x14ac:dyDescent="0.3">
      <c r="B738" s="19" t="s">
        <v>40</v>
      </c>
      <c r="C738" s="20" t="str">
        <f>HYPERLINK("#'Data'!A2706", "Importance rating for 'Safe water' priority need requiring financial assistance [Baseline] broken down by households_whose_members_were_injured_or_kil...")</f>
        <v>Importance rating for 'Safe water' priority need requiring financial assistance [Baseline] broken down by households_whose_members_were_injured_or_kil...</v>
      </c>
      <c r="D738" s="19" t="s">
        <v>47</v>
      </c>
      <c r="E738" s="21">
        <v>557</v>
      </c>
    </row>
    <row r="739" spans="2:5" hidden="1" x14ac:dyDescent="0.3">
      <c r="B739" s="19" t="s">
        <v>40</v>
      </c>
      <c r="C739" s="20" t="str">
        <f>HYPERLINK("#'Data'!A2776", "Importance rating for 'Utilities' priority need requiring financial assistance [Baseline] broken down by households_whose_members_were_injured_or_kill...")</f>
        <v>Importance rating for 'Utilities' priority need requiring financial assistance [Baseline] broken down by households_whose_members_were_injured_or_kill...</v>
      </c>
      <c r="D739" s="19" t="s">
        <v>47</v>
      </c>
      <c r="E739" s="21">
        <v>572</v>
      </c>
    </row>
    <row r="740" spans="2:5" hidden="1" x14ac:dyDescent="0.3">
      <c r="B740" s="19" t="s">
        <v>40</v>
      </c>
      <c r="C740" s="20" t="str">
        <f>HYPERLINK("#'Data'!A2840", "Importance rating for 'Water supply' priority need requiring financial assistance [Baseline] broken down by households_whose_members_were_injured_or_k...")</f>
        <v>Importance rating for 'Water supply' priority need requiring financial assistance [Baseline] broken down by households_whose_members_were_injured_or_k...</v>
      </c>
      <c r="D740" s="19" t="s">
        <v>47</v>
      </c>
      <c r="E740" s="21">
        <v>587</v>
      </c>
    </row>
    <row r="741" spans="2:5" hidden="1" x14ac:dyDescent="0.3">
      <c r="B741" s="19" t="s">
        <v>40</v>
      </c>
      <c r="C741" s="20" t="str">
        <f>HYPERLINK("#'Data'!A2904", "Importance rating for 'Rent' priority need requiring financial assistance [Baseline] broken down by households_whose_members_were_injured_or_killed_as...")</f>
        <v>Importance rating for 'Rent' priority need requiring financial assistance [Baseline] broken down by households_whose_members_were_injured_or_killed_as...</v>
      </c>
      <c r="D741" s="19" t="s">
        <v>47</v>
      </c>
      <c r="E741" s="21">
        <v>602</v>
      </c>
    </row>
    <row r="742" spans="2:5" hidden="1" x14ac:dyDescent="0.3">
      <c r="B742" s="19" t="s">
        <v>40</v>
      </c>
      <c r="C742" s="20" t="str">
        <f>HYPERLINK("#'Data'!A2976", "Importance rating for 'Medication' priority need requiring financial assistance [Baseline] broken down by households_whose_members_were_injured_or_kil...")</f>
        <v>Importance rating for 'Medication' priority need requiring financial assistance [Baseline] broken down by households_whose_members_were_injured_or_kil...</v>
      </c>
      <c r="D742" s="19" t="s">
        <v>47</v>
      </c>
      <c r="E742" s="21">
        <v>617</v>
      </c>
    </row>
    <row r="743" spans="2:5" hidden="1" x14ac:dyDescent="0.3">
      <c r="B743" s="19" t="s">
        <v>40</v>
      </c>
      <c r="C743" s="20" t="str">
        <f>HYPERLINK("#'Data'!A3045", "Importance rating for 'Agricultural inputs' priority need requiring financial assistance [Baseline] broken down by households_whose_members_were_injur...")</f>
        <v>Importance rating for 'Agricultural inputs' priority need requiring financial assistance [Baseline] broken down by households_whose_members_were_injur...</v>
      </c>
      <c r="D743" s="19" t="s">
        <v>47</v>
      </c>
      <c r="E743" s="21">
        <v>632</v>
      </c>
    </row>
    <row r="744" spans="2:5" hidden="1" x14ac:dyDescent="0.3">
      <c r="B744" s="19" t="s">
        <v>40</v>
      </c>
      <c r="C744" s="20" t="str">
        <f>HYPERLINK("#'Data'!A3114", "Importance rating for 'Shelter maintenance' priority need requiring financial assistance [Baseline] broken down by households_whose_members_were_injur...")</f>
        <v>Importance rating for 'Shelter maintenance' priority need requiring financial assistance [Baseline] broken down by households_whose_members_were_injur...</v>
      </c>
      <c r="D744" s="19" t="s">
        <v>47</v>
      </c>
      <c r="E744" s="21">
        <v>647</v>
      </c>
    </row>
    <row r="745" spans="2:5" hidden="1" x14ac:dyDescent="0.3">
      <c r="B745" s="19" t="s">
        <v>40</v>
      </c>
      <c r="C745" s="20" t="str">
        <f>HYPERLINK("#'Data'!A3181", "Importance rating for 'Transportation' priority need requiring financial assistance [Baseline] broken down by households_whose_members_were_injured_or...")</f>
        <v>Importance rating for 'Transportation' priority need requiring financial assistance [Baseline] broken down by households_whose_members_were_injured_or...</v>
      </c>
      <c r="D745" s="19" t="s">
        <v>47</v>
      </c>
      <c r="E745" s="21">
        <v>662</v>
      </c>
    </row>
    <row r="746" spans="2:5" hidden="1" x14ac:dyDescent="0.3">
      <c r="B746" s="19" t="s">
        <v>40</v>
      </c>
      <c r="C746" s="20" t="str">
        <f>HYPERLINK("#'Data'!A3242", "Importance rating for 'Communication' priority need requiring financial assistance [Baseline] broken down by households_whose_members_were_injured_or_...")</f>
        <v>Importance rating for 'Communication' priority need requiring financial assistance [Baseline] broken down by households_whose_members_were_injured_or_...</v>
      </c>
      <c r="D746" s="19" t="s">
        <v>47</v>
      </c>
      <c r="E746" s="21">
        <v>677</v>
      </c>
    </row>
    <row r="747" spans="2:5" hidden="1" x14ac:dyDescent="0.3">
      <c r="B747" s="19" t="s">
        <v>40</v>
      </c>
      <c r="C747" s="20" t="str">
        <f>HYPERLINK("#'Data'!A3308", "Importance rating for 'Education materials' priority need requiring financial assistance [Baseline] broken down by households_whose_members_were_injur...")</f>
        <v>Importance rating for 'Education materials' priority need requiring financial assistance [Baseline] broken down by households_whose_members_were_injur...</v>
      </c>
      <c r="D747" s="19" t="s">
        <v>47</v>
      </c>
      <c r="E747" s="21">
        <v>692</v>
      </c>
    </row>
    <row r="748" spans="2:5" hidden="1" x14ac:dyDescent="0.3">
      <c r="B748" s="19" t="s">
        <v>40</v>
      </c>
      <c r="C748" s="20" t="str">
        <f>HYPERLINK("#'Data'!A3382", "Household needs met exclusively due to MPCA and their fulfillment level [Endline] broken down by households_whose_members_were_injured_or_killed_as_a_...")</f>
        <v>Household needs met exclusively due to MPCA and their fulfillment level [Endline] broken down by households_whose_members_were_injured_or_killed_as_a_...</v>
      </c>
      <c r="D748" s="19" t="s">
        <v>47</v>
      </c>
      <c r="E748" s="21">
        <v>707</v>
      </c>
    </row>
    <row r="749" spans="2:5" hidden="1" x14ac:dyDescent="0.3">
      <c r="B749" s="19" t="s">
        <v>40</v>
      </c>
      <c r="C749" s="20" t="str">
        <f>HYPERLINK("#'Data'!A3454", "Fulfillment level of 'Other' need met exclusively due to MPCA [Endline] broken down by households_whose_members_were_injured_or_killed_as_a_result_of_...")</f>
        <v>Fulfillment level of 'Other' need met exclusively due to MPCA [Endline] broken down by households_whose_members_were_injured_or_killed_as_a_result_of_...</v>
      </c>
      <c r="D749" s="19" t="s">
        <v>47</v>
      </c>
      <c r="E749" s="21">
        <v>722</v>
      </c>
    </row>
    <row r="750" spans="2:5" hidden="1" x14ac:dyDescent="0.3">
      <c r="B750" s="19" t="s">
        <v>40</v>
      </c>
      <c r="C750" s="20" t="str">
        <f>HYPERLINK("#'Data'!A3527", "Fulfillment level of 'Food' need met exclusively due to MPCA [Endline] broken down by households_whose_members_were_injured_or_killed_as_a_result_of_h...")</f>
        <v>Fulfillment level of 'Food' need met exclusively due to MPCA [Endline] broken down by households_whose_members_were_injured_or_killed_as_a_result_of_h...</v>
      </c>
      <c r="D750" s="19" t="s">
        <v>47</v>
      </c>
      <c r="E750" s="21">
        <v>737</v>
      </c>
    </row>
    <row r="751" spans="2:5" x14ac:dyDescent="0.3">
      <c r="B751" s="19" t="s">
        <v>42</v>
      </c>
      <c r="C751" s="20" t="str">
        <f>HYPERLINK("#'Data'!A3598", "Fulfillment level of 'Personal hygiene' need met exclusively due to MPCA [Endline] broken down by households_whose_members_were_injured_or_killed_as_a...")</f>
        <v>Fulfillment level of 'Personal hygiene' need met exclusively due to MPCA [Endline] broken down by households_whose_members_were_injured_or_killed_as_a...</v>
      </c>
      <c r="D751" s="19" t="s">
        <v>47</v>
      </c>
      <c r="E751" s="21">
        <v>752</v>
      </c>
    </row>
    <row r="752" spans="2:5" x14ac:dyDescent="0.3">
      <c r="B752" s="19" t="s">
        <v>42</v>
      </c>
      <c r="C752" s="20" t="str">
        <f>HYPERLINK("#'Data'!A3669", "Fulfillment level of 'Cleaning items' need met exclusively due to MPCA [Endline] broken down by households_whose_members_were_injured_or_killed_as_a_r...")</f>
        <v>Fulfillment level of 'Cleaning items' need met exclusively due to MPCA [Endline] broken down by households_whose_members_were_injured_or_killed_as_a_r...</v>
      </c>
      <c r="D752" s="19" t="s">
        <v>47</v>
      </c>
      <c r="E752" s="21">
        <v>767</v>
      </c>
    </row>
    <row r="753" spans="2:5" x14ac:dyDescent="0.3">
      <c r="B753" s="19" t="s">
        <v>42</v>
      </c>
      <c r="C753" s="20" t="str">
        <f>HYPERLINK("#'Data'!A3739", "Fulfillment level of 'Non-food items' need met exclusively due to MPCA [Endline] broken down by households_whose_members_were_injured_or_killed_as_a_r...")</f>
        <v>Fulfillment level of 'Non-food items' need met exclusively due to MPCA [Endline] broken down by households_whose_members_were_injured_or_killed_as_a_r...</v>
      </c>
      <c r="D753" s="19" t="s">
        <v>47</v>
      </c>
      <c r="E753" s="21">
        <v>782</v>
      </c>
    </row>
    <row r="754" spans="2:5" x14ac:dyDescent="0.3">
      <c r="B754" s="19" t="s">
        <v>42</v>
      </c>
      <c r="C754" s="20" t="str">
        <f>HYPERLINK("#'Data'!A3812", "Fulfillment level of 'Clothing and shoes' need met exclusively due to MPCA [Endline] broken down by households_whose_members_were_injured_or_killed_as...")</f>
        <v>Fulfillment level of 'Clothing and shoes' need met exclusively due to MPCA [Endline] broken down by households_whose_members_were_injured_or_killed_as...</v>
      </c>
      <c r="D754" s="19" t="s">
        <v>47</v>
      </c>
      <c r="E754" s="21">
        <v>797</v>
      </c>
    </row>
    <row r="755" spans="2:5" x14ac:dyDescent="0.3">
      <c r="B755" s="19" t="s">
        <v>42</v>
      </c>
      <c r="C755" s="20" t="str">
        <f>HYPERLINK("#'Data'!A3886", "Fulfillment level of 'Heating fuel' need met exclusively due to MPCA [Endline] broken down by households_whose_members_were_injured_or_killed_as_a_res...")</f>
        <v>Fulfillment level of 'Heating fuel' need met exclusively due to MPCA [Endline] broken down by households_whose_members_were_injured_or_killed_as_a_res...</v>
      </c>
      <c r="D755" s="19" t="s">
        <v>47</v>
      </c>
      <c r="E755" s="21">
        <v>812</v>
      </c>
    </row>
    <row r="756" spans="2:5" x14ac:dyDescent="0.3">
      <c r="B756" s="19" t="s">
        <v>42</v>
      </c>
      <c r="C756" s="20" t="str">
        <f>HYPERLINK("#'Data'!A3952", "Fulfillment level of 'Safe water' need met exclusively due to MPCA [Endline] broken down by households_whose_members_were_injured_or_killed_as_a_resul...")</f>
        <v>Fulfillment level of 'Safe water' need met exclusively due to MPCA [Endline] broken down by households_whose_members_were_injured_or_killed_as_a_resul...</v>
      </c>
      <c r="D756" s="19" t="s">
        <v>47</v>
      </c>
      <c r="E756" s="21">
        <v>827</v>
      </c>
    </row>
    <row r="757" spans="2:5" x14ac:dyDescent="0.3">
      <c r="B757" s="19" t="s">
        <v>42</v>
      </c>
      <c r="C757" s="20" t="str">
        <f>HYPERLINK("#'Data'!A4023", "Fulfillment level of 'Utilities' need met exclusively due to MPCA [Endline] broken down by households_whose_members_were_injured_or_killed_as_a_result...")</f>
        <v>Fulfillment level of 'Utilities' need met exclusively due to MPCA [Endline] broken down by households_whose_members_were_injured_or_killed_as_a_result...</v>
      </c>
      <c r="D757" s="19" t="s">
        <v>47</v>
      </c>
      <c r="E757" s="21">
        <v>842</v>
      </c>
    </row>
    <row r="758" spans="2:5" x14ac:dyDescent="0.3">
      <c r="B758" s="19" t="s">
        <v>42</v>
      </c>
      <c r="C758" s="20" t="str">
        <f>HYPERLINK("#'Data'!A4092", "Fulfillment level of 'Water supply' need met exclusively due to MPCA [Endline] broken down by households_whose_members_were_injured_or_killed_as_a_res...")</f>
        <v>Fulfillment level of 'Water supply' need met exclusively due to MPCA [Endline] broken down by households_whose_members_were_injured_or_killed_as_a_res...</v>
      </c>
      <c r="D758" s="19" t="s">
        <v>47</v>
      </c>
      <c r="E758" s="21">
        <v>857</v>
      </c>
    </row>
    <row r="759" spans="2:5" x14ac:dyDescent="0.3">
      <c r="B759" s="19" t="s">
        <v>42</v>
      </c>
      <c r="C759" s="20" t="str">
        <f>HYPERLINK("#'Data'!A4162", "Fulfillment level of 'Rent' need met exclusively due to MPCA [Endline] broken down by households_whose_members_were_injured_or_killed_as_a_result_of_h...")</f>
        <v>Fulfillment level of 'Rent' need met exclusively due to MPCA [Endline] broken down by households_whose_members_were_injured_or_killed_as_a_result_of_h...</v>
      </c>
      <c r="D759" s="19" t="s">
        <v>47</v>
      </c>
      <c r="E759" s="21">
        <v>872</v>
      </c>
    </row>
    <row r="760" spans="2:5" x14ac:dyDescent="0.3">
      <c r="B760" s="19" t="s">
        <v>42</v>
      </c>
      <c r="C760" s="20" t="str">
        <f>HYPERLINK("#'Data'!A4225", "Fulfillment level of 'Assistive products' need met exclusively due to MPCA [Endline] broken down by households_whose_members_were_injured_or_killed_as...")</f>
        <v>Fulfillment level of 'Assistive products' need met exclusively due to MPCA [Endline] broken down by households_whose_members_were_injured_or_killed_as...</v>
      </c>
      <c r="D760" s="19" t="s">
        <v>47</v>
      </c>
      <c r="E760" s="21">
        <v>887</v>
      </c>
    </row>
    <row r="761" spans="2:5" x14ac:dyDescent="0.3">
      <c r="B761" s="19" t="s">
        <v>42</v>
      </c>
      <c r="C761" s="20" t="str">
        <f>HYPERLINK("#'Data'!A4295", "Fulfillment level of 'Medication' need met exclusively due to MPCA [Endline] broken down by households_whose_members_were_injured_or_killed_as_a_resul...")</f>
        <v>Fulfillment level of 'Medication' need met exclusively due to MPCA [Endline] broken down by households_whose_members_were_injured_or_killed_as_a_resul...</v>
      </c>
      <c r="D761" s="19" t="s">
        <v>47</v>
      </c>
      <c r="E761" s="21">
        <v>902</v>
      </c>
    </row>
    <row r="762" spans="2:5" x14ac:dyDescent="0.3">
      <c r="B762" s="19" t="s">
        <v>42</v>
      </c>
      <c r="C762" s="20" t="str">
        <f>HYPERLINK("#'Data'!A4361", "Fulfillment level of 'Agricultural inputs' need met exclusively due to MPCA [Endline] broken down by households_whose_members_were_injured_or_killed_a...")</f>
        <v>Fulfillment level of 'Agricultural inputs' need met exclusively due to MPCA [Endline] broken down by households_whose_members_were_injured_or_killed_a...</v>
      </c>
      <c r="D762" s="19" t="s">
        <v>47</v>
      </c>
      <c r="E762" s="21">
        <v>917</v>
      </c>
    </row>
    <row r="763" spans="2:5" x14ac:dyDescent="0.3">
      <c r="B763" s="19" t="s">
        <v>42</v>
      </c>
      <c r="C763" s="20" t="str">
        <f>HYPERLINK("#'Data'!A4433", "Fulfillment level of 'Shelter maintenance' need met exclusively due to MPCA [Endline] broken down by households_whose_members_were_injured_or_killed_a...")</f>
        <v>Fulfillment level of 'Shelter maintenance' need met exclusively due to MPCA [Endline] broken down by households_whose_members_were_injured_or_killed_a...</v>
      </c>
      <c r="D763" s="19" t="s">
        <v>47</v>
      </c>
      <c r="E763" s="21">
        <v>932</v>
      </c>
    </row>
    <row r="764" spans="2:5" x14ac:dyDescent="0.3">
      <c r="B764" s="19" t="s">
        <v>42</v>
      </c>
      <c r="C764" s="20" t="str">
        <f>HYPERLINK("#'Data'!A4503", "Fulfillment level of 'Future savings' need met exclusively due to MPCA [Endline] broken down by households_whose_members_were_injured_or_killed_as_a_r...")</f>
        <v>Fulfillment level of 'Future savings' need met exclusively due to MPCA [Endline] broken down by households_whose_members_were_injured_or_killed_as_a_r...</v>
      </c>
      <c r="D764" s="19" t="s">
        <v>47</v>
      </c>
      <c r="E764" s="21">
        <v>947</v>
      </c>
    </row>
    <row r="765" spans="2:5" x14ac:dyDescent="0.3">
      <c r="B765" s="19" t="s">
        <v>42</v>
      </c>
      <c r="C765" s="20" t="str">
        <f>HYPERLINK("#'Data'!A4569", "Fulfillment level of 'Shared with others' need met exclusively due to MPCA [Endline] broken down by households_whose_members_were_injured_or_killed_as...")</f>
        <v>Fulfillment level of 'Shared with others' need met exclusively due to MPCA [Endline] broken down by households_whose_members_were_injured_or_killed_as...</v>
      </c>
      <c r="D765" s="19" t="s">
        <v>47</v>
      </c>
      <c r="E765" s="21">
        <v>962</v>
      </c>
    </row>
    <row r="766" spans="2:5" x14ac:dyDescent="0.3">
      <c r="B766" s="19" t="s">
        <v>42</v>
      </c>
      <c r="C766" s="20" t="str">
        <f>HYPERLINK("#'Data'!A4639", "Fulfillment level of 'Transportation' need met exclusively due to MPCA [Endline] broken down by households_whose_members_were_injured_or_killed_as_a_r...")</f>
        <v>Fulfillment level of 'Transportation' need met exclusively due to MPCA [Endline] broken down by households_whose_members_were_injured_or_killed_as_a_r...</v>
      </c>
      <c r="D766" s="19" t="s">
        <v>47</v>
      </c>
      <c r="E766" s="21">
        <v>977</v>
      </c>
    </row>
    <row r="767" spans="2:5" x14ac:dyDescent="0.3">
      <c r="B767" s="19" t="s">
        <v>42</v>
      </c>
      <c r="C767" s="20" t="str">
        <f>HYPERLINK("#'Data'!A4710", "Fulfillment level of 'Communication' need met exclusively due to MPCA [Endline] broken down by households_whose_members_were_injured_or_killed_as_a_re...")</f>
        <v>Fulfillment level of 'Communication' need met exclusively due to MPCA [Endline] broken down by households_whose_members_were_injured_or_killed_as_a_re...</v>
      </c>
      <c r="D767" s="19" t="s">
        <v>47</v>
      </c>
      <c r="E767" s="21">
        <v>992</v>
      </c>
    </row>
    <row r="768" spans="2:5" x14ac:dyDescent="0.3">
      <c r="B768" s="19" t="s">
        <v>42</v>
      </c>
      <c r="C768" s="20" t="str">
        <f>HYPERLINK("#'Data'!A4780", "Fulfillment level of 'Education materials' need met exclusively due to MPCA [Endline] broken down by households_whose_members_were_injured_or_killed_a...")</f>
        <v>Fulfillment level of 'Education materials' need met exclusively due to MPCA [Endline] broken down by households_whose_members_were_injured_or_killed_a...</v>
      </c>
      <c r="D768" s="19" t="s">
        <v>47</v>
      </c>
      <c r="E768" s="21">
        <v>1007</v>
      </c>
    </row>
    <row r="769" spans="2:5" x14ac:dyDescent="0.3">
      <c r="B769" s="19" t="s">
        <v>42</v>
      </c>
      <c r="C769" s="20" t="str">
        <f>HYPERLINK("#'Data'!A4854", "Estimated percentage of MPCA spent on each category of goods and services [Endline] broken down by households_whose_members_were_injured_or_killed_as_...")</f>
        <v>Estimated percentage of MPCA spent on each category of goods and services [Endline] broken down by households_whose_members_were_injured_or_killed_as_...</v>
      </c>
      <c r="D769" s="19" t="s">
        <v>47</v>
      </c>
      <c r="E769" s="21">
        <v>1022</v>
      </c>
    </row>
    <row r="770" spans="2:5" x14ac:dyDescent="0.3">
      <c r="B770" s="19" t="s">
        <v>42</v>
      </c>
      <c r="C770" s="20" t="str">
        <f>HYPERLINK("#'Data'!A4926", "Estimated percentage of MPCA spent on 'Other' category [Endline] broken down by households_whose_members_were_injured_or_killed_as_a_result_of_hostili...")</f>
        <v>Estimated percentage of MPCA spent on 'Other' category [Endline] broken down by households_whose_members_were_injured_or_killed_as_a_result_of_hostili...</v>
      </c>
      <c r="D770" s="19" t="s">
        <v>47</v>
      </c>
      <c r="E770" s="21">
        <v>1037</v>
      </c>
    </row>
    <row r="771" spans="2:5" x14ac:dyDescent="0.3">
      <c r="B771" s="19" t="s">
        <v>42</v>
      </c>
      <c r="C771" s="20" t="str">
        <f>HYPERLINK("#'Data'!A4999", "Estimated percentage of MPCA spent on 'Food' category [Endline] broken down by households_whose_members_were_injured_or_killed_as_a_result_of_hostilit...")</f>
        <v>Estimated percentage of MPCA spent on 'Food' category [Endline] broken down by households_whose_members_were_injured_or_killed_as_a_result_of_hostilit...</v>
      </c>
      <c r="D771" s="19" t="s">
        <v>47</v>
      </c>
      <c r="E771" s="21">
        <v>1052</v>
      </c>
    </row>
    <row r="772" spans="2:5" x14ac:dyDescent="0.3">
      <c r="B772" s="19" t="s">
        <v>42</v>
      </c>
      <c r="C772" s="20" t="str">
        <f>HYPERLINK("#'Data'!A5070", "Estimated percentage of MPCA spent on 'Personal hygiene' category [Endline] broken down by households_whose_members_were_injured_or_killed_as_a_result...")</f>
        <v>Estimated percentage of MPCA spent on 'Personal hygiene' category [Endline] broken down by households_whose_members_were_injured_or_killed_as_a_result...</v>
      </c>
      <c r="D772" s="19" t="s">
        <v>47</v>
      </c>
      <c r="E772" s="21">
        <v>1067</v>
      </c>
    </row>
    <row r="773" spans="2:5" x14ac:dyDescent="0.3">
      <c r="B773" s="19" t="s">
        <v>42</v>
      </c>
      <c r="C773" s="20" t="str">
        <f>HYPERLINK("#'Data'!A5142", "Estimated percentage of MPCA spent on 'Cleaning items' category [Endline] broken down by households_whose_members_were_injured_or_killed_as_a_result_o...")</f>
        <v>Estimated percentage of MPCA spent on 'Cleaning items' category [Endline] broken down by households_whose_members_were_injured_or_killed_as_a_result_o...</v>
      </c>
      <c r="D773" s="19" t="s">
        <v>47</v>
      </c>
      <c r="E773" s="21">
        <v>1082</v>
      </c>
    </row>
    <row r="774" spans="2:5" x14ac:dyDescent="0.3">
      <c r="B774" s="19" t="s">
        <v>42</v>
      </c>
      <c r="C774" s="20" t="str">
        <f>HYPERLINK("#'Data'!A5213", "Estimated percentage of MPCA spent on 'Non-food items' category [Endline] broken down by households_whose_members_were_injured_or_killed_as_a_result_o...")</f>
        <v>Estimated percentage of MPCA spent on 'Non-food items' category [Endline] broken down by households_whose_members_were_injured_or_killed_as_a_result_o...</v>
      </c>
      <c r="D774" s="19" t="s">
        <v>47</v>
      </c>
      <c r="E774" s="21">
        <v>1097</v>
      </c>
    </row>
    <row r="775" spans="2:5" x14ac:dyDescent="0.3">
      <c r="B775" s="19" t="s">
        <v>42</v>
      </c>
      <c r="C775" s="20" t="str">
        <f>HYPERLINK("#'Data'!A5286", "Estimated percentage of MPCA spent on 'Clothing and shoes' category [Endline] broken down by households_whose_members_were_injured_or_killed_as_a_resu...")</f>
        <v>Estimated percentage of MPCA spent on 'Clothing and shoes' category [Endline] broken down by households_whose_members_were_injured_or_killed_as_a_resu...</v>
      </c>
      <c r="D775" s="19" t="s">
        <v>47</v>
      </c>
      <c r="E775" s="21">
        <v>1112</v>
      </c>
    </row>
    <row r="776" spans="2:5" x14ac:dyDescent="0.3">
      <c r="B776" s="19" t="s">
        <v>42</v>
      </c>
      <c r="C776" s="20" t="str">
        <f>HYPERLINK("#'Data'!A5360", "Estimated percentage of MPCA spent on 'Heating fuel' category [Endline] broken down by households_whose_members_were_injured_or_killed_as_a_result_of_...")</f>
        <v>Estimated percentage of MPCA spent on 'Heating fuel' category [Endline] broken down by households_whose_members_were_injured_or_killed_as_a_result_of_...</v>
      </c>
      <c r="D776" s="19" t="s">
        <v>47</v>
      </c>
      <c r="E776" s="21">
        <v>1127</v>
      </c>
    </row>
    <row r="777" spans="2:5" x14ac:dyDescent="0.3">
      <c r="B777" s="19" t="s">
        <v>42</v>
      </c>
      <c r="C777" s="20" t="str">
        <f>HYPERLINK("#'Data'!A5426", "Estimated percentage of MPCA spent on 'Safe water' category [Endline] broken down by households_whose_members_were_injured_or_killed_as_a_result_of_ho...")</f>
        <v>Estimated percentage of MPCA spent on 'Safe water' category [Endline] broken down by households_whose_members_were_injured_or_killed_as_a_result_of_ho...</v>
      </c>
      <c r="D777" s="19" t="s">
        <v>47</v>
      </c>
      <c r="E777" s="21">
        <v>1142</v>
      </c>
    </row>
    <row r="778" spans="2:5" x14ac:dyDescent="0.3">
      <c r="B778" s="19" t="s">
        <v>42</v>
      </c>
      <c r="C778" s="20" t="str">
        <f>HYPERLINK("#'Data'!A5497", "Estimated percentage of MPCA spent on 'Utilities' category [Endline] broken down by households_whose_members_were_injured_or_killed_as_a_result_of_hos...")</f>
        <v>Estimated percentage of MPCA spent on 'Utilities' category [Endline] broken down by households_whose_members_were_injured_or_killed_as_a_result_of_hos...</v>
      </c>
      <c r="D778" s="19" t="s">
        <v>47</v>
      </c>
      <c r="E778" s="21">
        <v>1157</v>
      </c>
    </row>
    <row r="779" spans="2:5" x14ac:dyDescent="0.3">
      <c r="B779" s="19" t="s">
        <v>42</v>
      </c>
      <c r="C779" s="20" t="str">
        <f>HYPERLINK("#'Data'!A5566", "Estimated percentage of MPCA spent on 'Water supply' category [Endline] broken down by households_whose_members_were_injured_or_killed_as_a_result_of_...")</f>
        <v>Estimated percentage of MPCA spent on 'Water supply' category [Endline] broken down by households_whose_members_were_injured_or_killed_as_a_result_of_...</v>
      </c>
      <c r="D779" s="19" t="s">
        <v>47</v>
      </c>
      <c r="E779" s="21">
        <v>1172</v>
      </c>
    </row>
    <row r="780" spans="2:5" x14ac:dyDescent="0.3">
      <c r="B780" s="19" t="s">
        <v>42</v>
      </c>
      <c r="C780" s="20" t="str">
        <f>HYPERLINK("#'Data'!A5636", "Estimated percentage of MPCA spent on 'Rent' category [Endline] broken down by households_whose_members_were_injured_or_killed_as_a_result_of_hostilit...")</f>
        <v>Estimated percentage of MPCA spent on 'Rent' category [Endline] broken down by households_whose_members_were_injured_or_killed_as_a_result_of_hostilit...</v>
      </c>
      <c r="D780" s="19" t="s">
        <v>47</v>
      </c>
      <c r="E780" s="21">
        <v>1187</v>
      </c>
    </row>
    <row r="781" spans="2:5" x14ac:dyDescent="0.3">
      <c r="B781" s="19" t="s">
        <v>42</v>
      </c>
      <c r="C781" s="20" t="str">
        <f>HYPERLINK("#'Data'!A5699", "Estimated percentage of MPCA spent on 'Assistive products' category [Endline] broken down by households_whose_members_were_injured_or_killed_as_a_resu...")</f>
        <v>Estimated percentage of MPCA spent on 'Assistive products' category [Endline] broken down by households_whose_members_were_injured_or_killed_as_a_resu...</v>
      </c>
      <c r="D781" s="19" t="s">
        <v>47</v>
      </c>
      <c r="E781" s="21">
        <v>1202</v>
      </c>
    </row>
    <row r="782" spans="2:5" x14ac:dyDescent="0.3">
      <c r="B782" s="19" t="s">
        <v>42</v>
      </c>
      <c r="C782" s="20" t="str">
        <f>HYPERLINK("#'Data'!A5769", "Estimated percentage of MPCA spent on 'Medication' category [Endline] broken down by households_whose_members_were_injured_or_killed_as_a_result_of_ho...")</f>
        <v>Estimated percentage of MPCA spent on 'Medication' category [Endline] broken down by households_whose_members_were_injured_or_killed_as_a_result_of_ho...</v>
      </c>
      <c r="D782" s="19" t="s">
        <v>47</v>
      </c>
      <c r="E782" s="21">
        <v>1217</v>
      </c>
    </row>
    <row r="783" spans="2:5" x14ac:dyDescent="0.3">
      <c r="B783" s="19" t="s">
        <v>42</v>
      </c>
      <c r="C783" s="20" t="str">
        <f>HYPERLINK("#'Data'!A5838", "Estimated percentage of MPCA spent on 'Agricultural inputs' category [Endline] broken down by households_whose_members_were_injured_or_killed_as_a_res...")</f>
        <v>Estimated percentage of MPCA spent on 'Agricultural inputs' category [Endline] broken down by households_whose_members_were_injured_or_killed_as_a_res...</v>
      </c>
      <c r="D783" s="19" t="s">
        <v>47</v>
      </c>
      <c r="E783" s="21">
        <v>1232</v>
      </c>
    </row>
    <row r="784" spans="2:5" x14ac:dyDescent="0.3">
      <c r="B784" s="19" t="s">
        <v>42</v>
      </c>
      <c r="C784" s="20" t="str">
        <f>HYPERLINK("#'Data'!A5910", "Estimated percentage of MPCA spent on 'Shelter maintenance' category [Endline] broken down by households_whose_members_were_injured_or_killed_as_a_res...")</f>
        <v>Estimated percentage of MPCA spent on 'Shelter maintenance' category [Endline] broken down by households_whose_members_were_injured_or_killed_as_a_res...</v>
      </c>
      <c r="D784" s="19" t="s">
        <v>47</v>
      </c>
      <c r="E784" s="21">
        <v>1247</v>
      </c>
    </row>
    <row r="785" spans="2:5" x14ac:dyDescent="0.3">
      <c r="B785" s="19" t="s">
        <v>42</v>
      </c>
      <c r="C785" s="20" t="str">
        <f>HYPERLINK("#'Data'!A5980", "Estimated percentage of MPCA spent on 'Future savings' category [Endline] broken down by households_whose_members_were_injured_or_killed_as_a_result_o...")</f>
        <v>Estimated percentage of MPCA spent on 'Future savings' category [Endline] broken down by households_whose_members_were_injured_or_killed_as_a_result_o...</v>
      </c>
      <c r="D785" s="19" t="s">
        <v>47</v>
      </c>
      <c r="E785" s="21">
        <v>1262</v>
      </c>
    </row>
    <row r="786" spans="2:5" x14ac:dyDescent="0.3">
      <c r="B786" s="19" t="s">
        <v>42</v>
      </c>
      <c r="C786" s="20" t="str">
        <f>HYPERLINK("#'Data'!A6047", "Estimated percentage of MPCA spent on 'Shared with others' category [Endline] broken down by households_whose_members_were_injured_or_killed_as_a_resu...")</f>
        <v>Estimated percentage of MPCA spent on 'Shared with others' category [Endline] broken down by households_whose_members_were_injured_or_killed_as_a_resu...</v>
      </c>
      <c r="D786" s="19" t="s">
        <v>47</v>
      </c>
      <c r="E786" s="21">
        <v>1277</v>
      </c>
    </row>
    <row r="787" spans="2:5" x14ac:dyDescent="0.3">
      <c r="B787" s="19" t="s">
        <v>42</v>
      </c>
      <c r="C787" s="20" t="str">
        <f>HYPERLINK("#'Data'!A6117", "Estimated percentage of MPCA spent on 'Transportation' category [Endline] broken down by households_whose_members_were_injured_or_killed_as_a_result_o...")</f>
        <v>Estimated percentage of MPCA spent on 'Transportation' category [Endline] broken down by households_whose_members_were_injured_or_killed_as_a_result_o...</v>
      </c>
      <c r="D787" s="19" t="s">
        <v>47</v>
      </c>
      <c r="E787" s="21">
        <v>1292</v>
      </c>
    </row>
    <row r="788" spans="2:5" x14ac:dyDescent="0.3">
      <c r="B788" s="19" t="s">
        <v>42</v>
      </c>
      <c r="C788" s="20" t="str">
        <f>HYPERLINK("#'Data'!A6190", "Estimated percentage of MPCA spent on 'Communication' category [Endline] broken down by households_whose_members_were_injured_or_killed_as_a_result_of...")</f>
        <v>Estimated percentage of MPCA spent on 'Communication' category [Endline] broken down by households_whose_members_were_injured_or_killed_as_a_result_of...</v>
      </c>
      <c r="D788" s="19" t="s">
        <v>47</v>
      </c>
      <c r="E788" s="21">
        <v>1307</v>
      </c>
    </row>
    <row r="789" spans="2:5" x14ac:dyDescent="0.3">
      <c r="B789" s="19" t="s">
        <v>42</v>
      </c>
      <c r="C789" s="20" t="str">
        <f>HYPERLINK("#'Data'!A6260", "Estimated percentage of MPCA spent on 'Education materials' category [Endline] broken down by households_whose_members_were_injured_or_killed_as_a_res...")</f>
        <v>Estimated percentage of MPCA spent on 'Education materials' category [Endline] broken down by households_whose_members_were_injured_or_killed_as_a_res...</v>
      </c>
      <c r="D789" s="19" t="s">
        <v>47</v>
      </c>
      <c r="E789" s="21">
        <v>1322</v>
      </c>
    </row>
    <row r="790" spans="2:5" x14ac:dyDescent="0.3">
      <c r="B790" s="19" t="s">
        <v>42</v>
      </c>
      <c r="C790" s="20" t="str">
        <f>HYPERLINK("#'Data'!A6334", "Additional priority needs potentially met if MPCA duration extended to 6 months [Endline] broken down by households_whose_members_were_injured_or_kill...")</f>
        <v>Additional priority needs potentially met if MPCA duration extended to 6 months [Endline] broken down by households_whose_members_were_injured_or_kill...</v>
      </c>
      <c r="D790" s="19" t="s">
        <v>47</v>
      </c>
      <c r="E790" s="21">
        <v>1337</v>
      </c>
    </row>
    <row r="791" spans="2:5" x14ac:dyDescent="0.3">
      <c r="B791" s="19" t="s">
        <v>42</v>
      </c>
      <c r="C791" s="20" t="str">
        <f>HYPERLINK("#'Data'!A6408", "Additional priority needs potentially met with doubled MPCA amount over past 3 months [Endline] broken down by households_whose_members_were_injured_o...")</f>
        <v>Additional priority needs potentially met with doubled MPCA amount over past 3 months [Endline] broken down by households_whose_members_were_injured_o...</v>
      </c>
      <c r="D791" s="19" t="s">
        <v>47</v>
      </c>
      <c r="E791" s="21">
        <v>1352</v>
      </c>
    </row>
    <row r="792" spans="2:5" x14ac:dyDescent="0.3">
      <c r="B792" s="19" t="s">
        <v>42</v>
      </c>
      <c r="C792" s="20" t="str">
        <f>HYPERLINK("#'Data'!A6482", "Needs that MPCA is considered insufficient to address [Baseline] broken down by households_whose_members_were_injured_or_killed_as_a_result_of_hostili...")</f>
        <v>Needs that MPCA is considered insufficient to address [Baseline] broken down by households_whose_members_were_injured_or_killed_as_a_result_of_hostili...</v>
      </c>
      <c r="D792" s="19" t="s">
        <v>47</v>
      </c>
      <c r="E792" s="21">
        <v>1367</v>
      </c>
    </row>
    <row r="793" spans="2:5" x14ac:dyDescent="0.3">
      <c r="B793" s="19" t="s">
        <v>42</v>
      </c>
      <c r="C793" s="20" t="str">
        <f>HYPERLINK("#'Data'!A6556", "Needs that MPCA is considered insufficient to address [Endline] broken down by households_whose_members_were_injured_or_killed_as_a_result_of_hostilit...")</f>
        <v>Needs that MPCA is considered insufficient to address [Endline] broken down by households_whose_members_were_injured_or_killed_as_a_result_of_hostilit...</v>
      </c>
      <c r="D793" s="19" t="s">
        <v>47</v>
      </c>
      <c r="E793" s="21">
        <v>1382</v>
      </c>
    </row>
    <row r="794" spans="2:5" x14ac:dyDescent="0.3">
      <c r="B794" s="19" t="s">
        <v>42</v>
      </c>
      <c r="C794" s="20" t="str">
        <f>HYPERLINK("#'Data'!A6630", "Preferred type of assistance for meeting current household needs [Baseline] broken down by households_whose_members_were_injured_or_killed_as_a_result...")</f>
        <v>Preferred type of assistance for meeting current household needs [Baseline] broken down by households_whose_members_were_injured_or_killed_as_a_result...</v>
      </c>
      <c r="D794" s="19" t="s">
        <v>47</v>
      </c>
      <c r="E794" s="21">
        <v>1397</v>
      </c>
    </row>
    <row r="795" spans="2:5" hidden="1" x14ac:dyDescent="0.3">
      <c r="B795" s="19" t="s">
        <v>40</v>
      </c>
      <c r="C795" s="20" t="str">
        <f>HYPERLINK("#'Data'!A6704", "Preferred type of assistance for meeting current household needs [Endline] broken down by households_whose_members_were_injured_or_killed_as_a_result_...")</f>
        <v>Preferred type of assistance for meeting current household needs [Endline] broken down by households_whose_members_were_injured_or_killed_as_a_result_...</v>
      </c>
      <c r="D795" s="19" t="s">
        <v>47</v>
      </c>
      <c r="E795" s="21">
        <v>1412</v>
      </c>
    </row>
    <row r="796" spans="2:5" x14ac:dyDescent="0.3">
      <c r="B796" s="19" t="s">
        <v>42</v>
      </c>
      <c r="C796" s="20" t="str">
        <f>HYPERLINK("#'Data'!A6778", "Remaining needs after MPCA that require additional cash or in-kind assistance [Endline] broken down by households_whose_members_were_injured_or_killed...")</f>
        <v>Remaining needs after MPCA that require additional cash or in-kind assistance [Endline] broken down by households_whose_members_were_injured_or_killed...</v>
      </c>
      <c r="D796" s="19" t="s">
        <v>47</v>
      </c>
      <c r="E796" s="21">
        <v>1427</v>
      </c>
    </row>
    <row r="797" spans="2:5" hidden="1" x14ac:dyDescent="0.3">
      <c r="B797" s="19" t="s">
        <v>40</v>
      </c>
      <c r="C797" s="20" t="str">
        <f>HYPERLINK("#'Data'!A6852", "Remaining needs after MPCA that require additional cash or in-kind assistance [Endline] broken down by households_whose_members_were_injured_or_killed...")</f>
        <v>Remaining needs after MPCA that require additional cash or in-kind assistance [Endline] broken down by households_whose_members_were_injured_or_killed...</v>
      </c>
      <c r="D797" s="19" t="s">
        <v>47</v>
      </c>
      <c r="E797" s="21">
        <v>1442</v>
      </c>
    </row>
    <row r="798" spans="2:5" x14ac:dyDescent="0.3">
      <c r="B798" s="19" t="s">
        <v>42</v>
      </c>
      <c r="C798" s="20" t="str">
        <f>HYPERLINK("#'Data'!A6926", "Amount of multi-purpose cash assistance received over last 3 months in UAH [Endline] broken down by households_whose_members_were_injured_or_killed_as...")</f>
        <v>Amount of multi-purpose cash assistance received over last 3 months in UAH [Endline] broken down by households_whose_members_were_injured_or_killed_as...</v>
      </c>
      <c r="D798" s="19" t="s">
        <v>47</v>
      </c>
      <c r="E798" s="21">
        <v>1457</v>
      </c>
    </row>
    <row r="799" spans="2:5" x14ac:dyDescent="0.3">
      <c r="B799" s="19" t="s">
        <v>42</v>
      </c>
      <c r="C799" s="20" t="str">
        <f>HYPERLINK("#'Data'!A7000", "Amount of multi-purpose cash assistance received over last 3 months per hh member in UAH [Endline] broken down by households_whose_members_were_injure...")</f>
        <v>Amount of multi-purpose cash assistance received over last 3 months per hh member in UAH [Endline] broken down by households_whose_members_were_injure...</v>
      </c>
      <c r="D799" s="19" t="s">
        <v>47</v>
      </c>
      <c r="E799" s="21">
        <v>1472</v>
      </c>
    </row>
    <row r="800" spans="2:5" x14ac:dyDescent="0.3">
      <c r="B800" s="19" t="s">
        <v>42</v>
      </c>
      <c r="C800" s="20" t="str">
        <f>HYPERLINK("#'Data'!A7074", "Other types of humanitarian aid received in the previous three months [Endline] broken down by households_whose_members_were_injured_or_killed_as_a_re...")</f>
        <v>Other types of humanitarian aid received in the previous three months [Endline] broken down by households_whose_members_were_injured_or_killed_as_a_re...</v>
      </c>
      <c r="D800" s="19" t="s">
        <v>47</v>
      </c>
      <c r="E800" s="21">
        <v>1487</v>
      </c>
    </row>
    <row r="801" spans="2:5" x14ac:dyDescent="0.3">
      <c r="B801" s="19" t="s">
        <v>42</v>
      </c>
      <c r="C801" s="20" t="str">
        <f>HYPERLINK("#'Data'!A7141", "Estimated percentage of total household expenditures spent on 'Other' (past month, excl. humanitarian aid) [Baseline] broken down by households_whose_...")</f>
        <v>Estimated percentage of total household expenditures spent on 'Other' (past month, excl. humanitarian aid) [Baseline] broken down by households_whose_...</v>
      </c>
      <c r="D801" s="19" t="s">
        <v>47</v>
      </c>
      <c r="E801" s="21">
        <v>1502</v>
      </c>
    </row>
    <row r="802" spans="2:5" x14ac:dyDescent="0.3">
      <c r="B802" s="19" t="s">
        <v>42</v>
      </c>
      <c r="C802" s="20" t="str">
        <f>HYPERLINK("#'Data'!A7214", "Estimated percentage of total household expenditures spent on 'Food' (past month, excl. humanitarian aid) [Baseline] broken down by households_whose_m...")</f>
        <v>Estimated percentage of total household expenditures spent on 'Food' (past month, excl. humanitarian aid) [Baseline] broken down by households_whose_m...</v>
      </c>
      <c r="D802" s="19" t="s">
        <v>47</v>
      </c>
      <c r="E802" s="21">
        <v>1517</v>
      </c>
    </row>
    <row r="803" spans="2:5" x14ac:dyDescent="0.3">
      <c r="B803" s="19" t="s">
        <v>42</v>
      </c>
      <c r="C803" s="20" t="str">
        <f>HYPERLINK("#'Data'!A7287",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803" s="19" t="s">
        <v>47</v>
      </c>
      <c r="E803" s="21">
        <v>1532</v>
      </c>
    </row>
    <row r="804" spans="2:5" hidden="1" x14ac:dyDescent="0.3">
      <c r="B804" s="19" t="s">
        <v>40</v>
      </c>
      <c r="C804" s="20" t="str">
        <f>HYPERLINK("#'Data'!A7360",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804" s="19" t="s">
        <v>47</v>
      </c>
      <c r="E804" s="21">
        <v>1547</v>
      </c>
    </row>
    <row r="805" spans="2:5" hidden="1" x14ac:dyDescent="0.3">
      <c r="B805" s="19" t="s">
        <v>40</v>
      </c>
      <c r="C805" s="20" t="str">
        <f>HYPERLINK("#'Data'!A7430",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805" s="19" t="s">
        <v>47</v>
      </c>
      <c r="E805" s="21">
        <v>1562</v>
      </c>
    </row>
    <row r="806" spans="2:5" hidden="1" x14ac:dyDescent="0.3">
      <c r="B806" s="19" t="s">
        <v>40</v>
      </c>
      <c r="C806" s="20" t="str">
        <f>HYPERLINK("#'Data'!A7503",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806" s="19" t="s">
        <v>47</v>
      </c>
      <c r="E806" s="21">
        <v>1577</v>
      </c>
    </row>
    <row r="807" spans="2:5" hidden="1" x14ac:dyDescent="0.3">
      <c r="B807" s="19" t="s">
        <v>40</v>
      </c>
      <c r="C807" s="20" t="str">
        <f>HYPERLINK("#'Data'!A7574",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807" s="19" t="s">
        <v>47</v>
      </c>
      <c r="E807" s="21">
        <v>1592</v>
      </c>
    </row>
    <row r="808" spans="2:5" hidden="1" x14ac:dyDescent="0.3">
      <c r="B808" s="19" t="s">
        <v>40</v>
      </c>
      <c r="C808" s="20" t="str">
        <f>HYPERLINK("#'Data'!A7646", "Estimated percentage of total household expenditures spent on 'Safe water' (past month, excl. humanitarian aid) [Baseline] broken down by households_w...")</f>
        <v>Estimated percentage of total household expenditures spent on 'Safe water' (past month, excl. humanitarian aid) [Baseline] broken down by households_w...</v>
      </c>
      <c r="D808" s="19" t="s">
        <v>47</v>
      </c>
      <c r="E808" s="21">
        <v>1607</v>
      </c>
    </row>
    <row r="809" spans="2:5" hidden="1" x14ac:dyDescent="0.3">
      <c r="B809" s="19" t="s">
        <v>40</v>
      </c>
      <c r="C809" s="20" t="str">
        <f>HYPERLINK("#'Data'!A7720", "Estimated percentage of total household expenditures spent on 'Utilities' (past month, excl. humanitarian aid) [Baseline] broken down by households_wh...")</f>
        <v>Estimated percentage of total household expenditures spent on 'Utilities' (past month, excl. humanitarian aid) [Baseline] broken down by households_wh...</v>
      </c>
      <c r="D809" s="19" t="s">
        <v>47</v>
      </c>
      <c r="E809" s="21">
        <v>1622</v>
      </c>
    </row>
    <row r="810" spans="2:5" hidden="1" x14ac:dyDescent="0.3">
      <c r="B810" s="19" t="s">
        <v>40</v>
      </c>
      <c r="C810" s="20" t="str">
        <f>HYPERLINK("#'Data'!A7791",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810" s="19" t="s">
        <v>47</v>
      </c>
      <c r="E810" s="21">
        <v>1637</v>
      </c>
    </row>
    <row r="811" spans="2:5" hidden="1" x14ac:dyDescent="0.3">
      <c r="B811" s="19" t="s">
        <v>40</v>
      </c>
      <c r="C811" s="20" t="str">
        <f>HYPERLINK("#'Data'!A7862", "Estimated percentage of total household expenditures spent on 'Rent' (past month, excl. humanitarian aid) [Baseline] broken down by households_whose_m...")</f>
        <v>Estimated percentage of total household expenditures spent on 'Rent' (past month, excl. humanitarian aid) [Baseline] broken down by households_whose_m...</v>
      </c>
      <c r="D811" s="19" t="s">
        <v>47</v>
      </c>
      <c r="E811" s="21">
        <v>1652</v>
      </c>
    </row>
    <row r="812" spans="2:5" hidden="1" x14ac:dyDescent="0.3">
      <c r="B812" s="19" t="s">
        <v>40</v>
      </c>
      <c r="C812" s="20" t="str">
        <f>HYPERLINK("#'Data'!A7931",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812" s="19" t="s">
        <v>47</v>
      </c>
      <c r="E812" s="21">
        <v>1667</v>
      </c>
    </row>
    <row r="813" spans="2:5" hidden="1" x14ac:dyDescent="0.3">
      <c r="B813" s="19" t="s">
        <v>40</v>
      </c>
      <c r="C813" s="20" t="str">
        <f>HYPERLINK("#'Data'!A8004", "Estimated percentage of total household expenditures spent on 'Medication' (past month, excl. humanitarian aid) [Baseline] broken down by households_w...")</f>
        <v>Estimated percentage of total household expenditures spent on 'Medication' (past month, excl. humanitarian aid) [Baseline] broken down by households_w...</v>
      </c>
      <c r="D813" s="19" t="s">
        <v>47</v>
      </c>
      <c r="E813" s="21">
        <v>1682</v>
      </c>
    </row>
    <row r="814" spans="2:5" hidden="1" x14ac:dyDescent="0.3">
      <c r="B814" s="19" t="s">
        <v>40</v>
      </c>
      <c r="C814" s="20" t="str">
        <f>HYPERLINK("#'Data'!A8073",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814" s="19" t="s">
        <v>47</v>
      </c>
      <c r="E814" s="21">
        <v>1697</v>
      </c>
    </row>
    <row r="815" spans="2:5" hidden="1" x14ac:dyDescent="0.3">
      <c r="B815" s="19" t="s">
        <v>40</v>
      </c>
      <c r="C815" s="20" t="str">
        <f>HYPERLINK("#'Data'!A8144",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815" s="19" t="s">
        <v>47</v>
      </c>
      <c r="E815" s="21">
        <v>1712</v>
      </c>
    </row>
    <row r="816" spans="2:5" hidden="1" x14ac:dyDescent="0.3">
      <c r="B816" s="19" t="s">
        <v>40</v>
      </c>
      <c r="C816" s="20" t="str">
        <f>HYPERLINK("#'Data'!A8212",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816" s="19" t="s">
        <v>47</v>
      </c>
      <c r="E816" s="21">
        <v>1727</v>
      </c>
    </row>
    <row r="817" spans="2:5" hidden="1" x14ac:dyDescent="0.3">
      <c r="B817" s="19" t="s">
        <v>40</v>
      </c>
      <c r="C817" s="20" t="str">
        <f>HYPERLINK("#'Data'!A8281",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817" s="19" t="s">
        <v>47</v>
      </c>
      <c r="E817" s="21">
        <v>1742</v>
      </c>
    </row>
    <row r="818" spans="2:5" hidden="1" x14ac:dyDescent="0.3">
      <c r="B818" s="19" t="s">
        <v>40</v>
      </c>
      <c r="C818" s="20" t="str">
        <f>HYPERLINK("#'Data'!A8353",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818" s="19" t="s">
        <v>47</v>
      </c>
      <c r="E818" s="21">
        <v>1757</v>
      </c>
    </row>
    <row r="819" spans="2:5" hidden="1" x14ac:dyDescent="0.3">
      <c r="B819" s="19" t="s">
        <v>40</v>
      </c>
      <c r="C819" s="20" t="str">
        <f>HYPERLINK("#'Data'!A8427",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819" s="19" t="s">
        <v>47</v>
      </c>
      <c r="E819" s="21">
        <v>1772</v>
      </c>
    </row>
    <row r="820" spans="2:5" hidden="1" x14ac:dyDescent="0.3">
      <c r="B820" s="19" t="s">
        <v>40</v>
      </c>
      <c r="C820" s="20" t="str">
        <f>HYPERLINK("#'Data'!A8498",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820" s="19" t="s">
        <v>47</v>
      </c>
      <c r="E820" s="21">
        <v>1787</v>
      </c>
    </row>
    <row r="821" spans="2:5" hidden="1" x14ac:dyDescent="0.3">
      <c r="B821" s="19" t="s">
        <v>40</v>
      </c>
      <c r="C821" s="20" t="str">
        <f>HYPERLINK("#'Data'!A8566", "Estimated percentage of total household expenditures spent on 'Other' (past month, excl. humanitarian aid) [Endline] broken down by households_whose_m...")</f>
        <v>Estimated percentage of total household expenditures spent on 'Other' (past month, excl. humanitarian aid) [Endline] broken down by households_whose_m...</v>
      </c>
      <c r="D821" s="19" t="s">
        <v>47</v>
      </c>
      <c r="E821" s="21">
        <v>1802</v>
      </c>
    </row>
    <row r="822" spans="2:5" hidden="1" x14ac:dyDescent="0.3">
      <c r="B822" s="19" t="s">
        <v>40</v>
      </c>
      <c r="C822" s="20" t="str">
        <f>HYPERLINK("#'Data'!A8638", "Estimated percentage of total household expenditures spent on 'Food' (past month, excl. humanitarian aid) [Endline] broken down by households_whose_me...")</f>
        <v>Estimated percentage of total household expenditures spent on 'Food' (past month, excl. humanitarian aid) [Endline] broken down by households_whose_me...</v>
      </c>
      <c r="D822" s="19" t="s">
        <v>47</v>
      </c>
      <c r="E822" s="21">
        <v>1817</v>
      </c>
    </row>
    <row r="823" spans="2:5" hidden="1" x14ac:dyDescent="0.3">
      <c r="B823" s="19" t="s">
        <v>40</v>
      </c>
      <c r="C823" s="20" t="str">
        <f>HYPERLINK("#'Data'!A8711",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823" s="19" t="s">
        <v>47</v>
      </c>
      <c r="E823" s="21">
        <v>1832</v>
      </c>
    </row>
    <row r="824" spans="2:5" x14ac:dyDescent="0.3">
      <c r="B824" s="19" t="s">
        <v>42</v>
      </c>
      <c r="C824" s="20" t="str">
        <f>HYPERLINK("#'Data'!A8784",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824" s="19" t="s">
        <v>47</v>
      </c>
      <c r="E824" s="21">
        <v>1847</v>
      </c>
    </row>
    <row r="825" spans="2:5" x14ac:dyDescent="0.3">
      <c r="B825" s="19" t="s">
        <v>42</v>
      </c>
      <c r="C825" s="20" t="str">
        <f>HYPERLINK("#'Data'!A8856",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825" s="19" t="s">
        <v>47</v>
      </c>
      <c r="E825" s="21">
        <v>1862</v>
      </c>
    </row>
    <row r="826" spans="2:5" x14ac:dyDescent="0.3">
      <c r="B826" s="19" t="s">
        <v>42</v>
      </c>
      <c r="C826" s="20" t="str">
        <f>HYPERLINK("#'Data'!A8929",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826" s="19" t="s">
        <v>47</v>
      </c>
      <c r="E826" s="21">
        <v>1877</v>
      </c>
    </row>
    <row r="827" spans="2:5" x14ac:dyDescent="0.3">
      <c r="B827" s="19" t="s">
        <v>42</v>
      </c>
      <c r="C827" s="20" t="str">
        <f>HYPERLINK("#'Data'!A9003",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827" s="19" t="s">
        <v>47</v>
      </c>
      <c r="E827" s="21">
        <v>1892</v>
      </c>
    </row>
    <row r="828" spans="2:5" x14ac:dyDescent="0.3">
      <c r="B828" s="19" t="s">
        <v>42</v>
      </c>
      <c r="C828" s="20" t="str">
        <f>HYPERLINK("#'Data'!A9075", "Estimated percentage of total household expenditures spent on 'Safe water' (past month, excl. humanitarian aid) [Endline] broken down by households_wh...")</f>
        <v>Estimated percentage of total household expenditures spent on 'Safe water' (past month, excl. humanitarian aid) [Endline] broken down by households_wh...</v>
      </c>
      <c r="D828" s="19" t="s">
        <v>47</v>
      </c>
      <c r="E828" s="21">
        <v>1907</v>
      </c>
    </row>
    <row r="829" spans="2:5" x14ac:dyDescent="0.3">
      <c r="B829" s="19" t="s">
        <v>42</v>
      </c>
      <c r="C829" s="20" t="str">
        <f>HYPERLINK("#'Data'!A9149", "Estimated percentage of total household expenditures spent on 'Utilities' (past month, excl. humanitarian aid) [Endline] broken down by households_who...")</f>
        <v>Estimated percentage of total household expenditures spent on 'Utilities' (past month, excl. humanitarian aid) [Endline] broken down by households_who...</v>
      </c>
      <c r="D829" s="19" t="s">
        <v>47</v>
      </c>
      <c r="E829" s="21">
        <v>1922</v>
      </c>
    </row>
    <row r="830" spans="2:5" x14ac:dyDescent="0.3">
      <c r="B830" s="19" t="s">
        <v>42</v>
      </c>
      <c r="C830" s="20" t="str">
        <f>HYPERLINK("#'Data'!A9220",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830" s="19" t="s">
        <v>47</v>
      </c>
      <c r="E830" s="21">
        <v>1937</v>
      </c>
    </row>
    <row r="831" spans="2:5" x14ac:dyDescent="0.3">
      <c r="B831" s="19" t="s">
        <v>42</v>
      </c>
      <c r="C831" s="20" t="str">
        <f>HYPERLINK("#'Data'!A9289", "Estimated percentage of total household expenditures spent on 'Rent' (past month, excl. humanitarian aid) [Endline] broken down by households_whose_me...")</f>
        <v>Estimated percentage of total household expenditures spent on 'Rent' (past month, excl. humanitarian aid) [Endline] broken down by households_whose_me...</v>
      </c>
      <c r="D831" s="19" t="s">
        <v>47</v>
      </c>
      <c r="E831" s="21">
        <v>1952</v>
      </c>
    </row>
    <row r="832" spans="2:5" x14ac:dyDescent="0.3">
      <c r="B832" s="19" t="s">
        <v>42</v>
      </c>
      <c r="C832" s="20" t="str">
        <f>HYPERLINK("#'Data'!A9355",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832" s="19" t="s">
        <v>47</v>
      </c>
      <c r="E832" s="21">
        <v>1967</v>
      </c>
    </row>
    <row r="833" spans="2:5" x14ac:dyDescent="0.3">
      <c r="B833" s="19" t="s">
        <v>42</v>
      </c>
      <c r="C833" s="20" t="str">
        <f>HYPERLINK("#'Data'!A9426", "Estimated percentage of total household expenditures spent on 'Medication' (past month, excl. humanitarian aid) [Endline] broken down by households_wh...")</f>
        <v>Estimated percentage of total household expenditures spent on 'Medication' (past month, excl. humanitarian aid) [Endline] broken down by households_wh...</v>
      </c>
      <c r="D833" s="19" t="s">
        <v>47</v>
      </c>
      <c r="E833" s="21">
        <v>1982</v>
      </c>
    </row>
    <row r="834" spans="2:5" x14ac:dyDescent="0.3">
      <c r="B834" s="19" t="s">
        <v>42</v>
      </c>
      <c r="C834" s="20" t="str">
        <f>HYPERLINK("#'Data'!A9493",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834" s="19" t="s">
        <v>47</v>
      </c>
      <c r="E834" s="21">
        <v>1997</v>
      </c>
    </row>
    <row r="835" spans="2:5" x14ac:dyDescent="0.3">
      <c r="B835" s="19" t="s">
        <v>42</v>
      </c>
      <c r="C835" s="20" t="str">
        <f>HYPERLINK("#'Data'!A9560",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835" s="19" t="s">
        <v>47</v>
      </c>
      <c r="E835" s="21">
        <v>2012</v>
      </c>
    </row>
    <row r="836" spans="2:5" x14ac:dyDescent="0.3">
      <c r="B836" s="19" t="s">
        <v>42</v>
      </c>
      <c r="C836" s="20" t="str">
        <f>HYPERLINK("#'Data'!A9629",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836" s="19" t="s">
        <v>47</v>
      </c>
      <c r="E836" s="21">
        <v>2027</v>
      </c>
    </row>
    <row r="837" spans="2:5" x14ac:dyDescent="0.3">
      <c r="B837" s="19" t="s">
        <v>42</v>
      </c>
      <c r="C837" s="20" t="str">
        <f>HYPERLINK("#'Data'!A9692",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837" s="19" t="s">
        <v>47</v>
      </c>
      <c r="E837" s="21">
        <v>2042</v>
      </c>
    </row>
    <row r="838" spans="2:5" x14ac:dyDescent="0.3">
      <c r="B838" s="19" t="s">
        <v>42</v>
      </c>
      <c r="C838" s="20" t="str">
        <f>HYPERLINK("#'Data'!A9760",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838" s="19" t="s">
        <v>47</v>
      </c>
      <c r="E838" s="21">
        <v>2057</v>
      </c>
    </row>
    <row r="839" spans="2:5" x14ac:dyDescent="0.3">
      <c r="B839" s="19" t="s">
        <v>42</v>
      </c>
      <c r="C839" s="20" t="str">
        <f>HYPERLINK("#'Data'!A9833",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839" s="19" t="s">
        <v>47</v>
      </c>
      <c r="E839" s="21">
        <v>2072</v>
      </c>
    </row>
    <row r="840" spans="2:5" x14ac:dyDescent="0.3">
      <c r="B840" s="19" t="s">
        <v>42</v>
      </c>
      <c r="C840" s="20" t="str">
        <f>HYPERLINK("#'Data'!A9904",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840" s="19" t="s">
        <v>47</v>
      </c>
      <c r="E840" s="21">
        <v>2087</v>
      </c>
    </row>
    <row r="841" spans="2:5" hidden="1" x14ac:dyDescent="0.3">
      <c r="B841" s="19" t="s">
        <v>40</v>
      </c>
      <c r="C841" s="20" t="str">
        <f>HYPERLINK("#'Data'!A6",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841" s="19" t="s">
        <v>48</v>
      </c>
      <c r="E841" s="21">
        <v>2</v>
      </c>
    </row>
    <row r="842" spans="2:5" hidden="1" x14ac:dyDescent="0.3">
      <c r="B842" s="19" t="s">
        <v>40</v>
      </c>
      <c r="C842" s="20" t="str">
        <f>HYPERLINK("#'Data'!A80",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842" s="19" t="s">
        <v>48</v>
      </c>
      <c r="E842" s="21">
        <v>17</v>
      </c>
    </row>
    <row r="843" spans="2:5" x14ac:dyDescent="0.3">
      <c r="B843" s="19" t="s">
        <v>42</v>
      </c>
      <c r="C843" s="20" t="str">
        <f>HYPERLINK("#'Data'!A154",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843" s="19" t="s">
        <v>48</v>
      </c>
      <c r="E843" s="21">
        <v>32</v>
      </c>
    </row>
    <row r="844" spans="2:5" x14ac:dyDescent="0.3">
      <c r="B844" s="19" t="s">
        <v>42</v>
      </c>
      <c r="C844" s="20" t="str">
        <f>HYPERLINK("#'Data'!A228",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844" s="19" t="s">
        <v>48</v>
      </c>
      <c r="E844" s="21">
        <v>47</v>
      </c>
    </row>
    <row r="845" spans="2:5" hidden="1" x14ac:dyDescent="0.3">
      <c r="B845" s="19" t="s">
        <v>40</v>
      </c>
      <c r="C845" s="20" t="str">
        <f>HYPERLINK("#'Data'!A302", "Sources of income or financial support  household received in the last month [Baseline] broken down by households_with_3_or_more_children_under_18_yea...")</f>
        <v>Sources of income or financial support  household received in the last month [Baseline] broken down by households_with_3_or_more_children_under_18_yea...</v>
      </c>
      <c r="D845" s="19" t="s">
        <v>48</v>
      </c>
      <c r="E845" s="21">
        <v>62</v>
      </c>
    </row>
    <row r="846" spans="2:5" x14ac:dyDescent="0.3">
      <c r="B846" s="19" t="s">
        <v>42</v>
      </c>
      <c r="C846" s="20" t="str">
        <f>HYPERLINK("#'Data'!A376",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846" s="19" t="s">
        <v>48</v>
      </c>
      <c r="E846" s="21">
        <v>77</v>
      </c>
    </row>
    <row r="847" spans="2:5" hidden="1" x14ac:dyDescent="0.3">
      <c r="B847" s="19" t="s">
        <v>40</v>
      </c>
      <c r="C847" s="20" t="str">
        <f>HYPERLINK("#'Data'!A450",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847" s="19" t="s">
        <v>48</v>
      </c>
      <c r="E847" s="21">
        <v>92</v>
      </c>
    </row>
    <row r="848" spans="2:5" hidden="1" x14ac:dyDescent="0.3">
      <c r="B848" s="19" t="s">
        <v>40</v>
      </c>
      <c r="C848" s="20" t="str">
        <f>HYPERLINK("#'Data'!A524",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848" s="19" t="s">
        <v>48</v>
      </c>
      <c r="E848" s="21">
        <v>107</v>
      </c>
    </row>
    <row r="849" spans="2:5" x14ac:dyDescent="0.3">
      <c r="B849" s="19" t="s">
        <v>42</v>
      </c>
      <c r="C849" s="20" t="str">
        <f>HYPERLINK("#'Data'!A598",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849" s="19" t="s">
        <v>48</v>
      </c>
      <c r="E849" s="21">
        <v>122</v>
      </c>
    </row>
    <row r="850" spans="2:5" x14ac:dyDescent="0.3">
      <c r="B850" s="19" t="s">
        <v>42</v>
      </c>
      <c r="C850" s="20" t="str">
        <f>HYPERLINK("#'Data'!A672",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850" s="19" t="s">
        <v>48</v>
      </c>
      <c r="E850" s="21">
        <v>137</v>
      </c>
    </row>
    <row r="851" spans="2:5" hidden="1" x14ac:dyDescent="0.3">
      <c r="B851" s="19" t="s">
        <v>40</v>
      </c>
      <c r="C851" s="20" t="str">
        <f>HYPERLINK("#'Data'!A746", "Household expenditures by category over the past 30 days [or month] in UAH [Baseline] broken down by households_with_3_or_more_children_under_18_years...")</f>
        <v>Household expenditures by category over the past 30 days [or month] in UAH [Baseline] broken down by households_with_3_or_more_children_under_18_years...</v>
      </c>
      <c r="D851" s="19" t="s">
        <v>48</v>
      </c>
      <c r="E851" s="21">
        <v>152</v>
      </c>
    </row>
    <row r="852" spans="2:5" x14ac:dyDescent="0.3">
      <c r="B852" s="19" t="s">
        <v>42</v>
      </c>
      <c r="C852" s="20" t="str">
        <f>HYPERLINK("#'Data'!A820", "Household expenditures by category over the past 30 days [or month] in UAH [Endline] broken down by households_with_3_or_more_children_under_18_years_...")</f>
        <v>Household expenditures by category over the past 30 days [or month] in UAH [Endline] broken down by households_with_3_or_more_children_under_18_years_...</v>
      </c>
      <c r="D852" s="19" t="s">
        <v>48</v>
      </c>
      <c r="E852" s="21">
        <v>167</v>
      </c>
    </row>
    <row r="853" spans="2:5" hidden="1" x14ac:dyDescent="0.3">
      <c r="B853" s="19" t="s">
        <v>40</v>
      </c>
      <c r="C853" s="20" t="str">
        <f>HYPERLINK("#'Data'!A894", "Household's ability to meet basic needs (self-defined and prioritized) [Baseline] broken down by households_with_3_or_more_children_under_18_years_of_...")</f>
        <v>Household's ability to meet basic needs (self-defined and prioritized) [Baseline] broken down by households_with_3_or_more_children_under_18_years_of_...</v>
      </c>
      <c r="D853" s="19" t="s">
        <v>48</v>
      </c>
      <c r="E853" s="21">
        <v>182</v>
      </c>
    </row>
    <row r="854" spans="2:5" x14ac:dyDescent="0.3">
      <c r="B854" s="19" t="s">
        <v>42</v>
      </c>
      <c r="C854" s="20" t="str">
        <f>HYPERLINK("#'Data'!A968", "Household's ability to meet basic needs (self-defined and prioritized) [Endline] broken down by households_with_3_or_more_children_under_18_years_of_a...")</f>
        <v>Household's ability to meet basic needs (self-defined and prioritized) [Endline] broken down by households_with_3_or_more_children_under_18_years_of_a...</v>
      </c>
      <c r="D854" s="19" t="s">
        <v>48</v>
      </c>
      <c r="E854" s="21">
        <v>197</v>
      </c>
    </row>
    <row r="855" spans="2:5" hidden="1" x14ac:dyDescent="0.3">
      <c r="B855" s="19" t="s">
        <v>40</v>
      </c>
      <c r="C855" s="20" t="str">
        <f>HYPERLINK("#'Data'!A1042", "Basic needs the household is currently unable to fulfill (if not all are met) [Baseline] broken down by households_with_3_or_more_children_under_18_ye...")</f>
        <v>Basic needs the household is currently unable to fulfill (if not all are met) [Baseline] broken down by households_with_3_or_more_children_under_18_ye...</v>
      </c>
      <c r="D855" s="19" t="s">
        <v>48</v>
      </c>
      <c r="E855" s="21">
        <v>212</v>
      </c>
    </row>
    <row r="856" spans="2:5" x14ac:dyDescent="0.3">
      <c r="B856" s="19" t="s">
        <v>42</v>
      </c>
      <c r="C856" s="20" t="str">
        <f>HYPERLINK("#'Data'!A1116", "Basic needs the household is currently unable to fulfill (if not all are met) [Endline] broken down by households_with_3_or_more_children_under_18_yea...")</f>
        <v>Basic needs the household is currently unable to fulfill (if not all are met) [Endline] broken down by households_with_3_or_more_children_under_18_yea...</v>
      </c>
      <c r="D856" s="19" t="s">
        <v>48</v>
      </c>
      <c r="E856" s="21">
        <v>227</v>
      </c>
    </row>
    <row r="857" spans="2:5" hidden="1" x14ac:dyDescent="0.3">
      <c r="B857" s="19" t="s">
        <v>40</v>
      </c>
      <c r="C857" s="20" t="str">
        <f>HYPERLINK("#'Data'!A1190", "Coping strategies used in the last 30 days due to insufficient resources to meet basic needs [Baseline] broken down by households_with_3_or_more_child...")</f>
        <v>Coping strategies used in the last 30 days due to insufficient resources to meet basic needs [Baseline] broken down by households_with_3_or_more_child...</v>
      </c>
      <c r="D857" s="19" t="s">
        <v>48</v>
      </c>
      <c r="E857" s="21">
        <v>242</v>
      </c>
    </row>
    <row r="858" spans="2:5" x14ac:dyDescent="0.3">
      <c r="B858" s="19" t="s">
        <v>42</v>
      </c>
      <c r="C858" s="20" t="str">
        <f>HYPERLINK("#'Data'!A1264", "Coping strategies used in the last 30 days due to insufficient resources to meet basic needs [Endline] broken down by households_with_3_or_more_childr...")</f>
        <v>Coping strategies used in the last 30 days due to insufficient resources to meet basic needs [Endline] broken down by households_with_3_or_more_childr...</v>
      </c>
      <c r="D858" s="19" t="s">
        <v>48</v>
      </c>
      <c r="E858" s="21">
        <v>257</v>
      </c>
    </row>
    <row r="859" spans="2:5" x14ac:dyDescent="0.3">
      <c r="B859" s="19" t="s">
        <v>42</v>
      </c>
      <c r="C859" s="20" t="str">
        <f>HYPERLINK("#'Data'!A1338", "Coping strategies avoided in the past 3 months due to receipt of MPCA [Endline] broken down by households_with_3_or_more_children_under_18_years_of_ag...")</f>
        <v>Coping strategies avoided in the past 3 months due to receipt of MPCA [Endline] broken down by households_with_3_or_more_children_under_18_years_of_ag...</v>
      </c>
      <c r="D859" s="19" t="s">
        <v>48</v>
      </c>
      <c r="E859" s="21">
        <v>272</v>
      </c>
    </row>
    <row r="860" spans="2:5" hidden="1" x14ac:dyDescent="0.3">
      <c r="B860" s="19" t="s">
        <v>40</v>
      </c>
      <c r="C860" s="20" t="str">
        <f>HYPERLINK("#'Data'!A1412", "Household perception of relevance of forthcoming MPCA (3,600 UAH for 3 months per member) [Baseline] broken down by households_with_3_or_more_children...")</f>
        <v>Household perception of relevance of forthcoming MPCA (3,600 UAH for 3 months per member) [Baseline] broken down by households_with_3_or_more_children...</v>
      </c>
      <c r="D860" s="19" t="s">
        <v>48</v>
      </c>
      <c r="E860" s="21">
        <v>287</v>
      </c>
    </row>
    <row r="861" spans="2:5" hidden="1" x14ac:dyDescent="0.3">
      <c r="B861" s="19" t="s">
        <v>40</v>
      </c>
      <c r="C861" s="20" t="str">
        <f>HYPERLINK("#'Data'!A1486", "Estimated percentage of household needs met by upcoming MPCA (if partially appropriate) [Baseline] broken down by households_with_3_or_more_children_u...")</f>
        <v>Estimated percentage of household needs met by upcoming MPCA (if partially appropriate) [Baseline] broken down by households_with_3_or_more_children_u...</v>
      </c>
      <c r="D861" s="19" t="s">
        <v>48</v>
      </c>
      <c r="E861" s="21">
        <v>302</v>
      </c>
    </row>
    <row r="862" spans="2:5" x14ac:dyDescent="0.3">
      <c r="B862" s="19" t="s">
        <v>42</v>
      </c>
      <c r="C862" s="20" t="str">
        <f>HYPERLINK("#'Data'!A1560", "Household opinion on adequacy of received MPCA (3,600 UAH for 3 months per member) [Endline] broken down by households_with_3_or_more_children_under_1...")</f>
        <v>Household opinion on adequacy of received MPCA (3,600 UAH for 3 months per member) [Endline] broken down by households_with_3_or_more_children_under_1...</v>
      </c>
      <c r="D862" s="19" t="s">
        <v>48</v>
      </c>
      <c r="E862" s="21">
        <v>317</v>
      </c>
    </row>
    <row r="863" spans="2:5" x14ac:dyDescent="0.3">
      <c r="B863" s="19" t="s">
        <v>42</v>
      </c>
      <c r="C863" s="20" t="str">
        <f>HYPERLINK("#'Data'!A1634", "Estimated percentage of household needs met by received MPCA (if partially appropriate) [Endline] broken down by households_with_3_or_more_children_un...")</f>
        <v>Estimated percentage of household needs met by received MPCA (if partially appropriate) [Endline] broken down by households_with_3_or_more_children_un...</v>
      </c>
      <c r="D863" s="19" t="s">
        <v>48</v>
      </c>
      <c r="E863" s="21">
        <v>332</v>
      </c>
    </row>
    <row r="864" spans="2:5" x14ac:dyDescent="0.3">
      <c r="B864" s="19" t="s">
        <v>42</v>
      </c>
      <c r="C864" s="20" t="str">
        <f>HYPERLINK("#'Data'!A1720", "Whether the household has already spent the received MPCA [Endline] broken down by households_with_3_or_more_children_under_18_years_of_age on the adm...")</f>
        <v>Whether the household has already spent the received MPCA [Endline] broken down by households_with_3_or_more_children_under_18_years_of_age on the adm...</v>
      </c>
      <c r="D864" s="19" t="s">
        <v>48</v>
      </c>
      <c r="E864" s="21">
        <v>350</v>
      </c>
    </row>
    <row r="865" spans="2:5" x14ac:dyDescent="0.3">
      <c r="B865" s="19" t="s">
        <v>42</v>
      </c>
      <c r="C865" s="20" t="str">
        <f>HYPERLINK("#'Data'!A1794", "Number of weeks MPCA lasted if fully spent [Endline] broken down by households_with_3_or_more_children_under_18_years_of_age on the admin of Overall m...")</f>
        <v>Number of weeks MPCA lasted if fully spent [Endline] broken down by households_with_3_or_more_children_under_18_years_of_age on the admin of Overall m...</v>
      </c>
      <c r="D865" s="19" t="s">
        <v>48</v>
      </c>
      <c r="E865" s="21">
        <v>365</v>
      </c>
    </row>
    <row r="866" spans="2:5" x14ac:dyDescent="0.3">
      <c r="B866" s="19" t="s">
        <v>42</v>
      </c>
      <c r="C866" s="20" t="str">
        <f>HYPERLINK("#'Data'!A1868", "Percentage of MPCA spent to date (if partially used) [Endline] broken down by households_with_3_or_more_children_under_18_years_of_age on the admin of...")</f>
        <v>Percentage of MPCA spent to date (if partially used) [Endline] broken down by households_with_3_or_more_children_under_18_years_of_age on the admin of...</v>
      </c>
      <c r="D866" s="19" t="s">
        <v>48</v>
      </c>
      <c r="E866" s="21">
        <v>380</v>
      </c>
    </row>
    <row r="867" spans="2:5" x14ac:dyDescent="0.3">
      <c r="B867" s="19" t="s">
        <v>42</v>
      </c>
      <c r="C867" s="20" t="str">
        <f>HYPERLINK("#'Data'!A1942", "Extent to which received MPCA helped cover household needs during usage period [Endline] broken down by households_with_3_or_more_children_under_18_ye...")</f>
        <v>Extent to which received MPCA helped cover household needs during usage period [Endline] broken down by households_with_3_or_more_children_under_18_ye...</v>
      </c>
      <c r="D867" s="19" t="s">
        <v>48</v>
      </c>
      <c r="E867" s="21">
        <v>395</v>
      </c>
    </row>
    <row r="868" spans="2:5" x14ac:dyDescent="0.3">
      <c r="B868" s="19" t="s">
        <v>42</v>
      </c>
      <c r="C868" s="20" t="str">
        <f>HYPERLINK("#'Data'!A2016", "Percentage of needs covered by MPCA (if partially met) [Endline] broken down by households_with_3_or_more_children_under_18_years_of_age on the admin ...")</f>
        <v>Percentage of needs covered by MPCA (if partially met) [Endline] broken down by households_with_3_or_more_children_under_18_years_of_age on the admin ...</v>
      </c>
      <c r="D868" s="19" t="s">
        <v>48</v>
      </c>
      <c r="E868" s="21">
        <v>410</v>
      </c>
    </row>
    <row r="869" spans="2:5" hidden="1" x14ac:dyDescent="0.3">
      <c r="B869" s="19" t="s">
        <v>40</v>
      </c>
      <c r="C869" s="20" t="str">
        <f>HYPERLINK("#'Data'!A2090", "Priority needs requiring financial aid, with importance level [Baseline] broken down by households_with_3_or_more_children_under_18_years_of_age on th...")</f>
        <v>Priority needs requiring financial aid, with importance level [Baseline] broken down by households_with_3_or_more_children_under_18_years_of_age on th...</v>
      </c>
      <c r="D869" s="19" t="s">
        <v>48</v>
      </c>
      <c r="E869" s="21">
        <v>425</v>
      </c>
    </row>
    <row r="870" spans="2:5" hidden="1" x14ac:dyDescent="0.3">
      <c r="B870" s="19" t="s">
        <v>40</v>
      </c>
      <c r="C870" s="20" t="str">
        <f>HYPERLINK("#'Data'!A2164", "Importance rating for 'Other' priority need requiring financial assistance [Baseline] broken down by households_with_3_or_more_children_under_18_years...")</f>
        <v>Importance rating for 'Other' priority need requiring financial assistance [Baseline] broken down by households_with_3_or_more_children_under_18_years...</v>
      </c>
      <c r="D870" s="19" t="s">
        <v>48</v>
      </c>
      <c r="E870" s="21">
        <v>440</v>
      </c>
    </row>
    <row r="871" spans="2:5" hidden="1" x14ac:dyDescent="0.3">
      <c r="B871" s="19" t="s">
        <v>40</v>
      </c>
      <c r="C871" s="20" t="str">
        <f>HYPERLINK("#'Data'!A2236", "Importance rating for 'Food' priority need requiring financial assistance [Baseline] broken down by households_with_3_or_more_children_under_18_years_...")</f>
        <v>Importance rating for 'Food' priority need requiring financial assistance [Baseline] broken down by households_with_3_or_more_children_under_18_years_...</v>
      </c>
      <c r="D871" s="19" t="s">
        <v>48</v>
      </c>
      <c r="E871" s="21">
        <v>455</v>
      </c>
    </row>
    <row r="872" spans="2:5" hidden="1" x14ac:dyDescent="0.3">
      <c r="B872" s="19" t="s">
        <v>40</v>
      </c>
      <c r="C872" s="20" t="str">
        <f>HYPERLINK("#'Data'!A2310", "Importance rating for 'Personal hygiene' priority need requiring financial assistance [Baseline] broken down by households_with_3_or_more_children_und...")</f>
        <v>Importance rating for 'Personal hygiene' priority need requiring financial assistance [Baseline] broken down by households_with_3_or_more_children_und...</v>
      </c>
      <c r="D872" s="19" t="s">
        <v>48</v>
      </c>
      <c r="E872" s="21">
        <v>470</v>
      </c>
    </row>
    <row r="873" spans="2:5" hidden="1" x14ac:dyDescent="0.3">
      <c r="B873" s="19" t="s">
        <v>40</v>
      </c>
      <c r="C873" s="20" t="str">
        <f>HYPERLINK("#'Data'!A2382", "Importance rating for 'Cleaning items' priority need requiring financial assistance [Baseline] broken down by households_with_3_or_more_children_under...")</f>
        <v>Importance rating for 'Cleaning items' priority need requiring financial assistance [Baseline] broken down by households_with_3_or_more_children_under...</v>
      </c>
      <c r="D873" s="19" t="s">
        <v>48</v>
      </c>
      <c r="E873" s="21">
        <v>485</v>
      </c>
    </row>
    <row r="874" spans="2:5" hidden="1" x14ac:dyDescent="0.3">
      <c r="B874" s="19" t="s">
        <v>40</v>
      </c>
      <c r="C874" s="20" t="str">
        <f>HYPERLINK("#'Data'!A2447", "Importance rating for 'Non-food items' priority need requiring financial assistance [Baseline] broken down by households_with_3_or_more_children_under...")</f>
        <v>Importance rating for 'Non-food items' priority need requiring financial assistance [Baseline] broken down by households_with_3_or_more_children_under...</v>
      </c>
      <c r="D874" s="19" t="s">
        <v>48</v>
      </c>
      <c r="E874" s="21">
        <v>500</v>
      </c>
    </row>
    <row r="875" spans="2:5" hidden="1" x14ac:dyDescent="0.3">
      <c r="B875" s="19" t="s">
        <v>40</v>
      </c>
      <c r="C875" s="20" t="str">
        <f>HYPERLINK("#'Data'!A2512", "Importance rating for 'Clothing and shoes' priority need requiring financial assistance [Baseline] broken down by households_with_3_or_more_children_u...")</f>
        <v>Importance rating for 'Clothing and shoes' priority need requiring financial assistance [Baseline] broken down by households_with_3_or_more_children_u...</v>
      </c>
      <c r="D875" s="19" t="s">
        <v>48</v>
      </c>
      <c r="E875" s="21">
        <v>515</v>
      </c>
    </row>
    <row r="876" spans="2:5" hidden="1" x14ac:dyDescent="0.3">
      <c r="B876" s="19" t="s">
        <v>40</v>
      </c>
      <c r="C876" s="20" t="str">
        <f>HYPERLINK("#'Data'!A2585", "Importance rating for 'Heating fuel' priority need requiring financial assistance [Baseline] broken down by households_with_3_or_more_children_under_1...")</f>
        <v>Importance rating for 'Heating fuel' priority need requiring financial assistance [Baseline] broken down by households_with_3_or_more_children_under_1...</v>
      </c>
      <c r="D876" s="19" t="s">
        <v>48</v>
      </c>
      <c r="E876" s="21">
        <v>530</v>
      </c>
    </row>
    <row r="877" spans="2:5" hidden="1" x14ac:dyDescent="0.3">
      <c r="B877" s="19" t="s">
        <v>40</v>
      </c>
      <c r="C877" s="20" t="str">
        <f>HYPERLINK("#'Data'!A2658", "Importance rating for 'Safe water' priority need requiring financial assistance [Baseline] broken down by households_with_3_or_more_children_under_18_...")</f>
        <v>Importance rating for 'Safe water' priority need requiring financial assistance [Baseline] broken down by households_with_3_or_more_children_under_18_...</v>
      </c>
      <c r="D877" s="19" t="s">
        <v>48</v>
      </c>
      <c r="E877" s="21">
        <v>545</v>
      </c>
    </row>
    <row r="878" spans="2:5" hidden="1" x14ac:dyDescent="0.3">
      <c r="B878" s="19" t="s">
        <v>40</v>
      </c>
      <c r="C878" s="20" t="str">
        <f>HYPERLINK("#'Data'!A2718", "Importance rating for 'Utilities' priority need requiring financial assistance [Baseline] broken down by households_with_3_or_more_children_under_18_y...")</f>
        <v>Importance rating for 'Utilities' priority need requiring financial assistance [Baseline] broken down by households_with_3_or_more_children_under_18_y...</v>
      </c>
      <c r="D878" s="19" t="s">
        <v>48</v>
      </c>
      <c r="E878" s="21">
        <v>560</v>
      </c>
    </row>
    <row r="879" spans="2:5" hidden="1" x14ac:dyDescent="0.3">
      <c r="B879" s="19" t="s">
        <v>40</v>
      </c>
      <c r="C879" s="20" t="str">
        <f>HYPERLINK("#'Data'!A2792", "Importance rating for 'Water supply' priority need requiring financial assistance [Baseline] broken down by households_with_3_or_more_children_under_1...")</f>
        <v>Importance rating for 'Water supply' priority need requiring financial assistance [Baseline] broken down by households_with_3_or_more_children_under_1...</v>
      </c>
      <c r="D879" s="19" t="s">
        <v>48</v>
      </c>
      <c r="E879" s="21">
        <v>575</v>
      </c>
    </row>
    <row r="880" spans="2:5" hidden="1" x14ac:dyDescent="0.3">
      <c r="B880" s="19" t="s">
        <v>40</v>
      </c>
      <c r="C880" s="20" t="str">
        <f>HYPERLINK("#'Data'!A2852", "Importance rating for 'Rent' priority need requiring financial assistance [Baseline] broken down by households_with_3_or_more_children_under_18_years_...")</f>
        <v>Importance rating for 'Rent' priority need requiring financial assistance [Baseline] broken down by households_with_3_or_more_children_under_18_years_...</v>
      </c>
      <c r="D880" s="19" t="s">
        <v>48</v>
      </c>
      <c r="E880" s="21">
        <v>590</v>
      </c>
    </row>
    <row r="881" spans="2:5" hidden="1" x14ac:dyDescent="0.3">
      <c r="B881" s="19" t="s">
        <v>40</v>
      </c>
      <c r="C881" s="20" t="str">
        <f>HYPERLINK("#'Data'!A2918", "Importance rating for 'Medication' priority need requiring financial assistance [Baseline] broken down by households_with_3_or_more_children_under_18_...")</f>
        <v>Importance rating for 'Medication' priority need requiring financial assistance [Baseline] broken down by households_with_3_or_more_children_under_18_...</v>
      </c>
      <c r="D881" s="19" t="s">
        <v>48</v>
      </c>
      <c r="E881" s="21">
        <v>605</v>
      </c>
    </row>
    <row r="882" spans="2:5" hidden="1" x14ac:dyDescent="0.3">
      <c r="B882" s="19" t="s">
        <v>40</v>
      </c>
      <c r="C882" s="20" t="str">
        <f>HYPERLINK("#'Data'!A2992", "Importance rating for 'Agricultural inputs' priority need requiring financial assistance [Baseline] broken down by households_with_3_or_more_children_...")</f>
        <v>Importance rating for 'Agricultural inputs' priority need requiring financial assistance [Baseline] broken down by households_with_3_or_more_children_...</v>
      </c>
      <c r="D882" s="19" t="s">
        <v>48</v>
      </c>
      <c r="E882" s="21">
        <v>620</v>
      </c>
    </row>
    <row r="883" spans="2:5" hidden="1" x14ac:dyDescent="0.3">
      <c r="B883" s="19" t="s">
        <v>40</v>
      </c>
      <c r="C883" s="20" t="str">
        <f>HYPERLINK("#'Data'!A3060", "Importance rating for 'Shelter maintenance' priority need requiring financial assistance [Baseline] broken down by households_with_3_or_more_children_...")</f>
        <v>Importance rating for 'Shelter maintenance' priority need requiring financial assistance [Baseline] broken down by households_with_3_or_more_children_...</v>
      </c>
      <c r="D883" s="19" t="s">
        <v>48</v>
      </c>
      <c r="E883" s="21">
        <v>635</v>
      </c>
    </row>
    <row r="884" spans="2:5" hidden="1" x14ac:dyDescent="0.3">
      <c r="B884" s="19" t="s">
        <v>40</v>
      </c>
      <c r="C884" s="20" t="str">
        <f>HYPERLINK("#'Data'!A3130", "Importance rating for 'Transportation' priority need requiring financial assistance [Baseline] broken down by households_with_3_or_more_children_under...")</f>
        <v>Importance rating for 'Transportation' priority need requiring financial assistance [Baseline] broken down by households_with_3_or_more_children_under...</v>
      </c>
      <c r="D884" s="19" t="s">
        <v>48</v>
      </c>
      <c r="E884" s="21">
        <v>650</v>
      </c>
    </row>
    <row r="885" spans="2:5" hidden="1" x14ac:dyDescent="0.3">
      <c r="B885" s="19" t="s">
        <v>40</v>
      </c>
      <c r="C885" s="20" t="str">
        <f>HYPERLINK("#'Data'!A3194", "Importance rating for 'Communication' priority need requiring financial assistance [Baseline] broken down by households_with_3_or_more_children_under_...")</f>
        <v>Importance rating for 'Communication' priority need requiring financial assistance [Baseline] broken down by households_with_3_or_more_children_under_...</v>
      </c>
      <c r="D885" s="19" t="s">
        <v>48</v>
      </c>
      <c r="E885" s="21">
        <v>665</v>
      </c>
    </row>
    <row r="886" spans="2:5" hidden="1" x14ac:dyDescent="0.3">
      <c r="B886" s="19" t="s">
        <v>40</v>
      </c>
      <c r="C886" s="20" t="str">
        <f>HYPERLINK("#'Data'!A3255", "Importance rating for 'Education materials' priority need requiring financial assistance [Baseline] broken down by households_with_3_or_more_children_...")</f>
        <v>Importance rating for 'Education materials' priority need requiring financial assistance [Baseline] broken down by households_with_3_or_more_children_...</v>
      </c>
      <c r="D886" s="19" t="s">
        <v>48</v>
      </c>
      <c r="E886" s="21">
        <v>680</v>
      </c>
    </row>
    <row r="887" spans="2:5" hidden="1" x14ac:dyDescent="0.3">
      <c r="B887" s="19" t="s">
        <v>40</v>
      </c>
      <c r="C887" s="20" t="str">
        <f>HYPERLINK("#'Data'!A3324", "Household needs met exclusively due to MPCA and their fulfillment level [Endline] broken down by households_with_3_or_more_children_under_18_years_of_...")</f>
        <v>Household needs met exclusively due to MPCA and their fulfillment level [Endline] broken down by households_with_3_or_more_children_under_18_years_of_...</v>
      </c>
      <c r="D887" s="19" t="s">
        <v>48</v>
      </c>
      <c r="E887" s="21">
        <v>695</v>
      </c>
    </row>
    <row r="888" spans="2:5" hidden="1" x14ac:dyDescent="0.3">
      <c r="B888" s="19" t="s">
        <v>40</v>
      </c>
      <c r="C888" s="20" t="str">
        <f>HYPERLINK("#'Data'!A3398", "Fulfillment level of 'Other' need met exclusively due to MPCA [Endline] broken down by households_with_3_or_more_children_under_18_years_of_age on the...")</f>
        <v>Fulfillment level of 'Other' need met exclusively due to MPCA [Endline] broken down by households_with_3_or_more_children_under_18_years_of_age on the...</v>
      </c>
      <c r="D888" s="19" t="s">
        <v>48</v>
      </c>
      <c r="E888" s="21">
        <v>710</v>
      </c>
    </row>
    <row r="889" spans="2:5" hidden="1" x14ac:dyDescent="0.3">
      <c r="B889" s="19" t="s">
        <v>40</v>
      </c>
      <c r="C889" s="20" t="str">
        <f>HYPERLINK("#'Data'!A3470", "Fulfillment level of 'Food' need met exclusively due to MPCA [Endline] broken down by households_with_3_or_more_children_under_18_years_of_age on the ...")</f>
        <v>Fulfillment level of 'Food' need met exclusively due to MPCA [Endline] broken down by households_with_3_or_more_children_under_18_years_of_age on the ...</v>
      </c>
      <c r="D889" s="19" t="s">
        <v>48</v>
      </c>
      <c r="E889" s="21">
        <v>725</v>
      </c>
    </row>
    <row r="890" spans="2:5" x14ac:dyDescent="0.3">
      <c r="B890" s="19" t="s">
        <v>42</v>
      </c>
      <c r="C890" s="20" t="str">
        <f>HYPERLINK("#'Data'!A3543", "Fulfillment level of 'Personal hygiene' need met exclusively due to MPCA [Endline] broken down by households_with_3_or_more_children_under_18_years_of...")</f>
        <v>Fulfillment level of 'Personal hygiene' need met exclusively due to MPCA [Endline] broken down by households_with_3_or_more_children_under_18_years_of...</v>
      </c>
      <c r="D890" s="19" t="s">
        <v>48</v>
      </c>
      <c r="E890" s="21">
        <v>740</v>
      </c>
    </row>
    <row r="891" spans="2:5" x14ac:dyDescent="0.3">
      <c r="B891" s="19" t="s">
        <v>42</v>
      </c>
      <c r="C891" s="20" t="str">
        <f>HYPERLINK("#'Data'!A3614", "Fulfillment level of 'Cleaning items' need met exclusively due to MPCA [Endline] broken down by households_with_3_or_more_children_under_18_years_of_a...")</f>
        <v>Fulfillment level of 'Cleaning items' need met exclusively due to MPCA [Endline] broken down by households_with_3_or_more_children_under_18_years_of_a...</v>
      </c>
      <c r="D891" s="19" t="s">
        <v>48</v>
      </c>
      <c r="E891" s="21">
        <v>755</v>
      </c>
    </row>
    <row r="892" spans="2:5" x14ac:dyDescent="0.3">
      <c r="B892" s="19" t="s">
        <v>42</v>
      </c>
      <c r="C892" s="20" t="str">
        <f>HYPERLINK("#'Data'!A3685", "Fulfillment level of 'Non-food items' need met exclusively due to MPCA [Endline] broken down by households_with_3_or_more_children_under_18_years_of_a...")</f>
        <v>Fulfillment level of 'Non-food items' need met exclusively due to MPCA [Endline] broken down by households_with_3_or_more_children_under_18_years_of_a...</v>
      </c>
      <c r="D892" s="19" t="s">
        <v>48</v>
      </c>
      <c r="E892" s="21">
        <v>770</v>
      </c>
    </row>
    <row r="893" spans="2:5" x14ac:dyDescent="0.3">
      <c r="B893" s="19" t="s">
        <v>42</v>
      </c>
      <c r="C893" s="20" t="str">
        <f>HYPERLINK("#'Data'!A3755", "Fulfillment level of 'Clothing and shoes' need met exclusively due to MPCA [Endline] broken down by households_with_3_or_more_children_under_18_years_...")</f>
        <v>Fulfillment level of 'Clothing and shoes' need met exclusively due to MPCA [Endline] broken down by households_with_3_or_more_children_under_18_years_...</v>
      </c>
      <c r="D893" s="19" t="s">
        <v>48</v>
      </c>
      <c r="E893" s="21">
        <v>785</v>
      </c>
    </row>
    <row r="894" spans="2:5" x14ac:dyDescent="0.3">
      <c r="B894" s="19" t="s">
        <v>42</v>
      </c>
      <c r="C894" s="20" t="str">
        <f>HYPERLINK("#'Data'!A3828", "Fulfillment level of 'Heating fuel' need met exclusively due to MPCA [Endline] broken down by households_with_3_or_more_children_under_18_years_of_age...")</f>
        <v>Fulfillment level of 'Heating fuel' need met exclusively due to MPCA [Endline] broken down by households_with_3_or_more_children_under_18_years_of_age...</v>
      </c>
      <c r="D894" s="19" t="s">
        <v>48</v>
      </c>
      <c r="E894" s="21">
        <v>800</v>
      </c>
    </row>
    <row r="895" spans="2:5" x14ac:dyDescent="0.3">
      <c r="B895" s="19" t="s">
        <v>42</v>
      </c>
      <c r="C895" s="20" t="str">
        <f>HYPERLINK("#'Data'!A3902", "Fulfillment level of 'Safe water' need met exclusively due to MPCA [Endline] broken down by households_with_3_or_more_children_under_18_years_of_age o...")</f>
        <v>Fulfillment level of 'Safe water' need met exclusively due to MPCA [Endline] broken down by households_with_3_or_more_children_under_18_years_of_age o...</v>
      </c>
      <c r="D895" s="19" t="s">
        <v>48</v>
      </c>
      <c r="E895" s="21">
        <v>815</v>
      </c>
    </row>
    <row r="896" spans="2:5" x14ac:dyDescent="0.3">
      <c r="B896" s="19" t="s">
        <v>42</v>
      </c>
      <c r="C896" s="20" t="str">
        <f>HYPERLINK("#'Data'!A3965", "Fulfillment level of 'Utilities' need met exclusively due to MPCA [Endline] broken down by households_with_3_or_more_children_under_18_years_of_age on...")</f>
        <v>Fulfillment level of 'Utilities' need met exclusively due to MPCA [Endline] broken down by households_with_3_or_more_children_under_18_years_of_age on...</v>
      </c>
      <c r="D896" s="19" t="s">
        <v>48</v>
      </c>
      <c r="E896" s="21">
        <v>830</v>
      </c>
    </row>
    <row r="897" spans="2:5" x14ac:dyDescent="0.3">
      <c r="B897" s="19" t="s">
        <v>42</v>
      </c>
      <c r="C897" s="20" t="str">
        <f>HYPERLINK("#'Data'!A4039", "Fulfillment level of 'Water supply' need met exclusively due to MPCA [Endline] broken down by households_with_3_or_more_children_under_18_years_of_age...")</f>
        <v>Fulfillment level of 'Water supply' need met exclusively due to MPCA [Endline] broken down by households_with_3_or_more_children_under_18_years_of_age...</v>
      </c>
      <c r="D897" s="19" t="s">
        <v>48</v>
      </c>
      <c r="E897" s="21">
        <v>845</v>
      </c>
    </row>
    <row r="898" spans="2:5" x14ac:dyDescent="0.3">
      <c r="B898" s="19" t="s">
        <v>42</v>
      </c>
      <c r="C898" s="20" t="str">
        <f>HYPERLINK("#'Data'!A4106", "Fulfillment level of 'Rent' need met exclusively due to MPCA [Endline] broken down by households_with_3_or_more_children_under_18_years_of_age on the ...")</f>
        <v>Fulfillment level of 'Rent' need met exclusively due to MPCA [Endline] broken down by households_with_3_or_more_children_under_18_years_of_age on the ...</v>
      </c>
      <c r="D898" s="19" t="s">
        <v>48</v>
      </c>
      <c r="E898" s="21">
        <v>860</v>
      </c>
    </row>
    <row r="899" spans="2:5" x14ac:dyDescent="0.3">
      <c r="B899" s="19" t="s">
        <v>42</v>
      </c>
      <c r="C899" s="20" t="str">
        <f>HYPERLINK("#'Data'!A4177", "Fulfillment level of 'Assistive products' need met exclusively due to MPCA [Endline] broken down by households_with_3_or_more_children_under_18_years_...")</f>
        <v>Fulfillment level of 'Assistive products' need met exclusively due to MPCA [Endline] broken down by households_with_3_or_more_children_under_18_years_...</v>
      </c>
      <c r="D899" s="19" t="s">
        <v>48</v>
      </c>
      <c r="E899" s="21">
        <v>875</v>
      </c>
    </row>
    <row r="900" spans="2:5" x14ac:dyDescent="0.3">
      <c r="B900" s="19" t="s">
        <v>42</v>
      </c>
      <c r="C900" s="20" t="str">
        <f>HYPERLINK("#'Data'!A4237", "Fulfillment level of 'Medication' need met exclusively due to MPCA [Endline] broken down by households_with_3_or_more_children_under_18_years_of_age o...")</f>
        <v>Fulfillment level of 'Medication' need met exclusively due to MPCA [Endline] broken down by households_with_3_or_more_children_under_18_years_of_age o...</v>
      </c>
      <c r="D900" s="19" t="s">
        <v>48</v>
      </c>
      <c r="E900" s="21">
        <v>890</v>
      </c>
    </row>
    <row r="901" spans="2:5" x14ac:dyDescent="0.3">
      <c r="B901" s="19" t="s">
        <v>42</v>
      </c>
      <c r="C901" s="20" t="str">
        <f>HYPERLINK("#'Data'!A4311", "Fulfillment level of 'Agricultural inputs' need met exclusively due to MPCA [Endline] broken down by households_with_3_or_more_children_under_18_years...")</f>
        <v>Fulfillment level of 'Agricultural inputs' need met exclusively due to MPCA [Endline] broken down by households_with_3_or_more_children_under_18_years...</v>
      </c>
      <c r="D901" s="19" t="s">
        <v>48</v>
      </c>
      <c r="E901" s="21">
        <v>905</v>
      </c>
    </row>
    <row r="902" spans="2:5" x14ac:dyDescent="0.3">
      <c r="B902" s="19" t="s">
        <v>42</v>
      </c>
      <c r="C902" s="20" t="str">
        <f>HYPERLINK("#'Data'!A4376", "Fulfillment level of 'Shelter maintenance' need met exclusively due to MPCA [Endline] broken down by households_with_3_or_more_children_under_18_years...")</f>
        <v>Fulfillment level of 'Shelter maintenance' need met exclusively due to MPCA [Endline] broken down by households_with_3_or_more_children_under_18_years...</v>
      </c>
      <c r="D902" s="19" t="s">
        <v>48</v>
      </c>
      <c r="E902" s="21">
        <v>920</v>
      </c>
    </row>
    <row r="903" spans="2:5" x14ac:dyDescent="0.3">
      <c r="B903" s="19" t="s">
        <v>42</v>
      </c>
      <c r="C903" s="20" t="str">
        <f>HYPERLINK("#'Data'!A4449", "Fulfillment level of 'Future savings' need met exclusively due to MPCA [Endline] broken down by households_with_3_or_more_children_under_18_years_of_a...")</f>
        <v>Fulfillment level of 'Future savings' need met exclusively due to MPCA [Endline] broken down by households_with_3_or_more_children_under_18_years_of_a...</v>
      </c>
      <c r="D903" s="19" t="s">
        <v>48</v>
      </c>
      <c r="E903" s="21">
        <v>935</v>
      </c>
    </row>
    <row r="904" spans="2:5" x14ac:dyDescent="0.3">
      <c r="B904" s="19" t="s">
        <v>42</v>
      </c>
      <c r="C904" s="20" t="str">
        <f>HYPERLINK("#'Data'!A4518", "Fulfillment level of 'Shared with others' need met exclusively due to MPCA [Endline] broken down by households_with_3_or_more_children_under_18_years_...")</f>
        <v>Fulfillment level of 'Shared with others' need met exclusively due to MPCA [Endline] broken down by households_with_3_or_more_children_under_18_years_...</v>
      </c>
      <c r="D904" s="19" t="s">
        <v>48</v>
      </c>
      <c r="E904" s="21">
        <v>950</v>
      </c>
    </row>
    <row r="905" spans="2:5" x14ac:dyDescent="0.3">
      <c r="B905" s="19" t="s">
        <v>42</v>
      </c>
      <c r="C905" s="20" t="str">
        <f>HYPERLINK("#'Data'!A4584", "Fulfillment level of 'Transportation' need met exclusively due to MPCA [Endline] broken down by households_with_3_or_more_children_under_18_years_of_a...")</f>
        <v>Fulfillment level of 'Transportation' need met exclusively due to MPCA [Endline] broken down by households_with_3_or_more_children_under_18_years_of_a...</v>
      </c>
      <c r="D905" s="19" t="s">
        <v>48</v>
      </c>
      <c r="E905" s="21">
        <v>965</v>
      </c>
    </row>
    <row r="906" spans="2:5" x14ac:dyDescent="0.3">
      <c r="B906" s="19" t="s">
        <v>42</v>
      </c>
      <c r="C906" s="20" t="str">
        <f>HYPERLINK("#'Data'!A4654", "Fulfillment level of 'Communication' need met exclusively due to MPCA [Endline] broken down by households_with_3_or_more_children_under_18_years_of_ag...")</f>
        <v>Fulfillment level of 'Communication' need met exclusively due to MPCA [Endline] broken down by households_with_3_or_more_children_under_18_years_of_ag...</v>
      </c>
      <c r="D906" s="19" t="s">
        <v>48</v>
      </c>
      <c r="E906" s="21">
        <v>980</v>
      </c>
    </row>
    <row r="907" spans="2:5" x14ac:dyDescent="0.3">
      <c r="B907" s="19" t="s">
        <v>42</v>
      </c>
      <c r="C907" s="20" t="str">
        <f>HYPERLINK("#'Data'!A4726", "Fulfillment level of 'Education materials' need met exclusively due to MPCA [Endline] broken down by households_with_3_or_more_children_under_18_years...")</f>
        <v>Fulfillment level of 'Education materials' need met exclusively due to MPCA [Endline] broken down by households_with_3_or_more_children_under_18_years...</v>
      </c>
      <c r="D907" s="19" t="s">
        <v>48</v>
      </c>
      <c r="E907" s="21">
        <v>995</v>
      </c>
    </row>
    <row r="908" spans="2:5" x14ac:dyDescent="0.3">
      <c r="B908" s="19" t="s">
        <v>42</v>
      </c>
      <c r="C908" s="20" t="str">
        <f>HYPERLINK("#'Data'!A4796", "Estimated percentage of MPCA spent on each category of goods and services [Endline] broken down by households_with_3_or_more_children_under_18_years_o...")</f>
        <v>Estimated percentage of MPCA spent on each category of goods and services [Endline] broken down by households_with_3_or_more_children_under_18_years_o...</v>
      </c>
      <c r="D908" s="19" t="s">
        <v>48</v>
      </c>
      <c r="E908" s="21">
        <v>1010</v>
      </c>
    </row>
    <row r="909" spans="2:5" x14ac:dyDescent="0.3">
      <c r="B909" s="19" t="s">
        <v>42</v>
      </c>
      <c r="C909" s="20" t="str">
        <f>HYPERLINK("#'Data'!A4870", "Estimated percentage of MPCA spent on 'Other' category [Endline] broken down by households_with_3_or_more_children_under_18_years_of_age on the admin ...")</f>
        <v>Estimated percentage of MPCA spent on 'Other' category [Endline] broken down by households_with_3_or_more_children_under_18_years_of_age on the admin ...</v>
      </c>
      <c r="D909" s="19" t="s">
        <v>48</v>
      </c>
      <c r="E909" s="21">
        <v>1025</v>
      </c>
    </row>
    <row r="910" spans="2:5" x14ac:dyDescent="0.3">
      <c r="B910" s="19" t="s">
        <v>42</v>
      </c>
      <c r="C910" s="20" t="str">
        <f>HYPERLINK("#'Data'!A4942", "Estimated percentage of MPCA spent on 'Food' category [Endline] broken down by households_with_3_or_more_children_under_18_years_of_age on the admin o...")</f>
        <v>Estimated percentage of MPCA spent on 'Food' category [Endline] broken down by households_with_3_or_more_children_under_18_years_of_age on the admin o...</v>
      </c>
      <c r="D910" s="19" t="s">
        <v>48</v>
      </c>
      <c r="E910" s="21">
        <v>1040</v>
      </c>
    </row>
    <row r="911" spans="2:5" x14ac:dyDescent="0.3">
      <c r="B911" s="19" t="s">
        <v>42</v>
      </c>
      <c r="C911" s="20" t="str">
        <f>HYPERLINK("#'Data'!A5015", "Estimated percentage of MPCA spent on 'Personal hygiene' category [Endline] broken down by households_with_3_or_more_children_under_18_years_of_age on...")</f>
        <v>Estimated percentage of MPCA spent on 'Personal hygiene' category [Endline] broken down by households_with_3_or_more_children_under_18_years_of_age on...</v>
      </c>
      <c r="D911" s="19" t="s">
        <v>48</v>
      </c>
      <c r="E911" s="21">
        <v>1055</v>
      </c>
    </row>
    <row r="912" spans="2:5" x14ac:dyDescent="0.3">
      <c r="B912" s="19" t="s">
        <v>42</v>
      </c>
      <c r="C912" s="20" t="str">
        <f>HYPERLINK("#'Data'!A5086", "Estimated percentage of MPCA spent on 'Cleaning items' category [Endline] broken down by households_with_3_or_more_children_under_18_years_of_age on t...")</f>
        <v>Estimated percentage of MPCA spent on 'Cleaning items' category [Endline] broken down by households_with_3_or_more_children_under_18_years_of_age on t...</v>
      </c>
      <c r="D912" s="19" t="s">
        <v>48</v>
      </c>
      <c r="E912" s="21">
        <v>1070</v>
      </c>
    </row>
    <row r="913" spans="2:5" x14ac:dyDescent="0.3">
      <c r="B913" s="19" t="s">
        <v>42</v>
      </c>
      <c r="C913" s="20" t="str">
        <f>HYPERLINK("#'Data'!A5158", "Estimated percentage of MPCA spent on 'Non-food items' category [Endline] broken down by households_with_3_or_more_children_under_18_years_of_age on t...")</f>
        <v>Estimated percentage of MPCA spent on 'Non-food items' category [Endline] broken down by households_with_3_or_more_children_under_18_years_of_age on t...</v>
      </c>
      <c r="D913" s="19" t="s">
        <v>48</v>
      </c>
      <c r="E913" s="21">
        <v>1085</v>
      </c>
    </row>
    <row r="914" spans="2:5" x14ac:dyDescent="0.3">
      <c r="B914" s="19" t="s">
        <v>42</v>
      </c>
      <c r="C914" s="20" t="str">
        <f>HYPERLINK("#'Data'!A5229", "Estimated percentage of MPCA spent on 'Clothing and shoes' category [Endline] broken down by households_with_3_or_more_children_under_18_years_of_age ...")</f>
        <v>Estimated percentage of MPCA spent on 'Clothing and shoes' category [Endline] broken down by households_with_3_or_more_children_under_18_years_of_age ...</v>
      </c>
      <c r="D914" s="19" t="s">
        <v>48</v>
      </c>
      <c r="E914" s="21">
        <v>1100</v>
      </c>
    </row>
    <row r="915" spans="2:5" x14ac:dyDescent="0.3">
      <c r="B915" s="19" t="s">
        <v>42</v>
      </c>
      <c r="C915" s="20" t="str">
        <f>HYPERLINK("#'Data'!A5302", "Estimated percentage of MPCA spent on 'Heating fuel' category [Endline] broken down by households_with_3_or_more_children_under_18_years_of_age on the...")</f>
        <v>Estimated percentage of MPCA spent on 'Heating fuel' category [Endline] broken down by households_with_3_or_more_children_under_18_years_of_age on the...</v>
      </c>
      <c r="D915" s="19" t="s">
        <v>48</v>
      </c>
      <c r="E915" s="21">
        <v>1115</v>
      </c>
    </row>
    <row r="916" spans="2:5" x14ac:dyDescent="0.3">
      <c r="B916" s="19" t="s">
        <v>42</v>
      </c>
      <c r="C916" s="20" t="str">
        <f>HYPERLINK("#'Data'!A5376", "Estimated percentage of MPCA spent on 'Safe water' category [Endline] broken down by households_with_3_or_more_children_under_18_years_of_age on the a...")</f>
        <v>Estimated percentage of MPCA spent on 'Safe water' category [Endline] broken down by households_with_3_or_more_children_under_18_years_of_age on the a...</v>
      </c>
      <c r="D916" s="19" t="s">
        <v>48</v>
      </c>
      <c r="E916" s="21">
        <v>1130</v>
      </c>
    </row>
    <row r="917" spans="2:5" x14ac:dyDescent="0.3">
      <c r="B917" s="19" t="s">
        <v>42</v>
      </c>
      <c r="C917" s="20" t="str">
        <f>HYPERLINK("#'Data'!A5439", "Estimated percentage of MPCA spent on 'Utilities' category [Endline] broken down by households_with_3_or_more_children_under_18_years_of_age on the ad...")</f>
        <v>Estimated percentage of MPCA spent on 'Utilities' category [Endline] broken down by households_with_3_or_more_children_under_18_years_of_age on the ad...</v>
      </c>
      <c r="D917" s="19" t="s">
        <v>48</v>
      </c>
      <c r="E917" s="21">
        <v>1145</v>
      </c>
    </row>
    <row r="918" spans="2:5" x14ac:dyDescent="0.3">
      <c r="B918" s="19" t="s">
        <v>42</v>
      </c>
      <c r="C918" s="20" t="str">
        <f>HYPERLINK("#'Data'!A5513", "Estimated percentage of MPCA spent on 'Water supply' category [Endline] broken down by households_with_3_or_more_children_under_18_years_of_age on the...")</f>
        <v>Estimated percentage of MPCA spent on 'Water supply' category [Endline] broken down by households_with_3_or_more_children_under_18_years_of_age on the...</v>
      </c>
      <c r="D918" s="19" t="s">
        <v>48</v>
      </c>
      <c r="E918" s="21">
        <v>1160</v>
      </c>
    </row>
    <row r="919" spans="2:5" x14ac:dyDescent="0.3">
      <c r="B919" s="19" t="s">
        <v>42</v>
      </c>
      <c r="C919" s="20" t="str">
        <f>HYPERLINK("#'Data'!A5580", "Estimated percentage of MPCA spent on 'Rent' category [Endline] broken down by households_with_3_or_more_children_under_18_years_of_age on the admin o...")</f>
        <v>Estimated percentage of MPCA spent on 'Rent' category [Endline] broken down by households_with_3_or_more_children_under_18_years_of_age on the admin o...</v>
      </c>
      <c r="D919" s="19" t="s">
        <v>48</v>
      </c>
      <c r="E919" s="21">
        <v>1175</v>
      </c>
    </row>
    <row r="920" spans="2:5" x14ac:dyDescent="0.3">
      <c r="B920" s="19" t="s">
        <v>42</v>
      </c>
      <c r="C920" s="20" t="str">
        <f>HYPERLINK("#'Data'!A5651", "Estimated percentage of MPCA spent on 'Assistive products' category [Endline] broken down by households_with_3_or_more_children_under_18_years_of_age ...")</f>
        <v>Estimated percentage of MPCA spent on 'Assistive products' category [Endline] broken down by households_with_3_or_more_children_under_18_years_of_age ...</v>
      </c>
      <c r="D920" s="19" t="s">
        <v>48</v>
      </c>
      <c r="E920" s="21">
        <v>1190</v>
      </c>
    </row>
    <row r="921" spans="2:5" x14ac:dyDescent="0.3">
      <c r="B921" s="19" t="s">
        <v>42</v>
      </c>
      <c r="C921" s="20" t="str">
        <f>HYPERLINK("#'Data'!A5711", "Estimated percentage of MPCA spent on 'Medication' category [Endline] broken down by households_with_3_or_more_children_under_18_years_of_age on the a...")</f>
        <v>Estimated percentage of MPCA spent on 'Medication' category [Endline] broken down by households_with_3_or_more_children_under_18_years_of_age on the a...</v>
      </c>
      <c r="D921" s="19" t="s">
        <v>48</v>
      </c>
      <c r="E921" s="21">
        <v>1205</v>
      </c>
    </row>
    <row r="922" spans="2:5" x14ac:dyDescent="0.3">
      <c r="B922" s="19" t="s">
        <v>42</v>
      </c>
      <c r="C922" s="20" t="str">
        <f>HYPERLINK("#'Data'!A5785", "Estimated percentage of MPCA spent on 'Agricultural inputs' category [Endline] broken down by households_with_3_or_more_children_under_18_years_of_age...")</f>
        <v>Estimated percentage of MPCA spent on 'Agricultural inputs' category [Endline] broken down by households_with_3_or_more_children_under_18_years_of_age...</v>
      </c>
      <c r="D922" s="19" t="s">
        <v>48</v>
      </c>
      <c r="E922" s="21">
        <v>1220</v>
      </c>
    </row>
    <row r="923" spans="2:5" x14ac:dyDescent="0.3">
      <c r="B923" s="19" t="s">
        <v>42</v>
      </c>
      <c r="C923" s="20" t="str">
        <f>HYPERLINK("#'Data'!A5853", "Estimated percentage of MPCA spent on 'Shelter maintenance' category [Endline] broken down by households_with_3_or_more_children_under_18_years_of_age...")</f>
        <v>Estimated percentage of MPCA spent on 'Shelter maintenance' category [Endline] broken down by households_with_3_or_more_children_under_18_years_of_age...</v>
      </c>
      <c r="D923" s="19" t="s">
        <v>48</v>
      </c>
      <c r="E923" s="21">
        <v>1235</v>
      </c>
    </row>
    <row r="924" spans="2:5" x14ac:dyDescent="0.3">
      <c r="B924" s="19" t="s">
        <v>42</v>
      </c>
      <c r="C924" s="20" t="str">
        <f>HYPERLINK("#'Data'!A5926", "Estimated percentage of MPCA spent on 'Future savings' category [Endline] broken down by households_with_3_or_more_children_under_18_years_of_age on t...")</f>
        <v>Estimated percentage of MPCA spent on 'Future savings' category [Endline] broken down by households_with_3_or_more_children_under_18_years_of_age on t...</v>
      </c>
      <c r="D924" s="19" t="s">
        <v>48</v>
      </c>
      <c r="E924" s="21">
        <v>1250</v>
      </c>
    </row>
    <row r="925" spans="2:5" x14ac:dyDescent="0.3">
      <c r="B925" s="19" t="s">
        <v>42</v>
      </c>
      <c r="C925" s="20" t="str">
        <f>HYPERLINK("#'Data'!A5996", "Estimated percentage of MPCA spent on 'Shared with others' category [Endline] broken down by households_with_3_or_more_children_under_18_years_of_age ...")</f>
        <v>Estimated percentage of MPCA spent on 'Shared with others' category [Endline] broken down by households_with_3_or_more_children_under_18_years_of_age ...</v>
      </c>
      <c r="D925" s="19" t="s">
        <v>48</v>
      </c>
      <c r="E925" s="21">
        <v>1265</v>
      </c>
    </row>
    <row r="926" spans="2:5" x14ac:dyDescent="0.3">
      <c r="B926" s="19" t="s">
        <v>42</v>
      </c>
      <c r="C926" s="20" t="str">
        <f>HYPERLINK("#'Data'!A6062", "Estimated percentage of MPCA spent on 'Transportation' category [Endline] broken down by households_with_3_or_more_children_under_18_years_of_age on t...")</f>
        <v>Estimated percentage of MPCA spent on 'Transportation' category [Endline] broken down by households_with_3_or_more_children_under_18_years_of_age on t...</v>
      </c>
      <c r="D926" s="19" t="s">
        <v>48</v>
      </c>
      <c r="E926" s="21">
        <v>1280</v>
      </c>
    </row>
    <row r="927" spans="2:5" x14ac:dyDescent="0.3">
      <c r="B927" s="19" t="s">
        <v>42</v>
      </c>
      <c r="C927" s="20" t="str">
        <f>HYPERLINK("#'Data'!A6133", "Estimated percentage of MPCA spent on 'Communication' category [Endline] broken down by households_with_3_or_more_children_under_18_years_of_age on th...")</f>
        <v>Estimated percentage of MPCA spent on 'Communication' category [Endline] broken down by households_with_3_or_more_children_under_18_years_of_age on th...</v>
      </c>
      <c r="D927" s="19" t="s">
        <v>48</v>
      </c>
      <c r="E927" s="21">
        <v>1295</v>
      </c>
    </row>
    <row r="928" spans="2:5" x14ac:dyDescent="0.3">
      <c r="B928" s="19" t="s">
        <v>42</v>
      </c>
      <c r="C928" s="20" t="str">
        <f>HYPERLINK("#'Data'!A6206", "Estimated percentage of MPCA spent on 'Education materials' category [Endline] broken down by households_with_3_or_more_children_under_18_years_of_age...")</f>
        <v>Estimated percentage of MPCA spent on 'Education materials' category [Endline] broken down by households_with_3_or_more_children_under_18_years_of_age...</v>
      </c>
      <c r="D928" s="19" t="s">
        <v>48</v>
      </c>
      <c r="E928" s="21">
        <v>1310</v>
      </c>
    </row>
    <row r="929" spans="2:5" x14ac:dyDescent="0.3">
      <c r="B929" s="19" t="s">
        <v>42</v>
      </c>
      <c r="C929" s="20" t="str">
        <f>HYPERLINK("#'Data'!A6276", "Additional priority needs potentially met if MPCA duration extended to 6 months [Endline] broken down by households_with_3_or_more_children_under_18_y...")</f>
        <v>Additional priority needs potentially met if MPCA duration extended to 6 months [Endline] broken down by households_with_3_or_more_children_under_18_y...</v>
      </c>
      <c r="D929" s="19" t="s">
        <v>48</v>
      </c>
      <c r="E929" s="21">
        <v>1325</v>
      </c>
    </row>
    <row r="930" spans="2:5" x14ac:dyDescent="0.3">
      <c r="B930" s="19" t="s">
        <v>42</v>
      </c>
      <c r="C930" s="20" t="str">
        <f>HYPERLINK("#'Data'!A6350", "Additional priority needs potentially met with doubled MPCA amount over past 3 months [Endline] broken down by households_with_3_or_more_children_unde...")</f>
        <v>Additional priority needs potentially met with doubled MPCA amount over past 3 months [Endline] broken down by households_with_3_or_more_children_unde...</v>
      </c>
      <c r="D930" s="19" t="s">
        <v>48</v>
      </c>
      <c r="E930" s="21">
        <v>1340</v>
      </c>
    </row>
    <row r="931" spans="2:5" x14ac:dyDescent="0.3">
      <c r="B931" s="19" t="s">
        <v>42</v>
      </c>
      <c r="C931" s="20" t="str">
        <f>HYPERLINK("#'Data'!A6424", "Needs that MPCA is considered insufficient to address [Baseline] broken down by households_with_3_or_more_children_under_18_years_of_age on the admin ...")</f>
        <v>Needs that MPCA is considered insufficient to address [Baseline] broken down by households_with_3_or_more_children_under_18_years_of_age on the admin ...</v>
      </c>
      <c r="D931" s="19" t="s">
        <v>48</v>
      </c>
      <c r="E931" s="21">
        <v>1355</v>
      </c>
    </row>
    <row r="932" spans="2:5" x14ac:dyDescent="0.3">
      <c r="B932" s="19" t="s">
        <v>42</v>
      </c>
      <c r="C932" s="20" t="str">
        <f>HYPERLINK("#'Data'!A6498", "Needs that MPCA is considered insufficient to address [Endline] broken down by households_with_3_or_more_children_under_18_years_of_age on the admin o...")</f>
        <v>Needs that MPCA is considered insufficient to address [Endline] broken down by households_with_3_or_more_children_under_18_years_of_age on the admin o...</v>
      </c>
      <c r="D932" s="19" t="s">
        <v>48</v>
      </c>
      <c r="E932" s="21">
        <v>1370</v>
      </c>
    </row>
    <row r="933" spans="2:5" x14ac:dyDescent="0.3">
      <c r="B933" s="19" t="s">
        <v>42</v>
      </c>
      <c r="C933" s="20" t="str">
        <f>HYPERLINK("#'Data'!A6572", "Preferred type of assistance for meeting current household needs [Baseline] broken down by households_with_3_or_more_children_under_18_years_of_age on...")</f>
        <v>Preferred type of assistance for meeting current household needs [Baseline] broken down by households_with_3_or_more_children_under_18_years_of_age on...</v>
      </c>
      <c r="D933" s="19" t="s">
        <v>48</v>
      </c>
      <c r="E933" s="21">
        <v>1385</v>
      </c>
    </row>
    <row r="934" spans="2:5" hidden="1" x14ac:dyDescent="0.3">
      <c r="B934" s="19" t="s">
        <v>40</v>
      </c>
      <c r="C934" s="20" t="str">
        <f>HYPERLINK("#'Data'!A6646", "Preferred type of assistance for meeting current household needs [Endline] broken down by households_with_3_or_more_children_under_18_years_of_age on ...")</f>
        <v>Preferred type of assistance for meeting current household needs [Endline] broken down by households_with_3_or_more_children_under_18_years_of_age on ...</v>
      </c>
      <c r="D934" s="19" t="s">
        <v>48</v>
      </c>
      <c r="E934" s="21">
        <v>1400</v>
      </c>
    </row>
    <row r="935" spans="2:5" x14ac:dyDescent="0.3">
      <c r="B935" s="19" t="s">
        <v>42</v>
      </c>
      <c r="C935" s="20" t="str">
        <f>HYPERLINK("#'Data'!A6720", "Remaining needs after MPCA that require additional cash or in-kind assistance [Endline] broken down by households_with_3_or_more_children_under_18_yea...")</f>
        <v>Remaining needs after MPCA that require additional cash or in-kind assistance [Endline] broken down by households_with_3_or_more_children_under_18_yea...</v>
      </c>
      <c r="D935" s="19" t="s">
        <v>48</v>
      </c>
      <c r="E935" s="21">
        <v>1415</v>
      </c>
    </row>
    <row r="936" spans="2:5" hidden="1" x14ac:dyDescent="0.3">
      <c r="B936" s="19" t="s">
        <v>40</v>
      </c>
      <c r="C936" s="20" t="str">
        <f>HYPERLINK("#'Data'!A6794", "Remaining needs after MPCA that require additional cash or in-kind assistance [Endline] broken down by households_with_3_or_more_children_under_18_yea...")</f>
        <v>Remaining needs after MPCA that require additional cash or in-kind assistance [Endline] broken down by households_with_3_or_more_children_under_18_yea...</v>
      </c>
      <c r="D936" s="19" t="s">
        <v>48</v>
      </c>
      <c r="E936" s="21">
        <v>1430</v>
      </c>
    </row>
    <row r="937" spans="2:5" x14ac:dyDescent="0.3">
      <c r="B937" s="19" t="s">
        <v>42</v>
      </c>
      <c r="C937" s="20" t="str">
        <f>HYPERLINK("#'Data'!A6868", "Amount of multi-purpose cash assistance received over last 3 months in UAH [Endline] broken down by households_with_3_or_more_children_under_18_years_...")</f>
        <v>Amount of multi-purpose cash assistance received over last 3 months in UAH [Endline] broken down by households_with_3_or_more_children_under_18_years_...</v>
      </c>
      <c r="D937" s="19" t="s">
        <v>48</v>
      </c>
      <c r="E937" s="21">
        <v>1445</v>
      </c>
    </row>
    <row r="938" spans="2:5" x14ac:dyDescent="0.3">
      <c r="B938" s="19" t="s">
        <v>42</v>
      </c>
      <c r="C938" s="20" t="str">
        <f>HYPERLINK("#'Data'!A6942", "Amount of multi-purpose cash assistance received over last 3 months per hh member in UAH [Endline] broken down by households_with_3_or_more_children_u...")</f>
        <v>Amount of multi-purpose cash assistance received over last 3 months per hh member in UAH [Endline] broken down by households_with_3_or_more_children_u...</v>
      </c>
      <c r="D938" s="19" t="s">
        <v>48</v>
      </c>
      <c r="E938" s="21">
        <v>1460</v>
      </c>
    </row>
    <row r="939" spans="2:5" x14ac:dyDescent="0.3">
      <c r="B939" s="19" t="s">
        <v>42</v>
      </c>
      <c r="C939" s="20" t="str">
        <f>HYPERLINK("#'Data'!A7016", "Other types of humanitarian aid received in the previous three months [Endline] broken down by households_with_3_or_more_children_under_18_years_of_ag...")</f>
        <v>Other types of humanitarian aid received in the previous three months [Endline] broken down by households_with_3_or_more_children_under_18_years_of_ag...</v>
      </c>
      <c r="D939" s="19" t="s">
        <v>48</v>
      </c>
      <c r="E939" s="21">
        <v>1475</v>
      </c>
    </row>
    <row r="940" spans="2:5" x14ac:dyDescent="0.3">
      <c r="B940" s="19" t="s">
        <v>42</v>
      </c>
      <c r="C940" s="20" t="str">
        <f>HYPERLINK("#'Data'!A7090", "Estimated percentage of total household expenditures spent on 'Other' (past month, excl. humanitarian aid) [Baseline] broken down by households_with_3...")</f>
        <v>Estimated percentage of total household expenditures spent on 'Other' (past month, excl. humanitarian aid) [Baseline] broken down by households_with_3...</v>
      </c>
      <c r="D940" s="19" t="s">
        <v>48</v>
      </c>
      <c r="E940" s="21">
        <v>1490</v>
      </c>
    </row>
    <row r="941" spans="2:5" x14ac:dyDescent="0.3">
      <c r="B941" s="19" t="s">
        <v>42</v>
      </c>
      <c r="C941" s="20" t="str">
        <f>HYPERLINK("#'Data'!A7156", "Estimated percentage of total household expenditures spent on 'Food' (past month, excl. humanitarian aid) [Baseline] broken down by households_with_3_...")</f>
        <v>Estimated percentage of total household expenditures spent on 'Food' (past month, excl. humanitarian aid) [Baseline] broken down by households_with_3_...</v>
      </c>
      <c r="D941" s="19" t="s">
        <v>48</v>
      </c>
      <c r="E941" s="21">
        <v>1505</v>
      </c>
    </row>
    <row r="942" spans="2:5" x14ac:dyDescent="0.3">
      <c r="B942" s="19" t="s">
        <v>42</v>
      </c>
      <c r="C942" s="20" t="str">
        <f>HYPERLINK("#'Data'!A7230",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942" s="19" t="s">
        <v>48</v>
      </c>
      <c r="E942" s="21">
        <v>1520</v>
      </c>
    </row>
    <row r="943" spans="2:5" hidden="1" x14ac:dyDescent="0.3">
      <c r="B943" s="19" t="s">
        <v>40</v>
      </c>
      <c r="C943" s="20" t="str">
        <f>HYPERLINK("#'Data'!A7303",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943" s="19" t="s">
        <v>48</v>
      </c>
      <c r="E943" s="21">
        <v>1535</v>
      </c>
    </row>
    <row r="944" spans="2:5" hidden="1" x14ac:dyDescent="0.3">
      <c r="B944" s="19" t="s">
        <v>40</v>
      </c>
      <c r="C944" s="20" t="str">
        <f>HYPERLINK("#'Data'!A7376",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944" s="19" t="s">
        <v>48</v>
      </c>
      <c r="E944" s="21">
        <v>1550</v>
      </c>
    </row>
    <row r="945" spans="2:5" hidden="1" x14ac:dyDescent="0.3">
      <c r="B945" s="19" t="s">
        <v>40</v>
      </c>
      <c r="C945" s="20" t="str">
        <f>HYPERLINK("#'Data'!A7446",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945" s="19" t="s">
        <v>48</v>
      </c>
      <c r="E945" s="21">
        <v>1565</v>
      </c>
    </row>
    <row r="946" spans="2:5" hidden="1" x14ac:dyDescent="0.3">
      <c r="B946" s="19" t="s">
        <v>40</v>
      </c>
      <c r="C946" s="20" t="str">
        <f>HYPERLINK("#'Data'!A7519",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946" s="19" t="s">
        <v>48</v>
      </c>
      <c r="E946" s="21">
        <v>1580</v>
      </c>
    </row>
    <row r="947" spans="2:5" hidden="1" x14ac:dyDescent="0.3">
      <c r="B947" s="19" t="s">
        <v>40</v>
      </c>
      <c r="C947" s="20" t="str">
        <f>HYPERLINK("#'Data'!A7590", "Estimated percentage of total household expenditures spent on 'Safe water' (past month, excl. humanitarian aid) [Baseline] broken down by households_w...")</f>
        <v>Estimated percentage of total household expenditures spent on 'Safe water' (past month, excl. humanitarian aid) [Baseline] broken down by households_w...</v>
      </c>
      <c r="D947" s="19" t="s">
        <v>48</v>
      </c>
      <c r="E947" s="21">
        <v>1595</v>
      </c>
    </row>
    <row r="948" spans="2:5" hidden="1" x14ac:dyDescent="0.3">
      <c r="B948" s="19" t="s">
        <v>40</v>
      </c>
      <c r="C948" s="20" t="str">
        <f>HYPERLINK("#'Data'!A7662", "Estimated percentage of total household expenditures spent on 'Utilities' (past month, excl. humanitarian aid) [Baseline] broken down by households_wi...")</f>
        <v>Estimated percentage of total household expenditures spent on 'Utilities' (past month, excl. humanitarian aid) [Baseline] broken down by households_wi...</v>
      </c>
      <c r="D948" s="19" t="s">
        <v>48</v>
      </c>
      <c r="E948" s="21">
        <v>1610</v>
      </c>
    </row>
    <row r="949" spans="2:5" hidden="1" x14ac:dyDescent="0.3">
      <c r="B949" s="19" t="s">
        <v>40</v>
      </c>
      <c r="C949" s="20" t="str">
        <f>HYPERLINK("#'Data'!A7736",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949" s="19" t="s">
        <v>48</v>
      </c>
      <c r="E949" s="21">
        <v>1625</v>
      </c>
    </row>
    <row r="950" spans="2:5" hidden="1" x14ac:dyDescent="0.3">
      <c r="B950" s="19" t="s">
        <v>40</v>
      </c>
      <c r="C950" s="20" t="str">
        <f>HYPERLINK("#'Data'!A7807", "Estimated percentage of total household expenditures spent on 'Rent' (past month, excl. humanitarian aid) [Baseline] broken down by households_with_3_...")</f>
        <v>Estimated percentage of total household expenditures spent on 'Rent' (past month, excl. humanitarian aid) [Baseline] broken down by households_with_3_...</v>
      </c>
      <c r="D950" s="19" t="s">
        <v>48</v>
      </c>
      <c r="E950" s="21">
        <v>1640</v>
      </c>
    </row>
    <row r="951" spans="2:5" hidden="1" x14ac:dyDescent="0.3">
      <c r="B951" s="19" t="s">
        <v>40</v>
      </c>
      <c r="C951" s="20" t="str">
        <f>HYPERLINK("#'Data'!A7877",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951" s="19" t="s">
        <v>48</v>
      </c>
      <c r="E951" s="21">
        <v>1655</v>
      </c>
    </row>
    <row r="952" spans="2:5" hidden="1" x14ac:dyDescent="0.3">
      <c r="B952" s="19" t="s">
        <v>40</v>
      </c>
      <c r="C952" s="20" t="str">
        <f>HYPERLINK("#'Data'!A7947", "Estimated percentage of total household expenditures spent on 'Medication' (past month, excl. humanitarian aid) [Baseline] broken down by households_w...")</f>
        <v>Estimated percentage of total household expenditures spent on 'Medication' (past month, excl. humanitarian aid) [Baseline] broken down by households_w...</v>
      </c>
      <c r="D952" s="19" t="s">
        <v>48</v>
      </c>
      <c r="E952" s="21">
        <v>1670</v>
      </c>
    </row>
    <row r="953" spans="2:5" hidden="1" x14ac:dyDescent="0.3">
      <c r="B953" s="19" t="s">
        <v>40</v>
      </c>
      <c r="C953" s="20" t="str">
        <f>HYPERLINK("#'Data'!A8020",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953" s="19" t="s">
        <v>48</v>
      </c>
      <c r="E953" s="21">
        <v>1685</v>
      </c>
    </row>
    <row r="954" spans="2:5" hidden="1" x14ac:dyDescent="0.3">
      <c r="B954" s="19" t="s">
        <v>40</v>
      </c>
      <c r="C954" s="20" t="str">
        <f>HYPERLINK("#'Data'!A8089",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954" s="19" t="s">
        <v>48</v>
      </c>
      <c r="E954" s="21">
        <v>1700</v>
      </c>
    </row>
    <row r="955" spans="2:5" hidden="1" x14ac:dyDescent="0.3">
      <c r="B955" s="19" t="s">
        <v>40</v>
      </c>
      <c r="C955" s="20" t="str">
        <f>HYPERLINK("#'Data'!A8160",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955" s="19" t="s">
        <v>48</v>
      </c>
      <c r="E955" s="21">
        <v>1715</v>
      </c>
    </row>
    <row r="956" spans="2:5" hidden="1" x14ac:dyDescent="0.3">
      <c r="B956" s="19" t="s">
        <v>40</v>
      </c>
      <c r="C956" s="20" t="str">
        <f>HYPERLINK("#'Data'!A8226",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956" s="19" t="s">
        <v>48</v>
      </c>
      <c r="E956" s="21">
        <v>1730</v>
      </c>
    </row>
    <row r="957" spans="2:5" hidden="1" x14ac:dyDescent="0.3">
      <c r="B957" s="19" t="s">
        <v>40</v>
      </c>
      <c r="C957" s="20" t="str">
        <f>HYPERLINK("#'Data'!A8297",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957" s="19" t="s">
        <v>48</v>
      </c>
      <c r="E957" s="21">
        <v>1745</v>
      </c>
    </row>
    <row r="958" spans="2:5" hidden="1" x14ac:dyDescent="0.3">
      <c r="B958" s="19" t="s">
        <v>40</v>
      </c>
      <c r="C958" s="20" t="str">
        <f>HYPERLINK("#'Data'!A8369",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958" s="19" t="s">
        <v>48</v>
      </c>
      <c r="E958" s="21">
        <v>1760</v>
      </c>
    </row>
    <row r="959" spans="2:5" hidden="1" x14ac:dyDescent="0.3">
      <c r="B959" s="19" t="s">
        <v>40</v>
      </c>
      <c r="C959" s="20" t="str">
        <f>HYPERLINK("#'Data'!A8443",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959" s="19" t="s">
        <v>48</v>
      </c>
      <c r="E959" s="21">
        <v>1775</v>
      </c>
    </row>
    <row r="960" spans="2:5" hidden="1" x14ac:dyDescent="0.3">
      <c r="B960" s="19" t="s">
        <v>40</v>
      </c>
      <c r="C960" s="20" t="str">
        <f>HYPERLINK("#'Data'!A8514", "Estimated percentage of total household expenditures spent on 'Other' (past month, excl. humanitarian aid) [Endline] broken down by households_with_3_...")</f>
        <v>Estimated percentage of total household expenditures spent on 'Other' (past month, excl. humanitarian aid) [Endline] broken down by households_with_3_...</v>
      </c>
      <c r="D960" s="19" t="s">
        <v>48</v>
      </c>
      <c r="E960" s="21">
        <v>1790</v>
      </c>
    </row>
    <row r="961" spans="2:5" hidden="1" x14ac:dyDescent="0.3">
      <c r="B961" s="19" t="s">
        <v>40</v>
      </c>
      <c r="C961" s="20" t="str">
        <f>HYPERLINK("#'Data'!A8580", "Estimated percentage of total household expenditures spent on 'Food' (past month, excl. humanitarian aid) [Endline] broken down by households_with_3_o...")</f>
        <v>Estimated percentage of total household expenditures spent on 'Food' (past month, excl. humanitarian aid) [Endline] broken down by households_with_3_o...</v>
      </c>
      <c r="D961" s="19" t="s">
        <v>48</v>
      </c>
      <c r="E961" s="21">
        <v>1805</v>
      </c>
    </row>
    <row r="962" spans="2:5" hidden="1" x14ac:dyDescent="0.3">
      <c r="B962" s="19" t="s">
        <v>40</v>
      </c>
      <c r="C962" s="20" t="str">
        <f>HYPERLINK("#'Data'!A8654",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962" s="19" t="s">
        <v>48</v>
      </c>
      <c r="E962" s="21">
        <v>1820</v>
      </c>
    </row>
    <row r="963" spans="2:5" x14ac:dyDescent="0.3">
      <c r="B963" s="19" t="s">
        <v>42</v>
      </c>
      <c r="C963" s="20" t="str">
        <f>HYPERLINK("#'Data'!A8727",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963" s="19" t="s">
        <v>48</v>
      </c>
      <c r="E963" s="21">
        <v>1835</v>
      </c>
    </row>
    <row r="964" spans="2:5" x14ac:dyDescent="0.3">
      <c r="B964" s="19" t="s">
        <v>42</v>
      </c>
      <c r="C964" s="20" t="str">
        <f>HYPERLINK("#'Data'!A8800",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964" s="19" t="s">
        <v>48</v>
      </c>
      <c r="E964" s="21">
        <v>1850</v>
      </c>
    </row>
    <row r="965" spans="2:5" x14ac:dyDescent="0.3">
      <c r="B965" s="19" t="s">
        <v>42</v>
      </c>
      <c r="C965" s="20" t="str">
        <f>HYPERLINK("#'Data'!A8872",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965" s="19" t="s">
        <v>48</v>
      </c>
      <c r="E965" s="21">
        <v>1865</v>
      </c>
    </row>
    <row r="966" spans="2:5" x14ac:dyDescent="0.3">
      <c r="B966" s="19" t="s">
        <v>42</v>
      </c>
      <c r="C966" s="20" t="str">
        <f>HYPERLINK("#'Data'!A8945",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966" s="19" t="s">
        <v>48</v>
      </c>
      <c r="E966" s="21">
        <v>1880</v>
      </c>
    </row>
    <row r="967" spans="2:5" x14ac:dyDescent="0.3">
      <c r="B967" s="19" t="s">
        <v>42</v>
      </c>
      <c r="C967" s="20" t="str">
        <f>HYPERLINK("#'Data'!A9019", "Estimated percentage of total household expenditures spent on 'Safe water' (past month, excl. humanitarian aid) [Endline] broken down by households_wi...")</f>
        <v>Estimated percentage of total household expenditures spent on 'Safe water' (past month, excl. humanitarian aid) [Endline] broken down by households_wi...</v>
      </c>
      <c r="D967" s="19" t="s">
        <v>48</v>
      </c>
      <c r="E967" s="21">
        <v>1895</v>
      </c>
    </row>
    <row r="968" spans="2:5" x14ac:dyDescent="0.3">
      <c r="B968" s="19" t="s">
        <v>42</v>
      </c>
      <c r="C968" s="20" t="str">
        <f>HYPERLINK("#'Data'!A9091", "Estimated percentage of total household expenditures spent on 'Utilities' (past month, excl. humanitarian aid) [Endline] broken down by households_wit...")</f>
        <v>Estimated percentage of total household expenditures spent on 'Utilities' (past month, excl. humanitarian aid) [Endline] broken down by households_wit...</v>
      </c>
      <c r="D968" s="19" t="s">
        <v>48</v>
      </c>
      <c r="E968" s="21">
        <v>1910</v>
      </c>
    </row>
    <row r="969" spans="2:5" x14ac:dyDescent="0.3">
      <c r="B969" s="19" t="s">
        <v>42</v>
      </c>
      <c r="C969" s="20" t="str">
        <f>HYPERLINK("#'Data'!A9165",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969" s="19" t="s">
        <v>48</v>
      </c>
      <c r="E969" s="21">
        <v>1925</v>
      </c>
    </row>
    <row r="970" spans="2:5" x14ac:dyDescent="0.3">
      <c r="B970" s="19" t="s">
        <v>42</v>
      </c>
      <c r="C970" s="20" t="str">
        <f>HYPERLINK("#'Data'!A9236", "Estimated percentage of total household expenditures spent on 'Rent' (past month, excl. humanitarian aid) [Endline] broken down by households_with_3_o...")</f>
        <v>Estimated percentage of total household expenditures spent on 'Rent' (past month, excl. humanitarian aid) [Endline] broken down by households_with_3_o...</v>
      </c>
      <c r="D970" s="19" t="s">
        <v>48</v>
      </c>
      <c r="E970" s="21">
        <v>1940</v>
      </c>
    </row>
    <row r="971" spans="2:5" x14ac:dyDescent="0.3">
      <c r="B971" s="19" t="s">
        <v>42</v>
      </c>
      <c r="C971" s="20" t="str">
        <f>HYPERLINK("#'Data'!A9303",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971" s="19" t="s">
        <v>48</v>
      </c>
      <c r="E971" s="21">
        <v>1955</v>
      </c>
    </row>
    <row r="972" spans="2:5" x14ac:dyDescent="0.3">
      <c r="B972" s="19" t="s">
        <v>42</v>
      </c>
      <c r="C972" s="20" t="str">
        <f>HYPERLINK("#'Data'!A9368", "Estimated percentage of total household expenditures spent on 'Medication' (past month, excl. humanitarian aid) [Endline] broken down by households_wi...")</f>
        <v>Estimated percentage of total household expenditures spent on 'Medication' (past month, excl. humanitarian aid) [Endline] broken down by households_wi...</v>
      </c>
      <c r="D972" s="19" t="s">
        <v>48</v>
      </c>
      <c r="E972" s="21">
        <v>1970</v>
      </c>
    </row>
    <row r="973" spans="2:5" x14ac:dyDescent="0.3">
      <c r="B973" s="19" t="s">
        <v>42</v>
      </c>
      <c r="C973" s="20" t="str">
        <f>HYPERLINK("#'Data'!A9442",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973" s="19" t="s">
        <v>48</v>
      </c>
      <c r="E973" s="21">
        <v>1985</v>
      </c>
    </row>
    <row r="974" spans="2:5" x14ac:dyDescent="0.3">
      <c r="B974" s="19" t="s">
        <v>42</v>
      </c>
      <c r="C974" s="20" t="str">
        <f>HYPERLINK("#'Data'!A9507",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974" s="19" t="s">
        <v>48</v>
      </c>
      <c r="E974" s="21">
        <v>2000</v>
      </c>
    </row>
    <row r="975" spans="2:5" x14ac:dyDescent="0.3">
      <c r="B975" s="19" t="s">
        <v>42</v>
      </c>
      <c r="C975" s="20" t="str">
        <f>HYPERLINK("#'Data'!A9576",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975" s="19" t="s">
        <v>48</v>
      </c>
      <c r="E975" s="21">
        <v>2015</v>
      </c>
    </row>
    <row r="976" spans="2:5" x14ac:dyDescent="0.3">
      <c r="B976" s="19" t="s">
        <v>42</v>
      </c>
      <c r="C976" s="20" t="str">
        <f>HYPERLINK("#'Data'!A9642",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976" s="19" t="s">
        <v>48</v>
      </c>
      <c r="E976" s="21">
        <v>2030</v>
      </c>
    </row>
    <row r="977" spans="2:5" x14ac:dyDescent="0.3">
      <c r="B977" s="19" t="s">
        <v>42</v>
      </c>
      <c r="C977" s="20" t="str">
        <f>HYPERLINK("#'Data'!A9705",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977" s="19" t="s">
        <v>48</v>
      </c>
      <c r="E977" s="21">
        <v>2045</v>
      </c>
    </row>
    <row r="978" spans="2:5" x14ac:dyDescent="0.3">
      <c r="B978" s="19" t="s">
        <v>42</v>
      </c>
      <c r="C978" s="20" t="str">
        <f>HYPERLINK("#'Data'!A9775",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978" s="19" t="s">
        <v>48</v>
      </c>
      <c r="E978" s="21">
        <v>2060</v>
      </c>
    </row>
    <row r="979" spans="2:5" x14ac:dyDescent="0.3">
      <c r="B979" s="19" t="s">
        <v>42</v>
      </c>
      <c r="C979" s="20" t="str">
        <f>HYPERLINK("#'Data'!A9849",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979" s="19" t="s">
        <v>48</v>
      </c>
      <c r="E979" s="21">
        <v>2075</v>
      </c>
    </row>
    <row r="980" spans="2:5" hidden="1" x14ac:dyDescent="0.3">
      <c r="B980" s="19" t="s">
        <v>40</v>
      </c>
      <c r="C980" s="20" t="str">
        <f>HYPERLINK("#'Data'!A15",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980" s="19" t="s">
        <v>49</v>
      </c>
      <c r="E980" s="21">
        <v>4</v>
      </c>
    </row>
    <row r="981" spans="2:5" hidden="1" x14ac:dyDescent="0.3">
      <c r="B981" s="19" t="s">
        <v>40</v>
      </c>
      <c r="C981" s="20" t="str">
        <f>HYPERLINK("#'Data'!A89",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981" s="19" t="s">
        <v>49</v>
      </c>
      <c r="E981" s="21">
        <v>19</v>
      </c>
    </row>
    <row r="982" spans="2:5" x14ac:dyDescent="0.3">
      <c r="B982" s="19" t="s">
        <v>42</v>
      </c>
      <c r="C982" s="20" t="str">
        <f>HYPERLINK("#'Data'!A163",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982" s="19" t="s">
        <v>49</v>
      </c>
      <c r="E982" s="21">
        <v>34</v>
      </c>
    </row>
    <row r="983" spans="2:5" x14ac:dyDescent="0.3">
      <c r="B983" s="19" t="s">
        <v>42</v>
      </c>
      <c r="C983" s="20" t="str">
        <f>HYPERLINK("#'Data'!A237",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983" s="19" t="s">
        <v>49</v>
      </c>
      <c r="E983" s="21">
        <v>49</v>
      </c>
    </row>
    <row r="984" spans="2:5" hidden="1" x14ac:dyDescent="0.3">
      <c r="B984" s="19" t="s">
        <v>40</v>
      </c>
      <c r="C984" s="20" t="str">
        <f>HYPERLINK("#'Data'!A311", "Sources of income or financial support  household received in the last month [Baseline] broken down by households_with_children_under_1_years_of_age o...")</f>
        <v>Sources of income or financial support  household received in the last month [Baseline] broken down by households_with_children_under_1_years_of_age o...</v>
      </c>
      <c r="D984" s="19" t="s">
        <v>49</v>
      </c>
      <c r="E984" s="21">
        <v>64</v>
      </c>
    </row>
    <row r="985" spans="2:5" x14ac:dyDescent="0.3">
      <c r="B985" s="19" t="s">
        <v>42</v>
      </c>
      <c r="C985" s="20" t="str">
        <f>HYPERLINK("#'Data'!A385",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985" s="19" t="s">
        <v>49</v>
      </c>
      <c r="E985" s="21">
        <v>79</v>
      </c>
    </row>
    <row r="986" spans="2:5" hidden="1" x14ac:dyDescent="0.3">
      <c r="B986" s="19" t="s">
        <v>40</v>
      </c>
      <c r="C986" s="20" t="str">
        <f>HYPERLINK("#'Data'!A459",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986" s="19" t="s">
        <v>49</v>
      </c>
      <c r="E986" s="21">
        <v>94</v>
      </c>
    </row>
    <row r="987" spans="2:5" hidden="1" x14ac:dyDescent="0.3">
      <c r="B987" s="19" t="s">
        <v>40</v>
      </c>
      <c r="C987" s="20" t="str">
        <f>HYPERLINK("#'Data'!A533",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987" s="19" t="s">
        <v>49</v>
      </c>
      <c r="E987" s="21">
        <v>109</v>
      </c>
    </row>
    <row r="988" spans="2:5" x14ac:dyDescent="0.3">
      <c r="B988" s="19" t="s">
        <v>42</v>
      </c>
      <c r="C988" s="20" t="str">
        <f>HYPERLINK("#'Data'!A607",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988" s="19" t="s">
        <v>49</v>
      </c>
      <c r="E988" s="21">
        <v>124</v>
      </c>
    </row>
    <row r="989" spans="2:5" x14ac:dyDescent="0.3">
      <c r="B989" s="19" t="s">
        <v>42</v>
      </c>
      <c r="C989" s="20" t="str">
        <f>HYPERLINK("#'Data'!A681",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989" s="19" t="s">
        <v>49</v>
      </c>
      <c r="E989" s="21">
        <v>139</v>
      </c>
    </row>
    <row r="990" spans="2:5" hidden="1" x14ac:dyDescent="0.3">
      <c r="B990" s="19" t="s">
        <v>40</v>
      </c>
      <c r="C990" s="20" t="str">
        <f>HYPERLINK("#'Data'!A755", "Household expenditures by category over the past 30 days [or month] in UAH [Baseline] broken down by households_with_children_under_1_years_of_age on ...")</f>
        <v>Household expenditures by category over the past 30 days [or month] in UAH [Baseline] broken down by households_with_children_under_1_years_of_age on ...</v>
      </c>
      <c r="D990" s="19" t="s">
        <v>49</v>
      </c>
      <c r="E990" s="21">
        <v>154</v>
      </c>
    </row>
    <row r="991" spans="2:5" x14ac:dyDescent="0.3">
      <c r="B991" s="19" t="s">
        <v>42</v>
      </c>
      <c r="C991" s="20" t="str">
        <f>HYPERLINK("#'Data'!A829", "Household expenditures by category over the past 30 days [or month] in UAH [Endline] broken down by households_with_children_under_1_years_of_age on t...")</f>
        <v>Household expenditures by category over the past 30 days [or month] in UAH [Endline] broken down by households_with_children_under_1_years_of_age on t...</v>
      </c>
      <c r="D991" s="19" t="s">
        <v>49</v>
      </c>
      <c r="E991" s="21">
        <v>169</v>
      </c>
    </row>
    <row r="992" spans="2:5" hidden="1" x14ac:dyDescent="0.3">
      <c r="B992" s="19" t="s">
        <v>40</v>
      </c>
      <c r="C992" s="20" t="str">
        <f>HYPERLINK("#'Data'!A903", "Household's ability to meet basic needs (self-defined and prioritized) [Baseline] broken down by households_with_children_under_1_years_of_age on the ...")</f>
        <v>Household's ability to meet basic needs (self-defined and prioritized) [Baseline] broken down by households_with_children_under_1_years_of_age on the ...</v>
      </c>
      <c r="D992" s="19" t="s">
        <v>49</v>
      </c>
      <c r="E992" s="21">
        <v>184</v>
      </c>
    </row>
    <row r="993" spans="2:5" x14ac:dyDescent="0.3">
      <c r="B993" s="19" t="s">
        <v>42</v>
      </c>
      <c r="C993" s="20" t="str">
        <f>HYPERLINK("#'Data'!A977", "Household's ability to meet basic needs (self-defined and prioritized) [Endline] broken down by households_with_children_under_1_years_of_age on the a...")</f>
        <v>Household's ability to meet basic needs (self-defined and prioritized) [Endline] broken down by households_with_children_under_1_years_of_age on the a...</v>
      </c>
      <c r="D993" s="19" t="s">
        <v>49</v>
      </c>
      <c r="E993" s="21">
        <v>199</v>
      </c>
    </row>
    <row r="994" spans="2:5" hidden="1" x14ac:dyDescent="0.3">
      <c r="B994" s="19" t="s">
        <v>40</v>
      </c>
      <c r="C994" s="20" t="str">
        <f>HYPERLINK("#'Data'!A1051", "Basic needs the household is currently unable to fulfill (if not all are met) [Baseline] broken down by households_with_children_under_1_years_of_age ...")</f>
        <v>Basic needs the household is currently unable to fulfill (if not all are met) [Baseline] broken down by households_with_children_under_1_years_of_age ...</v>
      </c>
      <c r="D994" s="19" t="s">
        <v>49</v>
      </c>
      <c r="E994" s="21">
        <v>214</v>
      </c>
    </row>
    <row r="995" spans="2:5" x14ac:dyDescent="0.3">
      <c r="B995" s="19" t="s">
        <v>42</v>
      </c>
      <c r="C995" s="20" t="str">
        <f>HYPERLINK("#'Data'!A1125", "Basic needs the household is currently unable to fulfill (if not all are met) [Endline] broken down by households_with_children_under_1_years_of_age o...")</f>
        <v>Basic needs the household is currently unable to fulfill (if not all are met) [Endline] broken down by households_with_children_under_1_years_of_age o...</v>
      </c>
      <c r="D995" s="19" t="s">
        <v>49</v>
      </c>
      <c r="E995" s="21">
        <v>229</v>
      </c>
    </row>
    <row r="996" spans="2:5" hidden="1" x14ac:dyDescent="0.3">
      <c r="B996" s="19" t="s">
        <v>40</v>
      </c>
      <c r="C996" s="20" t="str">
        <f>HYPERLINK("#'Data'!A1199", "Coping strategies used in the last 30 days due to insufficient resources to meet basic needs [Baseline] broken down by households_with_children_under_...")</f>
        <v>Coping strategies used in the last 30 days due to insufficient resources to meet basic needs [Baseline] broken down by households_with_children_under_...</v>
      </c>
      <c r="D996" s="19" t="s">
        <v>49</v>
      </c>
      <c r="E996" s="21">
        <v>244</v>
      </c>
    </row>
    <row r="997" spans="2:5" x14ac:dyDescent="0.3">
      <c r="B997" s="19" t="s">
        <v>42</v>
      </c>
      <c r="C997" s="20" t="str">
        <f>HYPERLINK("#'Data'!A1273", "Coping strategies used in the last 30 days due to insufficient resources to meet basic needs [Endline] broken down by households_with_children_under_1...")</f>
        <v>Coping strategies used in the last 30 days due to insufficient resources to meet basic needs [Endline] broken down by households_with_children_under_1...</v>
      </c>
      <c r="D997" s="19" t="s">
        <v>49</v>
      </c>
      <c r="E997" s="21">
        <v>259</v>
      </c>
    </row>
    <row r="998" spans="2:5" x14ac:dyDescent="0.3">
      <c r="B998" s="19" t="s">
        <v>42</v>
      </c>
      <c r="C998" s="20" t="str">
        <f>HYPERLINK("#'Data'!A1347", "Coping strategies avoided in the past 3 months due to receipt of MPCA [Endline] broken down by households_with_children_under_1_years_of_age on the ad...")</f>
        <v>Coping strategies avoided in the past 3 months due to receipt of MPCA [Endline] broken down by households_with_children_under_1_years_of_age on the ad...</v>
      </c>
      <c r="D998" s="19" t="s">
        <v>49</v>
      </c>
      <c r="E998" s="21">
        <v>274</v>
      </c>
    </row>
    <row r="999" spans="2:5" hidden="1" x14ac:dyDescent="0.3">
      <c r="B999" s="19" t="s">
        <v>40</v>
      </c>
      <c r="C999" s="20" t="str">
        <f>HYPERLINK("#'Data'!A1421", "Household perception of relevance of forthcoming MPCA (3,600 UAH for 3 months per member) [Baseline] broken down by households_with_children_under_1_y...")</f>
        <v>Household perception of relevance of forthcoming MPCA (3,600 UAH for 3 months per member) [Baseline] broken down by households_with_children_under_1_y...</v>
      </c>
      <c r="D999" s="19" t="s">
        <v>49</v>
      </c>
      <c r="E999" s="21">
        <v>289</v>
      </c>
    </row>
    <row r="1000" spans="2:5" hidden="1" x14ac:dyDescent="0.3">
      <c r="B1000" s="19" t="s">
        <v>40</v>
      </c>
      <c r="C1000" s="20" t="str">
        <f>HYPERLINK("#'Data'!A1495", "Estimated percentage of household needs met by upcoming MPCA (if partially appropriate) [Baseline] broken down by households_with_children_under_1_yea...")</f>
        <v>Estimated percentage of household needs met by upcoming MPCA (if partially appropriate) [Baseline] broken down by households_with_children_under_1_yea...</v>
      </c>
      <c r="D1000" s="19" t="s">
        <v>49</v>
      </c>
      <c r="E1000" s="21">
        <v>304</v>
      </c>
    </row>
    <row r="1001" spans="2:5" x14ac:dyDescent="0.3">
      <c r="B1001" s="19" t="s">
        <v>42</v>
      </c>
      <c r="C1001" s="20" t="str">
        <f>HYPERLINK("#'Data'!A1569", "Household opinion on adequacy of received MPCA (3,600 UAH for 3 months per member) [Endline] broken down by households_with_children_under_1_years_of_...")</f>
        <v>Household opinion on adequacy of received MPCA (3,600 UAH for 3 months per member) [Endline] broken down by households_with_children_under_1_years_of_...</v>
      </c>
      <c r="D1001" s="19" t="s">
        <v>49</v>
      </c>
      <c r="E1001" s="21">
        <v>319</v>
      </c>
    </row>
    <row r="1002" spans="2:5" x14ac:dyDescent="0.3">
      <c r="B1002" s="19" t="s">
        <v>42</v>
      </c>
      <c r="C1002" s="20" t="str">
        <f>HYPERLINK("#'Data'!A1643", "Estimated percentage of household needs met by received MPCA (if partially appropriate) [Endline] broken down by households_with_children_under_1_year...")</f>
        <v>Estimated percentage of household needs met by received MPCA (if partially appropriate) [Endline] broken down by households_with_children_under_1_year...</v>
      </c>
      <c r="D1002" s="19" t="s">
        <v>49</v>
      </c>
      <c r="E1002" s="21">
        <v>334</v>
      </c>
    </row>
    <row r="1003" spans="2:5" x14ac:dyDescent="0.3">
      <c r="B1003" s="19" t="s">
        <v>42</v>
      </c>
      <c r="C1003" s="20" t="str">
        <f>HYPERLINK("#'Data'!A1729", "Whether the household has already spent the received MPCA [Endline] broken down by households_with_children_under_1_years_of_age on the admin of Overa...")</f>
        <v>Whether the household has already spent the received MPCA [Endline] broken down by households_with_children_under_1_years_of_age on the admin of Overa...</v>
      </c>
      <c r="D1003" s="19" t="s">
        <v>49</v>
      </c>
      <c r="E1003" s="21">
        <v>352</v>
      </c>
    </row>
    <row r="1004" spans="2:5" x14ac:dyDescent="0.3">
      <c r="B1004" s="19" t="s">
        <v>42</v>
      </c>
      <c r="C1004" s="20" t="str">
        <f>HYPERLINK("#'Data'!A1803", "Number of weeks MPCA lasted if fully spent [Endline] broken down by households_with_children_under_1_years_of_age on the admin of Overall mean")</f>
        <v>Number of weeks MPCA lasted if fully spent [Endline] broken down by households_with_children_under_1_years_of_age on the admin of Overall mean</v>
      </c>
      <c r="D1004" s="19" t="s">
        <v>49</v>
      </c>
      <c r="E1004" s="21">
        <v>367</v>
      </c>
    </row>
    <row r="1005" spans="2:5" x14ac:dyDescent="0.3">
      <c r="B1005" s="19" t="s">
        <v>42</v>
      </c>
      <c r="C1005" s="20" t="str">
        <f>HYPERLINK("#'Data'!A1877", "Percentage of MPCA spent to date (if partially used) [Endline] broken down by households_with_children_under_1_years_of_age on the admin of Overall me...")</f>
        <v>Percentage of MPCA spent to date (if partially used) [Endline] broken down by households_with_children_under_1_years_of_age on the admin of Overall me...</v>
      </c>
      <c r="D1005" s="19" t="s">
        <v>49</v>
      </c>
      <c r="E1005" s="21">
        <v>382</v>
      </c>
    </row>
    <row r="1006" spans="2:5" x14ac:dyDescent="0.3">
      <c r="B1006" s="19" t="s">
        <v>42</v>
      </c>
      <c r="C1006" s="20" t="str">
        <f>HYPERLINK("#'Data'!A1951", "Extent to which received MPCA helped cover household needs during usage period [Endline] broken down by households_with_children_under_1_years_of_age ...")</f>
        <v>Extent to which received MPCA helped cover household needs during usage period [Endline] broken down by households_with_children_under_1_years_of_age ...</v>
      </c>
      <c r="D1006" s="19" t="s">
        <v>49</v>
      </c>
      <c r="E1006" s="21">
        <v>397</v>
      </c>
    </row>
    <row r="1007" spans="2:5" x14ac:dyDescent="0.3">
      <c r="B1007" s="19" t="s">
        <v>42</v>
      </c>
      <c r="C1007" s="20" t="str">
        <f>HYPERLINK("#'Data'!A2025", "Percentage of needs covered by MPCA (if partially met) [Endline] broken down by households_with_children_under_1_years_of_age on the admin of Overall ...")</f>
        <v>Percentage of needs covered by MPCA (if partially met) [Endline] broken down by households_with_children_under_1_years_of_age on the admin of Overall ...</v>
      </c>
      <c r="D1007" s="19" t="s">
        <v>49</v>
      </c>
      <c r="E1007" s="21">
        <v>412</v>
      </c>
    </row>
    <row r="1008" spans="2:5" hidden="1" x14ac:dyDescent="0.3">
      <c r="B1008" s="19" t="s">
        <v>40</v>
      </c>
      <c r="C1008" s="20" t="str">
        <f>HYPERLINK("#'Data'!A2099", "Priority needs requiring financial aid, with importance level [Baseline] broken down by households_with_children_under_1_years_of_age on the admin of ...")</f>
        <v>Priority needs requiring financial aid, with importance level [Baseline] broken down by households_with_children_under_1_years_of_age on the admin of ...</v>
      </c>
      <c r="D1008" s="19" t="s">
        <v>49</v>
      </c>
      <c r="E1008" s="21">
        <v>427</v>
      </c>
    </row>
    <row r="1009" spans="2:5" hidden="1" x14ac:dyDescent="0.3">
      <c r="B1009" s="19" t="s">
        <v>40</v>
      </c>
      <c r="C1009" s="20" t="str">
        <f>HYPERLINK("#'Data'!A2173", "Importance rating for 'Other' priority need requiring financial assistance [Baseline] broken down by households_with_children_under_1_years_of_age on ...")</f>
        <v>Importance rating for 'Other' priority need requiring financial assistance [Baseline] broken down by households_with_children_under_1_years_of_age on ...</v>
      </c>
      <c r="D1009" s="19" t="s">
        <v>49</v>
      </c>
      <c r="E1009" s="21">
        <v>442</v>
      </c>
    </row>
    <row r="1010" spans="2:5" hidden="1" x14ac:dyDescent="0.3">
      <c r="B1010" s="19" t="s">
        <v>40</v>
      </c>
      <c r="C1010" s="20" t="str">
        <f>HYPERLINK("#'Data'!A2245", "Importance rating for 'Food' priority need requiring financial assistance [Baseline] broken down by households_with_children_under_1_years_of_age on t...")</f>
        <v>Importance rating for 'Food' priority need requiring financial assistance [Baseline] broken down by households_with_children_under_1_years_of_age on t...</v>
      </c>
      <c r="D1010" s="19" t="s">
        <v>49</v>
      </c>
      <c r="E1010" s="21">
        <v>457</v>
      </c>
    </row>
    <row r="1011" spans="2:5" hidden="1" x14ac:dyDescent="0.3">
      <c r="B1011" s="19" t="s">
        <v>40</v>
      </c>
      <c r="C1011" s="20" t="str">
        <f>HYPERLINK("#'Data'!A2319", "Importance rating for 'Personal hygiene' priority need requiring financial assistance [Baseline] broken down by households_with_children_under_1_years...")</f>
        <v>Importance rating for 'Personal hygiene' priority need requiring financial assistance [Baseline] broken down by households_with_children_under_1_years...</v>
      </c>
      <c r="D1011" s="19" t="s">
        <v>49</v>
      </c>
      <c r="E1011" s="21">
        <v>472</v>
      </c>
    </row>
    <row r="1012" spans="2:5" hidden="1" x14ac:dyDescent="0.3">
      <c r="B1012" s="19" t="s">
        <v>40</v>
      </c>
      <c r="C1012" s="20" t="str">
        <f>HYPERLINK("#'Data'!A2390", "Importance rating for 'Cleaning items' priority need requiring financial assistance [Baseline] broken down by households_with_children_under_1_years_o...")</f>
        <v>Importance rating for 'Cleaning items' priority need requiring financial assistance [Baseline] broken down by households_with_children_under_1_years_o...</v>
      </c>
      <c r="D1012" s="19" t="s">
        <v>49</v>
      </c>
      <c r="E1012" s="21">
        <v>487</v>
      </c>
    </row>
    <row r="1013" spans="2:5" hidden="1" x14ac:dyDescent="0.3">
      <c r="B1013" s="19" t="s">
        <v>40</v>
      </c>
      <c r="C1013" s="20" t="str">
        <f>HYPERLINK("#'Data'!A2455", "Importance rating for 'Non-food items' priority need requiring financial assistance [Baseline] broken down by households_with_children_under_1_years_o...")</f>
        <v>Importance rating for 'Non-food items' priority need requiring financial assistance [Baseline] broken down by households_with_children_under_1_years_o...</v>
      </c>
      <c r="D1013" s="19" t="s">
        <v>49</v>
      </c>
      <c r="E1013" s="21">
        <v>502</v>
      </c>
    </row>
    <row r="1014" spans="2:5" hidden="1" x14ac:dyDescent="0.3">
      <c r="B1014" s="19" t="s">
        <v>40</v>
      </c>
      <c r="C1014" s="20" t="str">
        <f>HYPERLINK("#'Data'!A2521", "Importance rating for 'Clothing and shoes' priority need requiring financial assistance [Baseline] broken down by households_with_children_under_1_yea...")</f>
        <v>Importance rating for 'Clothing and shoes' priority need requiring financial assistance [Baseline] broken down by households_with_children_under_1_yea...</v>
      </c>
      <c r="D1014" s="19" t="s">
        <v>49</v>
      </c>
      <c r="E1014" s="21">
        <v>517</v>
      </c>
    </row>
    <row r="1015" spans="2:5" hidden="1" x14ac:dyDescent="0.3">
      <c r="B1015" s="19" t="s">
        <v>40</v>
      </c>
      <c r="C1015" s="20" t="str">
        <f>HYPERLINK("#'Data'!A2594", "Importance rating for 'Heating fuel' priority need requiring financial assistance [Baseline] broken down by households_with_children_under_1_years_of_...")</f>
        <v>Importance rating for 'Heating fuel' priority need requiring financial assistance [Baseline] broken down by households_with_children_under_1_years_of_...</v>
      </c>
      <c r="D1015" s="19" t="s">
        <v>49</v>
      </c>
      <c r="E1015" s="21">
        <v>532</v>
      </c>
    </row>
    <row r="1016" spans="2:5" hidden="1" x14ac:dyDescent="0.3">
      <c r="B1016" s="19" t="s">
        <v>40</v>
      </c>
      <c r="C1016" s="20" t="str">
        <f>HYPERLINK("#'Data'!A2666", "Importance rating for 'Safe water' priority need requiring financial assistance [Baseline] broken down by households_with_children_under_1_years_of_ag...")</f>
        <v>Importance rating for 'Safe water' priority need requiring financial assistance [Baseline] broken down by households_with_children_under_1_years_of_ag...</v>
      </c>
      <c r="D1016" s="19" t="s">
        <v>49</v>
      </c>
      <c r="E1016" s="21">
        <v>547</v>
      </c>
    </row>
    <row r="1017" spans="2:5" hidden="1" x14ac:dyDescent="0.3">
      <c r="B1017" s="19" t="s">
        <v>40</v>
      </c>
      <c r="C1017" s="20" t="str">
        <f>HYPERLINK("#'Data'!A2727", "Importance rating for 'Utilities' priority need requiring financial assistance [Baseline] broken down by households_with_children_under_1_years_of_age...")</f>
        <v>Importance rating for 'Utilities' priority need requiring financial assistance [Baseline] broken down by households_with_children_under_1_years_of_age...</v>
      </c>
      <c r="D1017" s="19" t="s">
        <v>49</v>
      </c>
      <c r="E1017" s="21">
        <v>562</v>
      </c>
    </row>
    <row r="1018" spans="2:5" hidden="1" x14ac:dyDescent="0.3">
      <c r="B1018" s="19" t="s">
        <v>40</v>
      </c>
      <c r="C1018" s="20" t="str">
        <f>HYPERLINK("#'Data'!A2800", "Importance rating for 'Water supply' priority need requiring financial assistance [Baseline] broken down by households_with_children_under_1_years_of_...")</f>
        <v>Importance rating for 'Water supply' priority need requiring financial assistance [Baseline] broken down by households_with_children_under_1_years_of_...</v>
      </c>
      <c r="D1018" s="19" t="s">
        <v>49</v>
      </c>
      <c r="E1018" s="21">
        <v>577</v>
      </c>
    </row>
    <row r="1019" spans="2:5" hidden="1" x14ac:dyDescent="0.3">
      <c r="B1019" s="19" t="s">
        <v>40</v>
      </c>
      <c r="C1019" s="20" t="str">
        <f>HYPERLINK("#'Data'!A2860", "Importance rating for 'Rent' priority need requiring financial assistance [Baseline] broken down by households_with_children_under_1_years_of_age on t...")</f>
        <v>Importance rating for 'Rent' priority need requiring financial assistance [Baseline] broken down by households_with_children_under_1_years_of_age on t...</v>
      </c>
      <c r="D1019" s="19" t="s">
        <v>49</v>
      </c>
      <c r="E1019" s="21">
        <v>592</v>
      </c>
    </row>
    <row r="1020" spans="2:5" hidden="1" x14ac:dyDescent="0.3">
      <c r="B1020" s="19" t="s">
        <v>40</v>
      </c>
      <c r="C1020" s="20" t="str">
        <f>HYPERLINK("#'Data'!A2927", "Importance rating for 'Medication' priority need requiring financial assistance [Baseline] broken down by households_with_children_under_1_years_of_ag...")</f>
        <v>Importance rating for 'Medication' priority need requiring financial assistance [Baseline] broken down by households_with_children_under_1_years_of_ag...</v>
      </c>
      <c r="D1020" s="19" t="s">
        <v>49</v>
      </c>
      <c r="E1020" s="21">
        <v>607</v>
      </c>
    </row>
    <row r="1021" spans="2:5" hidden="1" x14ac:dyDescent="0.3">
      <c r="B1021" s="19" t="s">
        <v>40</v>
      </c>
      <c r="C1021" s="20" t="str">
        <f>HYPERLINK("#'Data'!A3000", "Importance rating for 'Agricultural inputs' priority need requiring financial assistance [Baseline] broken down by households_with_children_under_1_ye...")</f>
        <v>Importance rating for 'Agricultural inputs' priority need requiring financial assistance [Baseline] broken down by households_with_children_under_1_ye...</v>
      </c>
      <c r="D1021" s="19" t="s">
        <v>49</v>
      </c>
      <c r="E1021" s="21">
        <v>622</v>
      </c>
    </row>
    <row r="1022" spans="2:5" hidden="1" x14ac:dyDescent="0.3">
      <c r="B1022" s="19" t="s">
        <v>40</v>
      </c>
      <c r="C1022" s="20" t="str">
        <f>HYPERLINK("#'Data'!A3069", "Importance rating for 'Shelter maintenance' priority need requiring financial assistance [Baseline] broken down by households_with_children_under_1_ye...")</f>
        <v>Importance rating for 'Shelter maintenance' priority need requiring financial assistance [Baseline] broken down by households_with_children_under_1_ye...</v>
      </c>
      <c r="D1022" s="19" t="s">
        <v>49</v>
      </c>
      <c r="E1022" s="21">
        <v>637</v>
      </c>
    </row>
    <row r="1023" spans="2:5" hidden="1" x14ac:dyDescent="0.3">
      <c r="B1023" s="19" t="s">
        <v>40</v>
      </c>
      <c r="C1023" s="20" t="str">
        <f>HYPERLINK("#'Data'!A3138", "Importance rating for 'Transportation' priority need requiring financial assistance [Baseline] broken down by households_with_children_under_1_years_o...")</f>
        <v>Importance rating for 'Transportation' priority need requiring financial assistance [Baseline] broken down by households_with_children_under_1_years_o...</v>
      </c>
      <c r="D1023" s="19" t="s">
        <v>49</v>
      </c>
      <c r="E1023" s="21">
        <v>652</v>
      </c>
    </row>
    <row r="1024" spans="2:5" hidden="1" x14ac:dyDescent="0.3">
      <c r="B1024" s="19" t="s">
        <v>40</v>
      </c>
      <c r="C1024" s="20" t="str">
        <f>HYPERLINK("#'Data'!A3202", "Importance rating for 'Communication' priority need requiring financial assistance [Baseline] broken down by households_with_children_under_1_years_of...")</f>
        <v>Importance rating for 'Communication' priority need requiring financial assistance [Baseline] broken down by households_with_children_under_1_years_of...</v>
      </c>
      <c r="D1024" s="19" t="s">
        <v>49</v>
      </c>
      <c r="E1024" s="21">
        <v>667</v>
      </c>
    </row>
    <row r="1025" spans="2:5" hidden="1" x14ac:dyDescent="0.3">
      <c r="B1025" s="19" t="s">
        <v>40</v>
      </c>
      <c r="C1025" s="20" t="str">
        <f>HYPERLINK("#'Data'!A3263", "Importance rating for 'Education materials' priority need requiring financial assistance [Baseline] broken down by households_with_children_under_1_ye...")</f>
        <v>Importance rating for 'Education materials' priority need requiring financial assistance [Baseline] broken down by households_with_children_under_1_ye...</v>
      </c>
      <c r="D1025" s="19" t="s">
        <v>49</v>
      </c>
      <c r="E1025" s="21">
        <v>682</v>
      </c>
    </row>
    <row r="1026" spans="2:5" hidden="1" x14ac:dyDescent="0.3">
      <c r="B1026" s="19" t="s">
        <v>40</v>
      </c>
      <c r="C1026" s="20" t="str">
        <f>HYPERLINK("#'Data'!A3333", "Household needs met exclusively due to MPCA and their fulfillment level [Endline] broken down by households_with_children_under_1_years_of_age on the ...")</f>
        <v>Household needs met exclusively due to MPCA and their fulfillment level [Endline] broken down by households_with_children_under_1_years_of_age on the ...</v>
      </c>
      <c r="D1026" s="19" t="s">
        <v>49</v>
      </c>
      <c r="E1026" s="21">
        <v>697</v>
      </c>
    </row>
    <row r="1027" spans="2:5" hidden="1" x14ac:dyDescent="0.3">
      <c r="B1027" s="19" t="s">
        <v>40</v>
      </c>
      <c r="C1027" s="20" t="str">
        <f>HYPERLINK("#'Data'!A3407", "Fulfillment level of 'Other' need met exclusively due to MPCA [Endline] broken down by households_with_children_under_1_years_of_age on the admin of O...")</f>
        <v>Fulfillment level of 'Other' need met exclusively due to MPCA [Endline] broken down by households_with_children_under_1_years_of_age on the admin of O...</v>
      </c>
      <c r="D1027" s="19" t="s">
        <v>49</v>
      </c>
      <c r="E1027" s="21">
        <v>712</v>
      </c>
    </row>
    <row r="1028" spans="2:5" hidden="1" x14ac:dyDescent="0.3">
      <c r="B1028" s="19" t="s">
        <v>40</v>
      </c>
      <c r="C1028" s="20" t="str">
        <f>HYPERLINK("#'Data'!A3479", "Fulfillment level of 'Food' need met exclusively due to MPCA [Endline] broken down by households_with_children_under_1_years_of_age on the admin of Ov...")</f>
        <v>Fulfillment level of 'Food' need met exclusively due to MPCA [Endline] broken down by households_with_children_under_1_years_of_age on the admin of Ov...</v>
      </c>
      <c r="D1028" s="19" t="s">
        <v>49</v>
      </c>
      <c r="E1028" s="21">
        <v>727</v>
      </c>
    </row>
    <row r="1029" spans="2:5" x14ac:dyDescent="0.3">
      <c r="B1029" s="19" t="s">
        <v>42</v>
      </c>
      <c r="C1029" s="20" t="str">
        <f>HYPERLINK("#'Data'!A3551", "Fulfillment level of 'Personal hygiene' need met exclusively due to MPCA [Endline] broken down by households_with_children_under_1_years_of_age on the...")</f>
        <v>Fulfillment level of 'Personal hygiene' need met exclusively due to MPCA [Endline] broken down by households_with_children_under_1_years_of_age on the...</v>
      </c>
      <c r="D1029" s="19" t="s">
        <v>49</v>
      </c>
      <c r="E1029" s="21">
        <v>742</v>
      </c>
    </row>
    <row r="1030" spans="2:5" x14ac:dyDescent="0.3">
      <c r="B1030" s="19" t="s">
        <v>42</v>
      </c>
      <c r="C1030" s="20" t="str">
        <f>HYPERLINK("#'Data'!A3622", "Fulfillment level of 'Cleaning items' need met exclusively due to MPCA [Endline] broken down by households_with_children_under_1_years_of_age on the a...")</f>
        <v>Fulfillment level of 'Cleaning items' need met exclusively due to MPCA [Endline] broken down by households_with_children_under_1_years_of_age on the a...</v>
      </c>
      <c r="D1030" s="19" t="s">
        <v>49</v>
      </c>
      <c r="E1030" s="21">
        <v>757</v>
      </c>
    </row>
    <row r="1031" spans="2:5" x14ac:dyDescent="0.3">
      <c r="B1031" s="19" t="s">
        <v>42</v>
      </c>
      <c r="C1031" s="20" t="str">
        <f>HYPERLINK("#'Data'!A3693", "Fulfillment level of 'Non-food items' need met exclusively due to MPCA [Endline] broken down by households_with_children_under_1_years_of_age on the a...")</f>
        <v>Fulfillment level of 'Non-food items' need met exclusively due to MPCA [Endline] broken down by households_with_children_under_1_years_of_age on the a...</v>
      </c>
      <c r="D1031" s="19" t="s">
        <v>49</v>
      </c>
      <c r="E1031" s="21">
        <v>772</v>
      </c>
    </row>
    <row r="1032" spans="2:5" x14ac:dyDescent="0.3">
      <c r="B1032" s="19" t="s">
        <v>42</v>
      </c>
      <c r="C1032" s="20" t="str">
        <f>HYPERLINK("#'Data'!A3764", "Fulfillment level of 'Clothing and shoes' need met exclusively due to MPCA [Endline] broken down by households_with_children_under_1_years_of_age on t...")</f>
        <v>Fulfillment level of 'Clothing and shoes' need met exclusively due to MPCA [Endline] broken down by households_with_children_under_1_years_of_age on t...</v>
      </c>
      <c r="D1032" s="19" t="s">
        <v>49</v>
      </c>
      <c r="E1032" s="21">
        <v>787</v>
      </c>
    </row>
    <row r="1033" spans="2:5" x14ac:dyDescent="0.3">
      <c r="B1033" s="19" t="s">
        <v>42</v>
      </c>
      <c r="C1033" s="20" t="str">
        <f>HYPERLINK("#'Data'!A3837", "Fulfillment level of 'Heating fuel' need met exclusively due to MPCA [Endline] broken down by households_with_children_under_1_years_of_age on the adm...")</f>
        <v>Fulfillment level of 'Heating fuel' need met exclusively due to MPCA [Endline] broken down by households_with_children_under_1_years_of_age on the adm...</v>
      </c>
      <c r="D1033" s="19" t="s">
        <v>49</v>
      </c>
      <c r="E1033" s="21">
        <v>802</v>
      </c>
    </row>
    <row r="1034" spans="2:5" x14ac:dyDescent="0.3">
      <c r="B1034" s="19" t="s">
        <v>42</v>
      </c>
      <c r="C1034" s="20" t="str">
        <f>HYPERLINK("#'Data'!A3910", "Fulfillment level of 'Safe water' need met exclusively due to MPCA [Endline] broken down by households_with_children_under_1_years_of_age on the admin...")</f>
        <v>Fulfillment level of 'Safe water' need met exclusively due to MPCA [Endline] broken down by households_with_children_under_1_years_of_age on the admin...</v>
      </c>
      <c r="D1034" s="19" t="s">
        <v>49</v>
      </c>
      <c r="E1034" s="21">
        <v>817</v>
      </c>
    </row>
    <row r="1035" spans="2:5" x14ac:dyDescent="0.3">
      <c r="B1035" s="19" t="s">
        <v>42</v>
      </c>
      <c r="C1035" s="20" t="str">
        <f>HYPERLINK("#'Data'!A3974", "Fulfillment level of 'Utilities' need met exclusively due to MPCA [Endline] broken down by households_with_children_under_1_years_of_age on the admin ...")</f>
        <v>Fulfillment level of 'Utilities' need met exclusively due to MPCA [Endline] broken down by households_with_children_under_1_years_of_age on the admin ...</v>
      </c>
      <c r="D1035" s="19" t="s">
        <v>49</v>
      </c>
      <c r="E1035" s="21">
        <v>832</v>
      </c>
    </row>
    <row r="1036" spans="2:5" x14ac:dyDescent="0.3">
      <c r="B1036" s="19" t="s">
        <v>42</v>
      </c>
      <c r="C1036" s="20" t="str">
        <f>HYPERLINK("#'Data'!A4047", "Fulfillment level of 'Water supply' need met exclusively due to MPCA [Endline] broken down by households_with_children_under_1_years_of_age on the adm...")</f>
        <v>Fulfillment level of 'Water supply' need met exclusively due to MPCA [Endline] broken down by households_with_children_under_1_years_of_age on the adm...</v>
      </c>
      <c r="D1036" s="19" t="s">
        <v>49</v>
      </c>
      <c r="E1036" s="21">
        <v>847</v>
      </c>
    </row>
    <row r="1037" spans="2:5" x14ac:dyDescent="0.3">
      <c r="B1037" s="19" t="s">
        <v>42</v>
      </c>
      <c r="C1037" s="20" t="str">
        <f>HYPERLINK("#'Data'!A4115", "Fulfillment level of 'Rent' need met exclusively due to MPCA [Endline] broken down by households_with_children_under_1_years_of_age on the admin of Ov...")</f>
        <v>Fulfillment level of 'Rent' need met exclusively due to MPCA [Endline] broken down by households_with_children_under_1_years_of_age on the admin of Ov...</v>
      </c>
      <c r="D1037" s="19" t="s">
        <v>49</v>
      </c>
      <c r="E1037" s="21">
        <v>862</v>
      </c>
    </row>
    <row r="1038" spans="2:5" x14ac:dyDescent="0.3">
      <c r="B1038" s="19" t="s">
        <v>42</v>
      </c>
      <c r="C1038" s="20" t="str">
        <f>HYPERLINK("#'Data'!A4185", "Fulfillment level of 'Assistive products' need met exclusively due to MPCA [Endline] broken down by households_with_children_under_1_years_of_age on t...")</f>
        <v>Fulfillment level of 'Assistive products' need met exclusively due to MPCA [Endline] broken down by households_with_children_under_1_years_of_age on t...</v>
      </c>
      <c r="D1038" s="19" t="s">
        <v>49</v>
      </c>
      <c r="E1038" s="21">
        <v>877</v>
      </c>
    </row>
    <row r="1039" spans="2:5" x14ac:dyDescent="0.3">
      <c r="B1039" s="19" t="s">
        <v>42</v>
      </c>
      <c r="C1039" s="20" t="str">
        <f>HYPERLINK("#'Data'!A4246", "Fulfillment level of 'Medication' need met exclusively due to MPCA [Endline] broken down by households_with_children_under_1_years_of_age on the admin...")</f>
        <v>Fulfillment level of 'Medication' need met exclusively due to MPCA [Endline] broken down by households_with_children_under_1_years_of_age on the admin...</v>
      </c>
      <c r="D1039" s="19" t="s">
        <v>49</v>
      </c>
      <c r="E1039" s="21">
        <v>892</v>
      </c>
    </row>
    <row r="1040" spans="2:5" x14ac:dyDescent="0.3">
      <c r="B1040" s="19" t="s">
        <v>42</v>
      </c>
      <c r="C1040" s="20" t="str">
        <f>HYPERLINK("#'Data'!A4319", "Fulfillment level of 'Agricultural inputs' need met exclusively due to MPCA [Endline] broken down by households_with_children_under_1_years_of_age on ...")</f>
        <v>Fulfillment level of 'Agricultural inputs' need met exclusively due to MPCA [Endline] broken down by households_with_children_under_1_years_of_age on ...</v>
      </c>
      <c r="D1040" s="19" t="s">
        <v>49</v>
      </c>
      <c r="E1040" s="21">
        <v>907</v>
      </c>
    </row>
    <row r="1041" spans="2:5" x14ac:dyDescent="0.3">
      <c r="B1041" s="19" t="s">
        <v>42</v>
      </c>
      <c r="C1041" s="20" t="str">
        <f>HYPERLINK("#'Data'!A4385", "Fulfillment level of 'Shelter maintenance' need met exclusively due to MPCA [Endline] broken down by households_with_children_under_1_years_of_age on ...")</f>
        <v>Fulfillment level of 'Shelter maintenance' need met exclusively due to MPCA [Endline] broken down by households_with_children_under_1_years_of_age on ...</v>
      </c>
      <c r="D1041" s="19" t="s">
        <v>49</v>
      </c>
      <c r="E1041" s="21">
        <v>922</v>
      </c>
    </row>
    <row r="1042" spans="2:5" x14ac:dyDescent="0.3">
      <c r="B1042" s="19" t="s">
        <v>42</v>
      </c>
      <c r="C1042" s="20" t="str">
        <f>HYPERLINK("#'Data'!A4457", "Fulfillment level of 'Future savings' need met exclusively due to MPCA [Endline] broken down by households_with_children_under_1_years_of_age on the a...")</f>
        <v>Fulfillment level of 'Future savings' need met exclusively due to MPCA [Endline] broken down by households_with_children_under_1_years_of_age on the a...</v>
      </c>
      <c r="D1042" s="19" t="s">
        <v>49</v>
      </c>
      <c r="E1042" s="21">
        <v>937</v>
      </c>
    </row>
    <row r="1043" spans="2:5" x14ac:dyDescent="0.3">
      <c r="B1043" s="19" t="s">
        <v>42</v>
      </c>
      <c r="C1043" s="20" t="str">
        <f>HYPERLINK("#'Data'!A4526", "Fulfillment level of 'Shared with others' need met exclusively due to MPCA [Endline] broken down by households_with_children_under_1_years_of_age on t...")</f>
        <v>Fulfillment level of 'Shared with others' need met exclusively due to MPCA [Endline] broken down by households_with_children_under_1_years_of_age on t...</v>
      </c>
      <c r="D1043" s="19" t="s">
        <v>49</v>
      </c>
      <c r="E1043" s="21">
        <v>952</v>
      </c>
    </row>
    <row r="1044" spans="2:5" x14ac:dyDescent="0.3">
      <c r="B1044" s="19" t="s">
        <v>42</v>
      </c>
      <c r="C1044" s="20" t="str">
        <f>HYPERLINK("#'Data'!A4593", "Fulfillment level of 'Transportation' need met exclusively due to MPCA [Endline] broken down by households_with_children_under_1_years_of_age on the a...")</f>
        <v>Fulfillment level of 'Transportation' need met exclusively due to MPCA [Endline] broken down by households_with_children_under_1_years_of_age on the a...</v>
      </c>
      <c r="D1044" s="19" t="s">
        <v>49</v>
      </c>
      <c r="E1044" s="21">
        <v>967</v>
      </c>
    </row>
    <row r="1045" spans="2:5" x14ac:dyDescent="0.3">
      <c r="B1045" s="19" t="s">
        <v>42</v>
      </c>
      <c r="C1045" s="20" t="str">
        <f>HYPERLINK("#'Data'!A4662", "Fulfillment level of 'Communication' need met exclusively due to MPCA [Endline] broken down by households_with_children_under_1_years_of_age on the ad...")</f>
        <v>Fulfillment level of 'Communication' need met exclusively due to MPCA [Endline] broken down by households_with_children_under_1_years_of_age on the ad...</v>
      </c>
      <c r="D1045" s="19" t="s">
        <v>49</v>
      </c>
      <c r="E1045" s="21">
        <v>982</v>
      </c>
    </row>
    <row r="1046" spans="2:5" x14ac:dyDescent="0.3">
      <c r="B1046" s="19" t="s">
        <v>42</v>
      </c>
      <c r="C1046" s="20" t="str">
        <f>HYPERLINK("#'Data'!A4734", "Fulfillment level of 'Education materials' need met exclusively due to MPCA [Endline] broken down by households_with_children_under_1_years_of_age on ...")</f>
        <v>Fulfillment level of 'Education materials' need met exclusively due to MPCA [Endline] broken down by households_with_children_under_1_years_of_age on ...</v>
      </c>
      <c r="D1046" s="19" t="s">
        <v>49</v>
      </c>
      <c r="E1046" s="21">
        <v>997</v>
      </c>
    </row>
    <row r="1047" spans="2:5" x14ac:dyDescent="0.3">
      <c r="B1047" s="19" t="s">
        <v>42</v>
      </c>
      <c r="C1047" s="20" t="str">
        <f>HYPERLINK("#'Data'!A4805", "Estimated percentage of MPCA spent on each category of goods and services [Endline] broken down by households_with_children_under_1_years_of_age on th...")</f>
        <v>Estimated percentage of MPCA spent on each category of goods and services [Endline] broken down by households_with_children_under_1_years_of_age on th...</v>
      </c>
      <c r="D1047" s="19" t="s">
        <v>49</v>
      </c>
      <c r="E1047" s="21">
        <v>1012</v>
      </c>
    </row>
    <row r="1048" spans="2:5" x14ac:dyDescent="0.3">
      <c r="B1048" s="19" t="s">
        <v>42</v>
      </c>
      <c r="C1048" s="20" t="str">
        <f>HYPERLINK("#'Data'!A4879", "Estimated percentage of MPCA spent on 'Other' category [Endline] broken down by households_with_children_under_1_years_of_age on the admin of Overall ...")</f>
        <v>Estimated percentage of MPCA spent on 'Other' category [Endline] broken down by households_with_children_under_1_years_of_age on the admin of Overall ...</v>
      </c>
      <c r="D1048" s="19" t="s">
        <v>49</v>
      </c>
      <c r="E1048" s="21">
        <v>1027</v>
      </c>
    </row>
    <row r="1049" spans="2:5" x14ac:dyDescent="0.3">
      <c r="B1049" s="19" t="s">
        <v>42</v>
      </c>
      <c r="C1049" s="20" t="str">
        <f>HYPERLINK("#'Data'!A4951", "Estimated percentage of MPCA spent on 'Food' category [Endline] broken down by households_with_children_under_1_years_of_age on the admin of Overall m...")</f>
        <v>Estimated percentage of MPCA spent on 'Food' category [Endline] broken down by households_with_children_under_1_years_of_age on the admin of Overall m...</v>
      </c>
      <c r="D1049" s="19" t="s">
        <v>49</v>
      </c>
      <c r="E1049" s="21">
        <v>1042</v>
      </c>
    </row>
    <row r="1050" spans="2:5" x14ac:dyDescent="0.3">
      <c r="B1050" s="19" t="s">
        <v>42</v>
      </c>
      <c r="C1050" s="20" t="str">
        <f>HYPERLINK("#'Data'!A5023", "Estimated percentage of MPCA spent on 'Personal hygiene' category [Endline] broken down by households_with_children_under_1_years_of_age on the admin ...")</f>
        <v>Estimated percentage of MPCA spent on 'Personal hygiene' category [Endline] broken down by households_with_children_under_1_years_of_age on the admin ...</v>
      </c>
      <c r="D1050" s="19" t="s">
        <v>49</v>
      </c>
      <c r="E1050" s="21">
        <v>1057</v>
      </c>
    </row>
    <row r="1051" spans="2:5" x14ac:dyDescent="0.3">
      <c r="B1051" s="19" t="s">
        <v>42</v>
      </c>
      <c r="C1051" s="20" t="str">
        <f>HYPERLINK("#'Data'!A5095", "Estimated percentage of MPCA spent on 'Cleaning items' category [Endline] broken down by households_with_children_under_1_years_of_age on the admin of...")</f>
        <v>Estimated percentage of MPCA spent on 'Cleaning items' category [Endline] broken down by households_with_children_under_1_years_of_age on the admin of...</v>
      </c>
      <c r="D1051" s="19" t="s">
        <v>49</v>
      </c>
      <c r="E1051" s="21">
        <v>1072</v>
      </c>
    </row>
    <row r="1052" spans="2:5" x14ac:dyDescent="0.3">
      <c r="B1052" s="19" t="s">
        <v>42</v>
      </c>
      <c r="C1052" s="20" t="str">
        <f>HYPERLINK("#'Data'!A5166", "Estimated percentage of MPCA spent on 'Non-food items' category [Endline] broken down by households_with_children_under_1_years_of_age on the admin of...")</f>
        <v>Estimated percentage of MPCA spent on 'Non-food items' category [Endline] broken down by households_with_children_under_1_years_of_age on the admin of...</v>
      </c>
      <c r="D1052" s="19" t="s">
        <v>49</v>
      </c>
      <c r="E1052" s="21">
        <v>1087</v>
      </c>
    </row>
    <row r="1053" spans="2:5" x14ac:dyDescent="0.3">
      <c r="B1053" s="19" t="s">
        <v>42</v>
      </c>
      <c r="C1053" s="20" t="str">
        <f>HYPERLINK("#'Data'!A5238", "Estimated percentage of MPCA spent on 'Clothing and shoes' category [Endline] broken down by households_with_children_under_1_years_of_age on the admi...")</f>
        <v>Estimated percentage of MPCA spent on 'Clothing and shoes' category [Endline] broken down by households_with_children_under_1_years_of_age on the admi...</v>
      </c>
      <c r="D1053" s="19" t="s">
        <v>49</v>
      </c>
      <c r="E1053" s="21">
        <v>1102</v>
      </c>
    </row>
    <row r="1054" spans="2:5" x14ac:dyDescent="0.3">
      <c r="B1054" s="19" t="s">
        <v>42</v>
      </c>
      <c r="C1054" s="20" t="str">
        <f>HYPERLINK("#'Data'!A5311", "Estimated percentage of MPCA spent on 'Heating fuel' category [Endline] broken down by households_with_children_under_1_years_of_age on the admin of O...")</f>
        <v>Estimated percentage of MPCA spent on 'Heating fuel' category [Endline] broken down by households_with_children_under_1_years_of_age on the admin of O...</v>
      </c>
      <c r="D1054" s="19" t="s">
        <v>49</v>
      </c>
      <c r="E1054" s="21">
        <v>1117</v>
      </c>
    </row>
    <row r="1055" spans="2:5" x14ac:dyDescent="0.3">
      <c r="B1055" s="19" t="s">
        <v>42</v>
      </c>
      <c r="C1055" s="20" t="str">
        <f>HYPERLINK("#'Data'!A5384", "Estimated percentage of MPCA spent on 'Safe water' category [Endline] broken down by households_with_children_under_1_years_of_age on the admin of Ove...")</f>
        <v>Estimated percentage of MPCA spent on 'Safe water' category [Endline] broken down by households_with_children_under_1_years_of_age on the admin of Ove...</v>
      </c>
      <c r="D1055" s="19" t="s">
        <v>49</v>
      </c>
      <c r="E1055" s="21">
        <v>1132</v>
      </c>
    </row>
    <row r="1056" spans="2:5" x14ac:dyDescent="0.3">
      <c r="B1056" s="19" t="s">
        <v>42</v>
      </c>
      <c r="C1056" s="20" t="str">
        <f>HYPERLINK("#'Data'!A5448", "Estimated percentage of MPCA spent on 'Utilities' category [Endline] broken down by households_with_children_under_1_years_of_age on the admin of Over...")</f>
        <v>Estimated percentage of MPCA spent on 'Utilities' category [Endline] broken down by households_with_children_under_1_years_of_age on the admin of Over...</v>
      </c>
      <c r="D1056" s="19" t="s">
        <v>49</v>
      </c>
      <c r="E1056" s="21">
        <v>1147</v>
      </c>
    </row>
    <row r="1057" spans="2:5" x14ac:dyDescent="0.3">
      <c r="B1057" s="19" t="s">
        <v>42</v>
      </c>
      <c r="C1057" s="20" t="str">
        <f>HYPERLINK("#'Data'!A5521", "Estimated percentage of MPCA spent on 'Water supply' category [Endline] broken down by households_with_children_under_1_years_of_age on the admin of O...")</f>
        <v>Estimated percentage of MPCA spent on 'Water supply' category [Endline] broken down by households_with_children_under_1_years_of_age on the admin of O...</v>
      </c>
      <c r="D1057" s="19" t="s">
        <v>49</v>
      </c>
      <c r="E1057" s="21">
        <v>1162</v>
      </c>
    </row>
    <row r="1058" spans="2:5" x14ac:dyDescent="0.3">
      <c r="B1058" s="19" t="s">
        <v>42</v>
      </c>
      <c r="C1058" s="20" t="str">
        <f>HYPERLINK("#'Data'!A5589", "Estimated percentage of MPCA spent on 'Rent' category [Endline] broken down by households_with_children_under_1_years_of_age on the admin of Overall m...")</f>
        <v>Estimated percentage of MPCA spent on 'Rent' category [Endline] broken down by households_with_children_under_1_years_of_age on the admin of Overall m...</v>
      </c>
      <c r="D1058" s="19" t="s">
        <v>49</v>
      </c>
      <c r="E1058" s="21">
        <v>1177</v>
      </c>
    </row>
    <row r="1059" spans="2:5" x14ac:dyDescent="0.3">
      <c r="B1059" s="19" t="s">
        <v>42</v>
      </c>
      <c r="C1059" s="20" t="str">
        <f>HYPERLINK("#'Data'!A5659", "Estimated percentage of MPCA spent on 'Assistive products' category [Endline] broken down by households_with_children_under_1_years_of_age on the admi...")</f>
        <v>Estimated percentage of MPCA spent on 'Assistive products' category [Endline] broken down by households_with_children_under_1_years_of_age on the admi...</v>
      </c>
      <c r="D1059" s="19" t="s">
        <v>49</v>
      </c>
      <c r="E1059" s="21">
        <v>1192</v>
      </c>
    </row>
    <row r="1060" spans="2:5" x14ac:dyDescent="0.3">
      <c r="B1060" s="19" t="s">
        <v>42</v>
      </c>
      <c r="C1060" s="20" t="str">
        <f>HYPERLINK("#'Data'!A5720", "Estimated percentage of MPCA spent on 'Medication' category [Endline] broken down by households_with_children_under_1_years_of_age on the admin of Ove...")</f>
        <v>Estimated percentage of MPCA spent on 'Medication' category [Endline] broken down by households_with_children_under_1_years_of_age on the admin of Ove...</v>
      </c>
      <c r="D1060" s="19" t="s">
        <v>49</v>
      </c>
      <c r="E1060" s="21">
        <v>1207</v>
      </c>
    </row>
    <row r="1061" spans="2:5" x14ac:dyDescent="0.3">
      <c r="B1061" s="19" t="s">
        <v>42</v>
      </c>
      <c r="C1061" s="20" t="str">
        <f>HYPERLINK("#'Data'!A5794", "Estimated percentage of MPCA spent on 'Agricultural inputs' category [Endline] broken down by households_with_children_under_1_years_of_age on the adm...")</f>
        <v>Estimated percentage of MPCA spent on 'Agricultural inputs' category [Endline] broken down by households_with_children_under_1_years_of_age on the adm...</v>
      </c>
      <c r="D1061" s="19" t="s">
        <v>49</v>
      </c>
      <c r="E1061" s="21">
        <v>1222</v>
      </c>
    </row>
    <row r="1062" spans="2:5" x14ac:dyDescent="0.3">
      <c r="B1062" s="19" t="s">
        <v>42</v>
      </c>
      <c r="C1062" s="20" t="str">
        <f>HYPERLINK("#'Data'!A5862", "Estimated percentage of MPCA spent on 'Shelter maintenance' category [Endline] broken down by households_with_children_under_1_years_of_age on the adm...")</f>
        <v>Estimated percentage of MPCA spent on 'Shelter maintenance' category [Endline] broken down by households_with_children_under_1_years_of_age on the adm...</v>
      </c>
      <c r="D1062" s="19" t="s">
        <v>49</v>
      </c>
      <c r="E1062" s="21">
        <v>1237</v>
      </c>
    </row>
    <row r="1063" spans="2:5" x14ac:dyDescent="0.3">
      <c r="B1063" s="19" t="s">
        <v>42</v>
      </c>
      <c r="C1063" s="20" t="str">
        <f>HYPERLINK("#'Data'!A5934", "Estimated percentage of MPCA spent on 'Future savings' category [Endline] broken down by households_with_children_under_1_years_of_age on the admin of...")</f>
        <v>Estimated percentage of MPCA spent on 'Future savings' category [Endline] broken down by households_with_children_under_1_years_of_age on the admin of...</v>
      </c>
      <c r="D1063" s="19" t="s">
        <v>49</v>
      </c>
      <c r="E1063" s="21">
        <v>1252</v>
      </c>
    </row>
    <row r="1064" spans="2:5" x14ac:dyDescent="0.3">
      <c r="B1064" s="19" t="s">
        <v>42</v>
      </c>
      <c r="C1064" s="20" t="str">
        <f>HYPERLINK("#'Data'!A6004", "Estimated percentage of MPCA spent on 'Shared with others' category [Endline] broken down by households_with_children_under_1_years_of_age on the admi...")</f>
        <v>Estimated percentage of MPCA spent on 'Shared with others' category [Endline] broken down by households_with_children_under_1_years_of_age on the admi...</v>
      </c>
      <c r="D1064" s="19" t="s">
        <v>49</v>
      </c>
      <c r="E1064" s="21">
        <v>1267</v>
      </c>
    </row>
    <row r="1065" spans="2:5" x14ac:dyDescent="0.3">
      <c r="B1065" s="19" t="s">
        <v>42</v>
      </c>
      <c r="C1065" s="20" t="str">
        <f>HYPERLINK("#'Data'!A6071", "Estimated percentage of MPCA spent on 'Transportation' category [Endline] broken down by households_with_children_under_1_years_of_age on the admin of...")</f>
        <v>Estimated percentage of MPCA spent on 'Transportation' category [Endline] broken down by households_with_children_under_1_years_of_age on the admin of...</v>
      </c>
      <c r="D1065" s="19" t="s">
        <v>49</v>
      </c>
      <c r="E1065" s="21">
        <v>1282</v>
      </c>
    </row>
    <row r="1066" spans="2:5" x14ac:dyDescent="0.3">
      <c r="B1066" s="19" t="s">
        <v>42</v>
      </c>
      <c r="C1066" s="20" t="str">
        <f>HYPERLINK("#'Data'!A6142", "Estimated percentage of MPCA spent on 'Communication' category [Endline] broken down by households_with_children_under_1_years_of_age on the admin of ...")</f>
        <v>Estimated percentage of MPCA spent on 'Communication' category [Endline] broken down by households_with_children_under_1_years_of_age on the admin of ...</v>
      </c>
      <c r="D1066" s="19" t="s">
        <v>49</v>
      </c>
      <c r="E1066" s="21">
        <v>1297</v>
      </c>
    </row>
    <row r="1067" spans="2:5" x14ac:dyDescent="0.3">
      <c r="B1067" s="19" t="s">
        <v>42</v>
      </c>
      <c r="C1067" s="20" t="str">
        <f>HYPERLINK("#'Data'!A6214", "Estimated percentage of MPCA spent on 'Education materials' category [Endline] broken down by households_with_children_under_1_years_of_age on the adm...")</f>
        <v>Estimated percentage of MPCA spent on 'Education materials' category [Endline] broken down by households_with_children_under_1_years_of_age on the adm...</v>
      </c>
      <c r="D1067" s="19" t="s">
        <v>49</v>
      </c>
      <c r="E1067" s="21">
        <v>1312</v>
      </c>
    </row>
    <row r="1068" spans="2:5" x14ac:dyDescent="0.3">
      <c r="B1068" s="19" t="s">
        <v>42</v>
      </c>
      <c r="C1068" s="20" t="str">
        <f>HYPERLINK("#'Data'!A6285", "Additional priority needs potentially met if MPCA duration extended to 6 months [Endline] broken down by households_with_children_under_1_years_of_age...")</f>
        <v>Additional priority needs potentially met if MPCA duration extended to 6 months [Endline] broken down by households_with_children_under_1_years_of_age...</v>
      </c>
      <c r="D1068" s="19" t="s">
        <v>49</v>
      </c>
      <c r="E1068" s="21">
        <v>1327</v>
      </c>
    </row>
    <row r="1069" spans="2:5" x14ac:dyDescent="0.3">
      <c r="B1069" s="19" t="s">
        <v>42</v>
      </c>
      <c r="C1069" s="20" t="str">
        <f>HYPERLINK("#'Data'!A6359", "Additional priority needs potentially met with doubled MPCA amount over past 3 months [Endline] broken down by households_with_children_under_1_years_...")</f>
        <v>Additional priority needs potentially met with doubled MPCA amount over past 3 months [Endline] broken down by households_with_children_under_1_years_...</v>
      </c>
      <c r="D1069" s="19" t="s">
        <v>49</v>
      </c>
      <c r="E1069" s="21">
        <v>1342</v>
      </c>
    </row>
    <row r="1070" spans="2:5" x14ac:dyDescent="0.3">
      <c r="B1070" s="19" t="s">
        <v>42</v>
      </c>
      <c r="C1070" s="20" t="str">
        <f>HYPERLINK("#'Data'!A6433", "Needs that MPCA is considered insufficient to address [Baseline] broken down by households_with_children_under_1_years_of_age on the admin of Overall ...")</f>
        <v>Needs that MPCA is considered insufficient to address [Baseline] broken down by households_with_children_under_1_years_of_age on the admin of Overall ...</v>
      </c>
      <c r="D1070" s="19" t="s">
        <v>49</v>
      </c>
      <c r="E1070" s="21">
        <v>1357</v>
      </c>
    </row>
    <row r="1071" spans="2:5" x14ac:dyDescent="0.3">
      <c r="B1071" s="19" t="s">
        <v>42</v>
      </c>
      <c r="C1071" s="20" t="str">
        <f>HYPERLINK("#'Data'!A6507", "Needs that MPCA is considered insufficient to address [Endline] broken down by households_with_children_under_1_years_of_age on the admin of Overall p...")</f>
        <v>Needs that MPCA is considered insufficient to address [Endline] broken down by households_with_children_under_1_years_of_age on the admin of Overall p...</v>
      </c>
      <c r="D1071" s="19" t="s">
        <v>49</v>
      </c>
      <c r="E1071" s="21">
        <v>1372</v>
      </c>
    </row>
    <row r="1072" spans="2:5" x14ac:dyDescent="0.3">
      <c r="B1072" s="19" t="s">
        <v>42</v>
      </c>
      <c r="C1072" s="20" t="str">
        <f>HYPERLINK("#'Data'!A6581", "Preferred type of assistance for meeting current household needs [Baseline] broken down by households_with_children_under_1_years_of_age on the admin ...")</f>
        <v>Preferred type of assistance for meeting current household needs [Baseline] broken down by households_with_children_under_1_years_of_age on the admin ...</v>
      </c>
      <c r="D1072" s="19" t="s">
        <v>49</v>
      </c>
      <c r="E1072" s="21">
        <v>1387</v>
      </c>
    </row>
    <row r="1073" spans="2:5" hidden="1" x14ac:dyDescent="0.3">
      <c r="B1073" s="19" t="s">
        <v>40</v>
      </c>
      <c r="C1073" s="20" t="str">
        <f>HYPERLINK("#'Data'!A6655", "Preferred type of assistance for meeting current household needs [Endline] broken down by households_with_children_under_1_years_of_age on the admin o...")</f>
        <v>Preferred type of assistance for meeting current household needs [Endline] broken down by households_with_children_under_1_years_of_age on the admin o...</v>
      </c>
      <c r="D1073" s="19" t="s">
        <v>49</v>
      </c>
      <c r="E1073" s="21">
        <v>1402</v>
      </c>
    </row>
    <row r="1074" spans="2:5" x14ac:dyDescent="0.3">
      <c r="B1074" s="19" t="s">
        <v>42</v>
      </c>
      <c r="C1074" s="20" t="str">
        <f>HYPERLINK("#'Data'!A6729", "Remaining needs after MPCA that require additional cash or in-kind assistance [Endline] broken down by households_with_children_under_1_years_of_age o...")</f>
        <v>Remaining needs after MPCA that require additional cash or in-kind assistance [Endline] broken down by households_with_children_under_1_years_of_age o...</v>
      </c>
      <c r="D1074" s="19" t="s">
        <v>49</v>
      </c>
      <c r="E1074" s="21">
        <v>1417</v>
      </c>
    </row>
    <row r="1075" spans="2:5" hidden="1" x14ac:dyDescent="0.3">
      <c r="B1075" s="19" t="s">
        <v>40</v>
      </c>
      <c r="C1075" s="20" t="str">
        <f>HYPERLINK("#'Data'!A6803", "Remaining needs after MPCA that require additional cash or in-kind assistance [Endline] broken down by households_with_children_under_1_years_of_age o...")</f>
        <v>Remaining needs after MPCA that require additional cash or in-kind assistance [Endline] broken down by households_with_children_under_1_years_of_age o...</v>
      </c>
      <c r="D1075" s="19" t="s">
        <v>49</v>
      </c>
      <c r="E1075" s="21">
        <v>1432</v>
      </c>
    </row>
    <row r="1076" spans="2:5" x14ac:dyDescent="0.3">
      <c r="B1076" s="19" t="s">
        <v>42</v>
      </c>
      <c r="C1076" s="20" t="str">
        <f>HYPERLINK("#'Data'!A6877", "Amount of multi-purpose cash assistance received over last 3 months in UAH [Endline] broken down by households_with_children_under_1_years_of_age on t...")</f>
        <v>Amount of multi-purpose cash assistance received over last 3 months in UAH [Endline] broken down by households_with_children_under_1_years_of_age on t...</v>
      </c>
      <c r="D1076" s="19" t="s">
        <v>49</v>
      </c>
      <c r="E1076" s="21">
        <v>1447</v>
      </c>
    </row>
    <row r="1077" spans="2:5" x14ac:dyDescent="0.3">
      <c r="B1077" s="19" t="s">
        <v>42</v>
      </c>
      <c r="C1077" s="20" t="str">
        <f>HYPERLINK("#'Data'!A6951", "Amount of multi-purpose cash assistance received over last 3 months per hh member in UAH [Endline] broken down by households_with_children_under_1_yea...")</f>
        <v>Amount of multi-purpose cash assistance received over last 3 months per hh member in UAH [Endline] broken down by households_with_children_under_1_yea...</v>
      </c>
      <c r="D1077" s="19" t="s">
        <v>49</v>
      </c>
      <c r="E1077" s="21">
        <v>1462</v>
      </c>
    </row>
    <row r="1078" spans="2:5" x14ac:dyDescent="0.3">
      <c r="B1078" s="19" t="s">
        <v>42</v>
      </c>
      <c r="C1078" s="20" t="str">
        <f>HYPERLINK("#'Data'!A7025", "Other types of humanitarian aid received in the previous three months [Endline] broken down by households_with_children_under_1_years_of_age on the ad...")</f>
        <v>Other types of humanitarian aid received in the previous three months [Endline] broken down by households_with_children_under_1_years_of_age on the ad...</v>
      </c>
      <c r="D1078" s="19" t="s">
        <v>49</v>
      </c>
      <c r="E1078" s="21">
        <v>1477</v>
      </c>
    </row>
    <row r="1079" spans="2:5" x14ac:dyDescent="0.3">
      <c r="B1079" s="19" t="s">
        <v>42</v>
      </c>
      <c r="C1079" s="20" t="str">
        <f>HYPERLINK("#'Data'!A7098", "Estimated percentage of total household expenditures spent on 'Other' (past month, excl. humanitarian aid) [Baseline] broken down by households_with_c...")</f>
        <v>Estimated percentage of total household expenditures spent on 'Other' (past month, excl. humanitarian aid) [Baseline] broken down by households_with_c...</v>
      </c>
      <c r="D1079" s="19" t="s">
        <v>49</v>
      </c>
      <c r="E1079" s="21">
        <v>1492</v>
      </c>
    </row>
    <row r="1080" spans="2:5" x14ac:dyDescent="0.3">
      <c r="B1080" s="19" t="s">
        <v>42</v>
      </c>
      <c r="C1080" s="20" t="str">
        <f>HYPERLINK("#'Data'!A7165", "Estimated percentage of total household expenditures spent on 'Food' (past month, excl. humanitarian aid) [Baseline] broken down by households_with_ch...")</f>
        <v>Estimated percentage of total household expenditures spent on 'Food' (past month, excl. humanitarian aid) [Baseline] broken down by households_with_ch...</v>
      </c>
      <c r="D1080" s="19" t="s">
        <v>49</v>
      </c>
      <c r="E1080" s="21">
        <v>1507</v>
      </c>
    </row>
    <row r="1081" spans="2:5" x14ac:dyDescent="0.3">
      <c r="B1081" s="19" t="s">
        <v>42</v>
      </c>
      <c r="C1081" s="20" t="str">
        <f>HYPERLINK("#'Data'!A7239",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1081" s="19" t="s">
        <v>49</v>
      </c>
      <c r="E1081" s="21">
        <v>1522</v>
      </c>
    </row>
    <row r="1082" spans="2:5" hidden="1" x14ac:dyDescent="0.3">
      <c r="B1082" s="19" t="s">
        <v>40</v>
      </c>
      <c r="C1082" s="20" t="str">
        <f>HYPERLINK("#'Data'!A7312",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1082" s="19" t="s">
        <v>49</v>
      </c>
      <c r="E1082" s="21">
        <v>1537</v>
      </c>
    </row>
    <row r="1083" spans="2:5" hidden="1" x14ac:dyDescent="0.3">
      <c r="B1083" s="19" t="s">
        <v>40</v>
      </c>
      <c r="C1083" s="20" t="str">
        <f>HYPERLINK("#'Data'!A7385",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1083" s="19" t="s">
        <v>49</v>
      </c>
      <c r="E1083" s="21">
        <v>1552</v>
      </c>
    </row>
    <row r="1084" spans="2:5" hidden="1" x14ac:dyDescent="0.3">
      <c r="B1084" s="19" t="s">
        <v>40</v>
      </c>
      <c r="C1084" s="20" t="str">
        <f>HYPERLINK("#'Data'!A7455",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1084" s="19" t="s">
        <v>49</v>
      </c>
      <c r="E1084" s="21">
        <v>1567</v>
      </c>
    </row>
    <row r="1085" spans="2:5" hidden="1" x14ac:dyDescent="0.3">
      <c r="B1085" s="19" t="s">
        <v>40</v>
      </c>
      <c r="C1085" s="20" t="str">
        <f>HYPERLINK("#'Data'!A7527",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1085" s="19" t="s">
        <v>49</v>
      </c>
      <c r="E1085" s="21">
        <v>1582</v>
      </c>
    </row>
    <row r="1086" spans="2:5" hidden="1" x14ac:dyDescent="0.3">
      <c r="B1086" s="19" t="s">
        <v>40</v>
      </c>
      <c r="C1086" s="20" t="str">
        <f>HYPERLINK("#'Data'!A7598", "Estimated percentage of total household expenditures spent on 'Safe water' (past month, excl. humanitarian aid) [Baseline] broken down by households_w...")</f>
        <v>Estimated percentage of total household expenditures spent on 'Safe water' (past month, excl. humanitarian aid) [Baseline] broken down by households_w...</v>
      </c>
      <c r="D1086" s="19" t="s">
        <v>49</v>
      </c>
      <c r="E1086" s="21">
        <v>1597</v>
      </c>
    </row>
    <row r="1087" spans="2:5" hidden="1" x14ac:dyDescent="0.3">
      <c r="B1087" s="19" t="s">
        <v>40</v>
      </c>
      <c r="C1087" s="20" t="str">
        <f>HYPERLINK("#'Data'!A7671", "Estimated percentage of total household expenditures spent on 'Utilities' (past month, excl. humanitarian aid) [Baseline] broken down by households_wi...")</f>
        <v>Estimated percentage of total household expenditures spent on 'Utilities' (past month, excl. humanitarian aid) [Baseline] broken down by households_wi...</v>
      </c>
      <c r="D1087" s="19" t="s">
        <v>49</v>
      </c>
      <c r="E1087" s="21">
        <v>1612</v>
      </c>
    </row>
    <row r="1088" spans="2:5" hidden="1" x14ac:dyDescent="0.3">
      <c r="B1088" s="19" t="s">
        <v>40</v>
      </c>
      <c r="C1088" s="20" t="str">
        <f>HYPERLINK("#'Data'!A7744",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1088" s="19" t="s">
        <v>49</v>
      </c>
      <c r="E1088" s="21">
        <v>1627</v>
      </c>
    </row>
    <row r="1089" spans="2:5" hidden="1" x14ac:dyDescent="0.3">
      <c r="B1089" s="19" t="s">
        <v>40</v>
      </c>
      <c r="C1089" s="20" t="str">
        <f>HYPERLINK("#'Data'!A7815", "Estimated percentage of total household expenditures spent on 'Rent' (past month, excl. humanitarian aid) [Baseline] broken down by households_with_ch...")</f>
        <v>Estimated percentage of total household expenditures spent on 'Rent' (past month, excl. humanitarian aid) [Baseline] broken down by households_with_ch...</v>
      </c>
      <c r="D1089" s="19" t="s">
        <v>49</v>
      </c>
      <c r="E1089" s="21">
        <v>1642</v>
      </c>
    </row>
    <row r="1090" spans="2:5" hidden="1" x14ac:dyDescent="0.3">
      <c r="B1090" s="19" t="s">
        <v>40</v>
      </c>
      <c r="C1090" s="20" t="str">
        <f>HYPERLINK("#'Data'!A7885",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1090" s="19" t="s">
        <v>49</v>
      </c>
      <c r="E1090" s="21">
        <v>1657</v>
      </c>
    </row>
    <row r="1091" spans="2:5" hidden="1" x14ac:dyDescent="0.3">
      <c r="B1091" s="19" t="s">
        <v>40</v>
      </c>
      <c r="C1091" s="20" t="str">
        <f>HYPERLINK("#'Data'!A7956", "Estimated percentage of total household expenditures spent on 'Medication' (past month, excl. humanitarian aid) [Baseline] broken down by households_w...")</f>
        <v>Estimated percentage of total household expenditures spent on 'Medication' (past month, excl. humanitarian aid) [Baseline] broken down by households_w...</v>
      </c>
      <c r="D1091" s="19" t="s">
        <v>49</v>
      </c>
      <c r="E1091" s="21">
        <v>1672</v>
      </c>
    </row>
    <row r="1092" spans="2:5" hidden="1" x14ac:dyDescent="0.3">
      <c r="B1092" s="19" t="s">
        <v>40</v>
      </c>
      <c r="C1092" s="20" t="str">
        <f>HYPERLINK("#'Data'!A8028",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1092" s="19" t="s">
        <v>49</v>
      </c>
      <c r="E1092" s="21">
        <v>1687</v>
      </c>
    </row>
    <row r="1093" spans="2:5" hidden="1" x14ac:dyDescent="0.3">
      <c r="B1093" s="19" t="s">
        <v>40</v>
      </c>
      <c r="C1093" s="20" t="str">
        <f>HYPERLINK("#'Data'!A8097",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1093" s="19" t="s">
        <v>49</v>
      </c>
      <c r="E1093" s="21">
        <v>1702</v>
      </c>
    </row>
    <row r="1094" spans="2:5" hidden="1" x14ac:dyDescent="0.3">
      <c r="B1094" s="19" t="s">
        <v>40</v>
      </c>
      <c r="C1094" s="20" t="str">
        <f>HYPERLINK("#'Data'!A8168",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1094" s="19" t="s">
        <v>49</v>
      </c>
      <c r="E1094" s="21">
        <v>1717</v>
      </c>
    </row>
    <row r="1095" spans="2:5" hidden="1" x14ac:dyDescent="0.3">
      <c r="B1095" s="19" t="s">
        <v>40</v>
      </c>
      <c r="C1095" s="20" t="str">
        <f>HYPERLINK("#'Data'!A8235",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1095" s="19" t="s">
        <v>49</v>
      </c>
      <c r="E1095" s="21">
        <v>1732</v>
      </c>
    </row>
    <row r="1096" spans="2:5" hidden="1" x14ac:dyDescent="0.3">
      <c r="B1096" s="19" t="s">
        <v>40</v>
      </c>
      <c r="C1096" s="20" t="str">
        <f>HYPERLINK("#'Data'!A8306",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1096" s="19" t="s">
        <v>49</v>
      </c>
      <c r="E1096" s="21">
        <v>1747</v>
      </c>
    </row>
    <row r="1097" spans="2:5" hidden="1" x14ac:dyDescent="0.3">
      <c r="B1097" s="19" t="s">
        <v>40</v>
      </c>
      <c r="C1097" s="20" t="str">
        <f>HYPERLINK("#'Data'!A8378",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1097" s="19" t="s">
        <v>49</v>
      </c>
      <c r="E1097" s="21">
        <v>1762</v>
      </c>
    </row>
    <row r="1098" spans="2:5" hidden="1" x14ac:dyDescent="0.3">
      <c r="B1098" s="19" t="s">
        <v>40</v>
      </c>
      <c r="C1098" s="20" t="str">
        <f>HYPERLINK("#'Data'!A8452",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1098" s="19" t="s">
        <v>49</v>
      </c>
      <c r="E1098" s="21">
        <v>1777</v>
      </c>
    </row>
    <row r="1099" spans="2:5" hidden="1" x14ac:dyDescent="0.3">
      <c r="B1099" s="19" t="s">
        <v>40</v>
      </c>
      <c r="C1099" s="20" t="str">
        <f>HYPERLINK("#'Data'!A8522", "Estimated percentage of total household expenditures spent on 'Other' (past month, excl. humanitarian aid) [Endline] broken down by households_with_ch...")</f>
        <v>Estimated percentage of total household expenditures spent on 'Other' (past month, excl. humanitarian aid) [Endline] broken down by households_with_ch...</v>
      </c>
      <c r="D1099" s="19" t="s">
        <v>49</v>
      </c>
      <c r="E1099" s="21">
        <v>1792</v>
      </c>
    </row>
    <row r="1100" spans="2:5" hidden="1" x14ac:dyDescent="0.3">
      <c r="B1100" s="19" t="s">
        <v>40</v>
      </c>
      <c r="C1100" s="20" t="str">
        <f>HYPERLINK("#'Data'!A8589", "Estimated percentage of total household expenditures spent on 'Food' (past month, excl. humanitarian aid) [Endline] broken down by households_with_chi...")</f>
        <v>Estimated percentage of total household expenditures spent on 'Food' (past month, excl. humanitarian aid) [Endline] broken down by households_with_chi...</v>
      </c>
      <c r="D1100" s="19" t="s">
        <v>49</v>
      </c>
      <c r="E1100" s="21">
        <v>1807</v>
      </c>
    </row>
    <row r="1101" spans="2:5" hidden="1" x14ac:dyDescent="0.3">
      <c r="B1101" s="19" t="s">
        <v>40</v>
      </c>
      <c r="C1101" s="20" t="str">
        <f>HYPERLINK("#'Data'!A8663",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1101" s="19" t="s">
        <v>49</v>
      </c>
      <c r="E1101" s="21">
        <v>1822</v>
      </c>
    </row>
    <row r="1102" spans="2:5" x14ac:dyDescent="0.3">
      <c r="B1102" s="19" t="s">
        <v>42</v>
      </c>
      <c r="C1102" s="20" t="str">
        <f>HYPERLINK("#'Data'!A8736",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1102" s="19" t="s">
        <v>49</v>
      </c>
      <c r="E1102" s="21">
        <v>1837</v>
      </c>
    </row>
    <row r="1103" spans="2:5" x14ac:dyDescent="0.3">
      <c r="B1103" s="19" t="s">
        <v>42</v>
      </c>
      <c r="C1103" s="20" t="str">
        <f>HYPERLINK("#'Data'!A8809",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1103" s="19" t="s">
        <v>49</v>
      </c>
      <c r="E1103" s="21">
        <v>1852</v>
      </c>
    </row>
    <row r="1104" spans="2:5" x14ac:dyDescent="0.3">
      <c r="B1104" s="19" t="s">
        <v>42</v>
      </c>
      <c r="C1104" s="20" t="str">
        <f>HYPERLINK("#'Data'!A8881",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1104" s="19" t="s">
        <v>49</v>
      </c>
      <c r="E1104" s="21">
        <v>1867</v>
      </c>
    </row>
    <row r="1105" spans="2:5" x14ac:dyDescent="0.3">
      <c r="B1105" s="19" t="s">
        <v>42</v>
      </c>
      <c r="C1105" s="20" t="str">
        <f>HYPERLINK("#'Data'!A8954",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1105" s="19" t="s">
        <v>49</v>
      </c>
      <c r="E1105" s="21">
        <v>1882</v>
      </c>
    </row>
    <row r="1106" spans="2:5" x14ac:dyDescent="0.3">
      <c r="B1106" s="19" t="s">
        <v>42</v>
      </c>
      <c r="C1106" s="20" t="str">
        <f>HYPERLINK("#'Data'!A9028", "Estimated percentage of total household expenditures spent on 'Safe water' (past month, excl. humanitarian aid) [Endline] broken down by households_wi...")</f>
        <v>Estimated percentage of total household expenditures spent on 'Safe water' (past month, excl. humanitarian aid) [Endline] broken down by households_wi...</v>
      </c>
      <c r="D1106" s="19" t="s">
        <v>49</v>
      </c>
      <c r="E1106" s="21">
        <v>1897</v>
      </c>
    </row>
    <row r="1107" spans="2:5" x14ac:dyDescent="0.3">
      <c r="B1107" s="19" t="s">
        <v>42</v>
      </c>
      <c r="C1107" s="20" t="str">
        <f>HYPERLINK("#'Data'!A9100", "Estimated percentage of total household expenditures spent on 'Utilities' (past month, excl. humanitarian aid) [Endline] broken down by households_wit...")</f>
        <v>Estimated percentage of total household expenditures spent on 'Utilities' (past month, excl. humanitarian aid) [Endline] broken down by households_wit...</v>
      </c>
      <c r="D1107" s="19" t="s">
        <v>49</v>
      </c>
      <c r="E1107" s="21">
        <v>1912</v>
      </c>
    </row>
    <row r="1108" spans="2:5" x14ac:dyDescent="0.3">
      <c r="B1108" s="19" t="s">
        <v>42</v>
      </c>
      <c r="C1108" s="20" t="str">
        <f>HYPERLINK("#'Data'!A9174",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1108" s="19" t="s">
        <v>49</v>
      </c>
      <c r="E1108" s="21">
        <v>1927</v>
      </c>
    </row>
    <row r="1109" spans="2:5" x14ac:dyDescent="0.3">
      <c r="B1109" s="19" t="s">
        <v>42</v>
      </c>
      <c r="C1109" s="20" t="str">
        <f>HYPERLINK("#'Data'!A9245", "Estimated percentage of total household expenditures spent on 'Rent' (past month, excl. humanitarian aid) [Endline] broken down by households_with_chi...")</f>
        <v>Estimated percentage of total household expenditures spent on 'Rent' (past month, excl. humanitarian aid) [Endline] broken down by households_with_chi...</v>
      </c>
      <c r="D1109" s="19" t="s">
        <v>49</v>
      </c>
      <c r="E1109" s="21">
        <v>1942</v>
      </c>
    </row>
    <row r="1110" spans="2:5" x14ac:dyDescent="0.3">
      <c r="B1110" s="19" t="s">
        <v>42</v>
      </c>
      <c r="C1110" s="20" t="str">
        <f>HYPERLINK("#'Data'!A9311",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1110" s="19" t="s">
        <v>49</v>
      </c>
      <c r="E1110" s="21">
        <v>1957</v>
      </c>
    </row>
    <row r="1111" spans="2:5" x14ac:dyDescent="0.3">
      <c r="B1111" s="19" t="s">
        <v>42</v>
      </c>
      <c r="C1111" s="20" t="str">
        <f>HYPERLINK("#'Data'!A9377", "Estimated percentage of total household expenditures spent on 'Medication' (past month, excl. humanitarian aid) [Endline] broken down by households_wi...")</f>
        <v>Estimated percentage of total household expenditures spent on 'Medication' (past month, excl. humanitarian aid) [Endline] broken down by households_wi...</v>
      </c>
      <c r="D1111" s="19" t="s">
        <v>49</v>
      </c>
      <c r="E1111" s="21">
        <v>1972</v>
      </c>
    </row>
    <row r="1112" spans="2:5" x14ac:dyDescent="0.3">
      <c r="B1112" s="19" t="s">
        <v>42</v>
      </c>
      <c r="C1112" s="20" t="str">
        <f>HYPERLINK("#'Data'!A9450",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1112" s="19" t="s">
        <v>49</v>
      </c>
      <c r="E1112" s="21">
        <v>1987</v>
      </c>
    </row>
    <row r="1113" spans="2:5" x14ac:dyDescent="0.3">
      <c r="B1113" s="19" t="s">
        <v>42</v>
      </c>
      <c r="C1113" s="20" t="str">
        <f>HYPERLINK("#'Data'!A9515",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1113" s="19" t="s">
        <v>49</v>
      </c>
      <c r="E1113" s="21">
        <v>2002</v>
      </c>
    </row>
    <row r="1114" spans="2:5" x14ac:dyDescent="0.3">
      <c r="B1114" s="19" t="s">
        <v>42</v>
      </c>
      <c r="C1114" s="20" t="str">
        <f>HYPERLINK("#'Data'!A9585",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1114" s="19" t="s">
        <v>49</v>
      </c>
      <c r="E1114" s="21">
        <v>2017</v>
      </c>
    </row>
    <row r="1115" spans="2:5" x14ac:dyDescent="0.3">
      <c r="B1115" s="19" t="s">
        <v>42</v>
      </c>
      <c r="C1115" s="20" t="str">
        <f>HYPERLINK("#'Data'!A9650",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1115" s="19" t="s">
        <v>49</v>
      </c>
      <c r="E1115" s="21">
        <v>2032</v>
      </c>
    </row>
    <row r="1116" spans="2:5" x14ac:dyDescent="0.3">
      <c r="B1116" s="19" t="s">
        <v>42</v>
      </c>
      <c r="C1116" s="20" t="str">
        <f>HYPERLINK("#'Data'!A9714",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1116" s="19" t="s">
        <v>49</v>
      </c>
      <c r="E1116" s="21">
        <v>2047</v>
      </c>
    </row>
    <row r="1117" spans="2:5" x14ac:dyDescent="0.3">
      <c r="B1117" s="19" t="s">
        <v>42</v>
      </c>
      <c r="C1117" s="20" t="str">
        <f>HYPERLINK("#'Data'!A9784",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1117" s="19" t="s">
        <v>49</v>
      </c>
      <c r="E1117" s="21">
        <v>2062</v>
      </c>
    </row>
    <row r="1118" spans="2:5" x14ac:dyDescent="0.3">
      <c r="B1118" s="19" t="s">
        <v>42</v>
      </c>
      <c r="C1118" s="20" t="str">
        <f>HYPERLINK("#'Data'!A9858",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1118" s="19" t="s">
        <v>49</v>
      </c>
      <c r="E1118" s="21">
        <v>2077</v>
      </c>
    </row>
    <row r="1119" spans="2:5" hidden="1" x14ac:dyDescent="0.3">
      <c r="B1119" s="19" t="s">
        <v>40</v>
      </c>
      <c r="C1119" s="20" t="str">
        <f>HYPERLINK("#'Data'!A25",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1119" s="19" t="s">
        <v>50</v>
      </c>
      <c r="E1119" s="21">
        <v>6</v>
      </c>
    </row>
    <row r="1120" spans="2:5" hidden="1" x14ac:dyDescent="0.3">
      <c r="B1120" s="19" t="s">
        <v>40</v>
      </c>
      <c r="C1120" s="20" t="str">
        <f>HYPERLINK("#'Data'!A99",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1120" s="19" t="s">
        <v>50</v>
      </c>
      <c r="E1120" s="21">
        <v>21</v>
      </c>
    </row>
    <row r="1121" spans="2:5" x14ac:dyDescent="0.3">
      <c r="B1121" s="19" t="s">
        <v>42</v>
      </c>
      <c r="C1121" s="20" t="str">
        <f>HYPERLINK("#'Data'!A173",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1121" s="19" t="s">
        <v>50</v>
      </c>
      <c r="E1121" s="21">
        <v>36</v>
      </c>
    </row>
    <row r="1122" spans="2:5" x14ac:dyDescent="0.3">
      <c r="B1122" s="19" t="s">
        <v>42</v>
      </c>
      <c r="C1122" s="20" t="str">
        <f>HYPERLINK("#'Data'!A247",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1122" s="19" t="s">
        <v>50</v>
      </c>
      <c r="E1122" s="21">
        <v>51</v>
      </c>
    </row>
    <row r="1123" spans="2:5" hidden="1" x14ac:dyDescent="0.3">
      <c r="B1123" s="19" t="s">
        <v>40</v>
      </c>
      <c r="C1123" s="20" t="str">
        <f>HYPERLINK("#'Data'!A321", "Sources of income or financial support  household received in the last month [Baseline] broken down by households_with_people_with_disabilities_of_gro...")</f>
        <v>Sources of income or financial support  household received in the last month [Baseline] broken down by households_with_people_with_disabilities_of_gro...</v>
      </c>
      <c r="D1123" s="19" t="s">
        <v>50</v>
      </c>
      <c r="E1123" s="21">
        <v>66</v>
      </c>
    </row>
    <row r="1124" spans="2:5" x14ac:dyDescent="0.3">
      <c r="B1124" s="19" t="s">
        <v>42</v>
      </c>
      <c r="C1124" s="20" t="str">
        <f>HYPERLINK("#'Data'!A395",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1124" s="19" t="s">
        <v>50</v>
      </c>
      <c r="E1124" s="21">
        <v>81</v>
      </c>
    </row>
    <row r="1125" spans="2:5" hidden="1" x14ac:dyDescent="0.3">
      <c r="B1125" s="19" t="s">
        <v>40</v>
      </c>
      <c r="C1125" s="20" t="str">
        <f>HYPERLINK("#'Data'!A469",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1125" s="19" t="s">
        <v>50</v>
      </c>
      <c r="E1125" s="21">
        <v>96</v>
      </c>
    </row>
    <row r="1126" spans="2:5" hidden="1" x14ac:dyDescent="0.3">
      <c r="B1126" s="19" t="s">
        <v>40</v>
      </c>
      <c r="C1126" s="20" t="str">
        <f>HYPERLINK("#'Data'!A543",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1126" s="19" t="s">
        <v>50</v>
      </c>
      <c r="E1126" s="21">
        <v>111</v>
      </c>
    </row>
    <row r="1127" spans="2:5" x14ac:dyDescent="0.3">
      <c r="B1127" s="19" t="s">
        <v>42</v>
      </c>
      <c r="C1127" s="20" t="str">
        <f>HYPERLINK("#'Data'!A617",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1127" s="19" t="s">
        <v>50</v>
      </c>
      <c r="E1127" s="21">
        <v>126</v>
      </c>
    </row>
    <row r="1128" spans="2:5" x14ac:dyDescent="0.3">
      <c r="B1128" s="19" t="s">
        <v>42</v>
      </c>
      <c r="C1128" s="20" t="str">
        <f>HYPERLINK("#'Data'!A691",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1128" s="19" t="s">
        <v>50</v>
      </c>
      <c r="E1128" s="21">
        <v>141</v>
      </c>
    </row>
    <row r="1129" spans="2:5" hidden="1" x14ac:dyDescent="0.3">
      <c r="B1129" s="19" t="s">
        <v>40</v>
      </c>
      <c r="C1129" s="20" t="str">
        <f>HYPERLINK("#'Data'!A765", "Household expenditures by category over the past 30 days [or month] in UAH [Baseline] broken down by households_with_people_with_disabilities_of_group...")</f>
        <v>Household expenditures by category over the past 30 days [or month] in UAH [Baseline] broken down by households_with_people_with_disabilities_of_group...</v>
      </c>
      <c r="D1129" s="19" t="s">
        <v>50</v>
      </c>
      <c r="E1129" s="21">
        <v>156</v>
      </c>
    </row>
    <row r="1130" spans="2:5" x14ac:dyDescent="0.3">
      <c r="B1130" s="19" t="s">
        <v>42</v>
      </c>
      <c r="C1130" s="20" t="str">
        <f>HYPERLINK("#'Data'!A839", "Household expenditures by category over the past 30 days [or month] in UAH [Endline] broken down by households_with_people_with_disabilities_of_group_...")</f>
        <v>Household expenditures by category over the past 30 days [or month] in UAH [Endline] broken down by households_with_people_with_disabilities_of_group_...</v>
      </c>
      <c r="D1130" s="19" t="s">
        <v>50</v>
      </c>
      <c r="E1130" s="21">
        <v>171</v>
      </c>
    </row>
    <row r="1131" spans="2:5" hidden="1" x14ac:dyDescent="0.3">
      <c r="B1131" s="19" t="s">
        <v>40</v>
      </c>
      <c r="C1131" s="20" t="str">
        <f>HYPERLINK("#'Data'!A913", "Household's ability to meet basic needs (self-defined and prioritized) [Baseline] broken down by households_with_people_with_disabilities_of_group_1_o...")</f>
        <v>Household's ability to meet basic needs (self-defined and prioritized) [Baseline] broken down by households_with_people_with_disabilities_of_group_1_o...</v>
      </c>
      <c r="D1131" s="19" t="s">
        <v>50</v>
      </c>
      <c r="E1131" s="21">
        <v>186</v>
      </c>
    </row>
    <row r="1132" spans="2:5" x14ac:dyDescent="0.3">
      <c r="B1132" s="19" t="s">
        <v>42</v>
      </c>
      <c r="C1132" s="20" t="str">
        <f>HYPERLINK("#'Data'!A987", "Household's ability to meet basic needs (self-defined and prioritized) [Endline] broken down by households_with_people_with_disabilities_of_group_1_or...")</f>
        <v>Household's ability to meet basic needs (self-defined and prioritized) [Endline] broken down by households_with_people_with_disabilities_of_group_1_or...</v>
      </c>
      <c r="D1132" s="19" t="s">
        <v>50</v>
      </c>
      <c r="E1132" s="21">
        <v>201</v>
      </c>
    </row>
    <row r="1133" spans="2:5" hidden="1" x14ac:dyDescent="0.3">
      <c r="B1133" s="19" t="s">
        <v>40</v>
      </c>
      <c r="C1133" s="20" t="str">
        <f>HYPERLINK("#'Data'!A1061", "Basic needs the household is currently unable to fulfill (if not all are met) [Baseline] broken down by households_with_people_with_disabilities_of_gr...")</f>
        <v>Basic needs the household is currently unable to fulfill (if not all are met) [Baseline] broken down by households_with_people_with_disabilities_of_gr...</v>
      </c>
      <c r="D1133" s="19" t="s">
        <v>50</v>
      </c>
      <c r="E1133" s="21">
        <v>216</v>
      </c>
    </row>
    <row r="1134" spans="2:5" x14ac:dyDescent="0.3">
      <c r="B1134" s="19" t="s">
        <v>42</v>
      </c>
      <c r="C1134" s="20" t="str">
        <f>HYPERLINK("#'Data'!A1135", "Basic needs the household is currently unable to fulfill (if not all are met) [Endline] broken down by households_with_people_with_disabilities_of_gro...")</f>
        <v>Basic needs the household is currently unable to fulfill (if not all are met) [Endline] broken down by households_with_people_with_disabilities_of_gro...</v>
      </c>
      <c r="D1134" s="19" t="s">
        <v>50</v>
      </c>
      <c r="E1134" s="21">
        <v>231</v>
      </c>
    </row>
    <row r="1135" spans="2:5" hidden="1" x14ac:dyDescent="0.3">
      <c r="B1135" s="19" t="s">
        <v>40</v>
      </c>
      <c r="C1135" s="20" t="str">
        <f>HYPERLINK("#'Data'!A1209", "Coping strategies used in the last 30 days due to insufficient resources to meet basic needs [Baseline] broken down by households_with_people_with_dis...")</f>
        <v>Coping strategies used in the last 30 days due to insufficient resources to meet basic needs [Baseline] broken down by households_with_people_with_dis...</v>
      </c>
      <c r="D1135" s="19" t="s">
        <v>50</v>
      </c>
      <c r="E1135" s="21">
        <v>246</v>
      </c>
    </row>
    <row r="1136" spans="2:5" x14ac:dyDescent="0.3">
      <c r="B1136" s="19" t="s">
        <v>42</v>
      </c>
      <c r="C1136" s="20" t="str">
        <f>HYPERLINK("#'Data'!A1283", "Coping strategies used in the last 30 days due to insufficient resources to meet basic needs [Endline] broken down by households_with_people_with_disa...")</f>
        <v>Coping strategies used in the last 30 days due to insufficient resources to meet basic needs [Endline] broken down by households_with_people_with_disa...</v>
      </c>
      <c r="D1136" s="19" t="s">
        <v>50</v>
      </c>
      <c r="E1136" s="21">
        <v>261</v>
      </c>
    </row>
    <row r="1137" spans="2:5" x14ac:dyDescent="0.3">
      <c r="B1137" s="19" t="s">
        <v>42</v>
      </c>
      <c r="C1137" s="20" t="str">
        <f>HYPERLINK("#'Data'!A1357", "Coping strategies avoided in the past 3 months due to receipt of MPCA [Endline] broken down by households_with_people_with_disabilities_of_group_1_or_...")</f>
        <v>Coping strategies avoided in the past 3 months due to receipt of MPCA [Endline] broken down by households_with_people_with_disabilities_of_group_1_or_...</v>
      </c>
      <c r="D1137" s="19" t="s">
        <v>50</v>
      </c>
      <c r="E1137" s="21">
        <v>276</v>
      </c>
    </row>
    <row r="1138" spans="2:5" hidden="1" x14ac:dyDescent="0.3">
      <c r="B1138" s="19" t="s">
        <v>40</v>
      </c>
      <c r="C1138" s="20" t="str">
        <f>HYPERLINK("#'Data'!A1431", "Household perception of relevance of forthcoming MPCA (3,600 UAH for 3 months per member) [Baseline] broken down by households_with_people_with_disabi...")</f>
        <v>Household perception of relevance of forthcoming MPCA (3,600 UAH for 3 months per member) [Baseline] broken down by households_with_people_with_disabi...</v>
      </c>
      <c r="D1138" s="19" t="s">
        <v>50</v>
      </c>
      <c r="E1138" s="21">
        <v>291</v>
      </c>
    </row>
    <row r="1139" spans="2:5" hidden="1" x14ac:dyDescent="0.3">
      <c r="B1139" s="19" t="s">
        <v>40</v>
      </c>
      <c r="C1139" s="20" t="str">
        <f>HYPERLINK("#'Data'!A1505", "Estimated percentage of household needs met by upcoming MPCA (if partially appropriate) [Baseline] broken down by households_with_people_with_disabili...")</f>
        <v>Estimated percentage of household needs met by upcoming MPCA (if partially appropriate) [Baseline] broken down by households_with_people_with_disabili...</v>
      </c>
      <c r="D1139" s="19" t="s">
        <v>50</v>
      </c>
      <c r="E1139" s="21">
        <v>306</v>
      </c>
    </row>
    <row r="1140" spans="2:5" x14ac:dyDescent="0.3">
      <c r="B1140" s="19" t="s">
        <v>42</v>
      </c>
      <c r="C1140" s="20" t="str">
        <f>HYPERLINK("#'Data'!A1579", "Household opinion on adequacy of received MPCA (3,600 UAH for 3 months per member) [Endline] broken down by households_with_people_with_disabilities_o...")</f>
        <v>Household opinion on adequacy of received MPCA (3,600 UAH for 3 months per member) [Endline] broken down by households_with_people_with_disabilities_o...</v>
      </c>
      <c r="D1140" s="19" t="s">
        <v>50</v>
      </c>
      <c r="E1140" s="21">
        <v>321</v>
      </c>
    </row>
    <row r="1141" spans="2:5" x14ac:dyDescent="0.3">
      <c r="B1141" s="19" t="s">
        <v>42</v>
      </c>
      <c r="C1141" s="20" t="str">
        <f>HYPERLINK("#'Data'!A1653", "Estimated percentage of household needs met by received MPCA (if partially appropriate) [Endline] broken down by households_with_people_with_disabilit...")</f>
        <v>Estimated percentage of household needs met by received MPCA (if partially appropriate) [Endline] broken down by households_with_people_with_disabilit...</v>
      </c>
      <c r="D1141" s="19" t="s">
        <v>50</v>
      </c>
      <c r="E1141" s="21">
        <v>336</v>
      </c>
    </row>
    <row r="1142" spans="2:5" x14ac:dyDescent="0.3">
      <c r="B1142" s="19" t="s">
        <v>42</v>
      </c>
      <c r="C1142" s="20" t="str">
        <f>HYPERLINK("#'Data'!A1739", "Whether the household has already spent the received MPCA [Endline] broken down by households_with_people_with_disabilities_of_group_1_or_2 on the adm...")</f>
        <v>Whether the household has already spent the received MPCA [Endline] broken down by households_with_people_with_disabilities_of_group_1_or_2 on the adm...</v>
      </c>
      <c r="D1142" s="19" t="s">
        <v>50</v>
      </c>
      <c r="E1142" s="21">
        <v>354</v>
      </c>
    </row>
    <row r="1143" spans="2:5" x14ac:dyDescent="0.3">
      <c r="B1143" s="19" t="s">
        <v>42</v>
      </c>
      <c r="C1143" s="20" t="str">
        <f>HYPERLINK("#'Data'!A1813", "Number of weeks MPCA lasted if fully spent [Endline] broken down by households_with_people_with_disabilities_of_group_1_or_2 on the admin of Overall m...")</f>
        <v>Number of weeks MPCA lasted if fully spent [Endline] broken down by households_with_people_with_disabilities_of_group_1_or_2 on the admin of Overall m...</v>
      </c>
      <c r="D1143" s="19" t="s">
        <v>50</v>
      </c>
      <c r="E1143" s="21">
        <v>369</v>
      </c>
    </row>
    <row r="1144" spans="2:5" x14ac:dyDescent="0.3">
      <c r="B1144" s="19" t="s">
        <v>42</v>
      </c>
      <c r="C1144" s="20" t="str">
        <f>HYPERLINK("#'Data'!A1887", "Percentage of MPCA spent to date (if partially used) [Endline] broken down by households_with_people_with_disabilities_of_group_1_or_2 on the admin of...")</f>
        <v>Percentage of MPCA spent to date (if partially used) [Endline] broken down by households_with_people_with_disabilities_of_group_1_or_2 on the admin of...</v>
      </c>
      <c r="D1144" s="19" t="s">
        <v>50</v>
      </c>
      <c r="E1144" s="21">
        <v>384</v>
      </c>
    </row>
    <row r="1145" spans="2:5" x14ac:dyDescent="0.3">
      <c r="B1145" s="19" t="s">
        <v>42</v>
      </c>
      <c r="C1145" s="20" t="str">
        <f>HYPERLINK("#'Data'!A1961", "Extent to which received MPCA helped cover household needs during usage period [Endline] broken down by households_with_people_with_disabilities_of_gr...")</f>
        <v>Extent to which received MPCA helped cover household needs during usage period [Endline] broken down by households_with_people_with_disabilities_of_gr...</v>
      </c>
      <c r="D1145" s="19" t="s">
        <v>50</v>
      </c>
      <c r="E1145" s="21">
        <v>399</v>
      </c>
    </row>
    <row r="1146" spans="2:5" x14ac:dyDescent="0.3">
      <c r="B1146" s="19" t="s">
        <v>42</v>
      </c>
      <c r="C1146" s="20" t="str">
        <f>HYPERLINK("#'Data'!A2035", "Percentage of needs covered by MPCA (if partially met) [Endline] broken down by households_with_people_with_disabilities_of_group_1_or_2 on the admin ...")</f>
        <v>Percentage of needs covered by MPCA (if partially met) [Endline] broken down by households_with_people_with_disabilities_of_group_1_or_2 on the admin ...</v>
      </c>
      <c r="D1146" s="19" t="s">
        <v>50</v>
      </c>
      <c r="E1146" s="21">
        <v>414</v>
      </c>
    </row>
    <row r="1147" spans="2:5" hidden="1" x14ac:dyDescent="0.3">
      <c r="B1147" s="19" t="s">
        <v>40</v>
      </c>
      <c r="C1147" s="20" t="str">
        <f>HYPERLINK("#'Data'!A2109", "Priority needs requiring financial aid, with importance level [Baseline] broken down by households_with_people_with_disabilities_of_group_1_or_2 on th...")</f>
        <v>Priority needs requiring financial aid, with importance level [Baseline] broken down by households_with_people_with_disabilities_of_group_1_or_2 on th...</v>
      </c>
      <c r="D1147" s="19" t="s">
        <v>50</v>
      </c>
      <c r="E1147" s="21">
        <v>429</v>
      </c>
    </row>
    <row r="1148" spans="2:5" hidden="1" x14ac:dyDescent="0.3">
      <c r="B1148" s="19" t="s">
        <v>40</v>
      </c>
      <c r="C1148" s="20" t="str">
        <f>HYPERLINK("#'Data'!A2182", "Importance rating for 'Other' priority need requiring financial assistance [Baseline] broken down by households_with_people_with_disabilities_of_group...")</f>
        <v>Importance rating for 'Other' priority need requiring financial assistance [Baseline] broken down by households_with_people_with_disabilities_of_group...</v>
      </c>
      <c r="D1148" s="19" t="s">
        <v>50</v>
      </c>
      <c r="E1148" s="21">
        <v>444</v>
      </c>
    </row>
    <row r="1149" spans="2:5" hidden="1" x14ac:dyDescent="0.3">
      <c r="B1149" s="19" t="s">
        <v>40</v>
      </c>
      <c r="C1149" s="20" t="str">
        <f>HYPERLINK("#'Data'!A2255", "Importance rating for 'Food' priority need requiring financial assistance [Baseline] broken down by households_with_people_with_disabilities_of_group_...")</f>
        <v>Importance rating for 'Food' priority need requiring financial assistance [Baseline] broken down by households_with_people_with_disabilities_of_group_...</v>
      </c>
      <c r="D1149" s="19" t="s">
        <v>50</v>
      </c>
      <c r="E1149" s="21">
        <v>459</v>
      </c>
    </row>
    <row r="1150" spans="2:5" hidden="1" x14ac:dyDescent="0.3">
      <c r="B1150" s="19" t="s">
        <v>40</v>
      </c>
      <c r="C1150" s="20" t="str">
        <f>HYPERLINK("#'Data'!A2328", "Importance rating for 'Personal hygiene' priority need requiring financial assistance [Baseline] broken down by households_with_people_with_disabiliti...")</f>
        <v>Importance rating for 'Personal hygiene' priority need requiring financial assistance [Baseline] broken down by households_with_people_with_disabiliti...</v>
      </c>
      <c r="D1150" s="19" t="s">
        <v>50</v>
      </c>
      <c r="E1150" s="21">
        <v>474</v>
      </c>
    </row>
    <row r="1151" spans="2:5" hidden="1" x14ac:dyDescent="0.3">
      <c r="B1151" s="19" t="s">
        <v>40</v>
      </c>
      <c r="C1151" s="20" t="str">
        <f>HYPERLINK("#'Data'!A2398", "Importance rating for 'Cleaning items' priority need requiring financial assistance [Baseline] broken down by households_with_people_with_disabilities...")</f>
        <v>Importance rating for 'Cleaning items' priority need requiring financial assistance [Baseline] broken down by households_with_people_with_disabilities...</v>
      </c>
      <c r="D1151" s="19" t="s">
        <v>50</v>
      </c>
      <c r="E1151" s="21">
        <v>489</v>
      </c>
    </row>
    <row r="1152" spans="2:5" hidden="1" x14ac:dyDescent="0.3">
      <c r="B1152" s="19" t="s">
        <v>40</v>
      </c>
      <c r="C1152" s="20" t="str">
        <f>HYPERLINK("#'Data'!A2463", "Importance rating for 'Non-food items' priority need requiring financial assistance [Baseline] broken down by households_with_people_with_disabilities...")</f>
        <v>Importance rating for 'Non-food items' priority need requiring financial assistance [Baseline] broken down by households_with_people_with_disabilities...</v>
      </c>
      <c r="D1152" s="19" t="s">
        <v>50</v>
      </c>
      <c r="E1152" s="21">
        <v>504</v>
      </c>
    </row>
    <row r="1153" spans="2:5" hidden="1" x14ac:dyDescent="0.3">
      <c r="B1153" s="19" t="s">
        <v>40</v>
      </c>
      <c r="C1153" s="20" t="str">
        <f>HYPERLINK("#'Data'!A2530", "Importance rating for 'Clothing and shoes' priority need requiring financial assistance [Baseline] broken down by households_with_people_with_disabili...")</f>
        <v>Importance rating for 'Clothing and shoes' priority need requiring financial assistance [Baseline] broken down by households_with_people_with_disabili...</v>
      </c>
      <c r="D1153" s="19" t="s">
        <v>50</v>
      </c>
      <c r="E1153" s="21">
        <v>519</v>
      </c>
    </row>
    <row r="1154" spans="2:5" hidden="1" x14ac:dyDescent="0.3">
      <c r="B1154" s="19" t="s">
        <v>40</v>
      </c>
      <c r="C1154" s="20" t="str">
        <f>HYPERLINK("#'Data'!A2603", "Importance rating for 'Heating fuel' priority need requiring financial assistance [Baseline] broken down by households_with_people_with_disabilities_o...")</f>
        <v>Importance rating for 'Heating fuel' priority need requiring financial assistance [Baseline] broken down by households_with_people_with_disabilities_o...</v>
      </c>
      <c r="D1154" s="19" t="s">
        <v>50</v>
      </c>
      <c r="E1154" s="21">
        <v>534</v>
      </c>
    </row>
    <row r="1155" spans="2:5" hidden="1" x14ac:dyDescent="0.3">
      <c r="B1155" s="19" t="s">
        <v>40</v>
      </c>
      <c r="C1155" s="20" t="str">
        <f>HYPERLINK("#'Data'!A2674", "Importance rating for 'Safe water' priority need requiring financial assistance [Baseline] broken down by households_with_people_with_disabilities_of_...")</f>
        <v>Importance rating for 'Safe water' priority need requiring financial assistance [Baseline] broken down by households_with_people_with_disabilities_of_...</v>
      </c>
      <c r="D1155" s="19" t="s">
        <v>50</v>
      </c>
      <c r="E1155" s="21">
        <v>549</v>
      </c>
    </row>
    <row r="1156" spans="2:5" hidden="1" x14ac:dyDescent="0.3">
      <c r="B1156" s="19" t="s">
        <v>40</v>
      </c>
      <c r="C1156" s="20" t="str">
        <f>HYPERLINK("#'Data'!A2737", "Importance rating for 'Utilities' priority need requiring financial assistance [Baseline] broken down by households_with_people_with_disabilities_of_g...")</f>
        <v>Importance rating for 'Utilities' priority need requiring financial assistance [Baseline] broken down by households_with_people_with_disabilities_of_g...</v>
      </c>
      <c r="D1156" s="19" t="s">
        <v>50</v>
      </c>
      <c r="E1156" s="21">
        <v>564</v>
      </c>
    </row>
    <row r="1157" spans="2:5" hidden="1" x14ac:dyDescent="0.3">
      <c r="B1157" s="19" t="s">
        <v>40</v>
      </c>
      <c r="C1157" s="20" t="str">
        <f>HYPERLINK("#'Data'!A2808", "Importance rating for 'Water supply' priority need requiring financial assistance [Baseline] broken down by households_with_people_with_disabilities_o...")</f>
        <v>Importance rating for 'Water supply' priority need requiring financial assistance [Baseline] broken down by households_with_people_with_disabilities_o...</v>
      </c>
      <c r="D1157" s="19" t="s">
        <v>50</v>
      </c>
      <c r="E1157" s="21">
        <v>579</v>
      </c>
    </row>
    <row r="1158" spans="2:5" hidden="1" x14ac:dyDescent="0.3">
      <c r="B1158" s="19" t="s">
        <v>40</v>
      </c>
      <c r="C1158" s="20" t="str">
        <f>HYPERLINK("#'Data'!A2868", "Importance rating for 'Rent' priority need requiring financial assistance [Baseline] broken down by households_with_people_with_disabilities_of_group_...")</f>
        <v>Importance rating for 'Rent' priority need requiring financial assistance [Baseline] broken down by households_with_people_with_disabilities_of_group_...</v>
      </c>
      <c r="D1158" s="19" t="s">
        <v>50</v>
      </c>
      <c r="E1158" s="21">
        <v>594</v>
      </c>
    </row>
    <row r="1159" spans="2:5" hidden="1" x14ac:dyDescent="0.3">
      <c r="B1159" s="19" t="s">
        <v>40</v>
      </c>
      <c r="C1159" s="20" t="str">
        <f>HYPERLINK("#'Data'!A2937", "Importance rating for 'Medication' priority need requiring financial assistance [Baseline] broken down by households_with_people_with_disabilities_of_...")</f>
        <v>Importance rating for 'Medication' priority need requiring financial assistance [Baseline] broken down by households_with_people_with_disabilities_of_...</v>
      </c>
      <c r="D1159" s="19" t="s">
        <v>50</v>
      </c>
      <c r="E1159" s="21">
        <v>609</v>
      </c>
    </row>
    <row r="1160" spans="2:5" hidden="1" x14ac:dyDescent="0.3">
      <c r="B1160" s="19" t="s">
        <v>40</v>
      </c>
      <c r="C1160" s="20" t="str">
        <f>HYPERLINK("#'Data'!A3008", "Importance rating for 'Agricultural inputs' priority need requiring financial assistance [Baseline] broken down by households_with_people_with_disabil...")</f>
        <v>Importance rating for 'Agricultural inputs' priority need requiring financial assistance [Baseline] broken down by households_with_people_with_disabil...</v>
      </c>
      <c r="D1160" s="19" t="s">
        <v>50</v>
      </c>
      <c r="E1160" s="21">
        <v>624</v>
      </c>
    </row>
    <row r="1161" spans="2:5" hidden="1" x14ac:dyDescent="0.3">
      <c r="B1161" s="19" t="s">
        <v>40</v>
      </c>
      <c r="C1161" s="20" t="str">
        <f>HYPERLINK("#'Data'!A3077", "Importance rating for 'Shelter maintenance' priority need requiring financial assistance [Baseline] broken down by households_with_people_with_disabil...")</f>
        <v>Importance rating for 'Shelter maintenance' priority need requiring financial assistance [Baseline] broken down by households_with_people_with_disabil...</v>
      </c>
      <c r="D1161" s="19" t="s">
        <v>50</v>
      </c>
      <c r="E1161" s="21">
        <v>639</v>
      </c>
    </row>
    <row r="1162" spans="2:5" hidden="1" x14ac:dyDescent="0.3">
      <c r="B1162" s="19" t="s">
        <v>40</v>
      </c>
      <c r="C1162" s="20" t="str">
        <f>HYPERLINK("#'Data'!A3147", "Importance rating for 'Transportation' priority need requiring financial assistance [Baseline] broken down by households_with_people_with_disabilities...")</f>
        <v>Importance rating for 'Transportation' priority need requiring financial assistance [Baseline] broken down by households_with_people_with_disabilities...</v>
      </c>
      <c r="D1162" s="19" t="s">
        <v>50</v>
      </c>
      <c r="E1162" s="21">
        <v>654</v>
      </c>
    </row>
    <row r="1163" spans="2:5" hidden="1" x14ac:dyDescent="0.3">
      <c r="B1163" s="19" t="s">
        <v>40</v>
      </c>
      <c r="C1163" s="20" t="str">
        <f>HYPERLINK("#'Data'!A3210", "Importance rating for 'Communication' priority need requiring financial assistance [Baseline] broken down by households_with_people_with_disabilities_...")</f>
        <v>Importance rating for 'Communication' priority need requiring financial assistance [Baseline] broken down by households_with_people_with_disabilities_...</v>
      </c>
      <c r="D1163" s="19" t="s">
        <v>50</v>
      </c>
      <c r="E1163" s="21">
        <v>669</v>
      </c>
    </row>
    <row r="1164" spans="2:5" hidden="1" x14ac:dyDescent="0.3">
      <c r="B1164" s="19" t="s">
        <v>40</v>
      </c>
      <c r="C1164" s="20" t="str">
        <f>HYPERLINK("#'Data'!A3272", "Importance rating for 'Education materials' priority need requiring financial assistance [Baseline] broken down by households_with_people_with_disabil...")</f>
        <v>Importance rating for 'Education materials' priority need requiring financial assistance [Baseline] broken down by households_with_people_with_disabil...</v>
      </c>
      <c r="D1164" s="19" t="s">
        <v>50</v>
      </c>
      <c r="E1164" s="21">
        <v>684</v>
      </c>
    </row>
    <row r="1165" spans="2:5" hidden="1" x14ac:dyDescent="0.3">
      <c r="B1165" s="19" t="s">
        <v>40</v>
      </c>
      <c r="C1165" s="20" t="str">
        <f>HYPERLINK("#'Data'!A3343", "Household needs met exclusively due to MPCA and their fulfillment level [Endline] broken down by households_with_people_with_disabilities_of_group_1_o...")</f>
        <v>Household needs met exclusively due to MPCA and their fulfillment level [Endline] broken down by households_with_people_with_disabilities_of_group_1_o...</v>
      </c>
      <c r="D1165" s="19" t="s">
        <v>50</v>
      </c>
      <c r="E1165" s="21">
        <v>699</v>
      </c>
    </row>
    <row r="1166" spans="2:5" hidden="1" x14ac:dyDescent="0.3">
      <c r="B1166" s="19" t="s">
        <v>40</v>
      </c>
      <c r="C1166" s="20" t="str">
        <f>HYPERLINK("#'Data'!A3415", "Fulfillment level of 'Other' need met exclusively due to MPCA [Endline] broken down by households_with_people_with_disabilities_of_group_1_or_2 on the...")</f>
        <v>Fulfillment level of 'Other' need met exclusively due to MPCA [Endline] broken down by households_with_people_with_disabilities_of_group_1_or_2 on the...</v>
      </c>
      <c r="D1166" s="19" t="s">
        <v>50</v>
      </c>
      <c r="E1166" s="21">
        <v>714</v>
      </c>
    </row>
    <row r="1167" spans="2:5" hidden="1" x14ac:dyDescent="0.3">
      <c r="B1167" s="19" t="s">
        <v>40</v>
      </c>
      <c r="C1167" s="20" t="str">
        <f>HYPERLINK("#'Data'!A3488", "Fulfillment level of 'Food' need met exclusively due to MPCA [Endline] broken down by households_with_people_with_disabilities_of_group_1_or_2 on the ...")</f>
        <v>Fulfillment level of 'Food' need met exclusively due to MPCA [Endline] broken down by households_with_people_with_disabilities_of_group_1_or_2 on the ...</v>
      </c>
      <c r="D1167" s="19" t="s">
        <v>50</v>
      </c>
      <c r="E1167" s="21">
        <v>729</v>
      </c>
    </row>
    <row r="1168" spans="2:5" x14ac:dyDescent="0.3">
      <c r="B1168" s="19" t="s">
        <v>42</v>
      </c>
      <c r="C1168" s="20" t="str">
        <f>HYPERLINK("#'Data'!A3559", "Fulfillment level of 'Personal hygiene' need met exclusively due to MPCA [Endline] broken down by households_with_people_with_disabilities_of_group_1_...")</f>
        <v>Fulfillment level of 'Personal hygiene' need met exclusively due to MPCA [Endline] broken down by households_with_people_with_disabilities_of_group_1_...</v>
      </c>
      <c r="D1168" s="19" t="s">
        <v>50</v>
      </c>
      <c r="E1168" s="21">
        <v>744</v>
      </c>
    </row>
    <row r="1169" spans="2:5" x14ac:dyDescent="0.3">
      <c r="B1169" s="19" t="s">
        <v>42</v>
      </c>
      <c r="C1169" s="20" t="str">
        <f>HYPERLINK("#'Data'!A3630", "Fulfillment level of 'Cleaning items' need met exclusively due to MPCA [Endline] broken down by households_with_people_with_disabilities_of_group_1_or...")</f>
        <v>Fulfillment level of 'Cleaning items' need met exclusively due to MPCA [Endline] broken down by households_with_people_with_disabilities_of_group_1_or...</v>
      </c>
      <c r="D1169" s="19" t="s">
        <v>50</v>
      </c>
      <c r="E1169" s="21">
        <v>759</v>
      </c>
    </row>
    <row r="1170" spans="2:5" x14ac:dyDescent="0.3">
      <c r="B1170" s="19" t="s">
        <v>42</v>
      </c>
      <c r="C1170" s="20" t="str">
        <f>HYPERLINK("#'Data'!A3702", "Fulfillment level of 'Non-food items' need met exclusively due to MPCA [Endline] broken down by households_with_people_with_disabilities_of_group_1_or...")</f>
        <v>Fulfillment level of 'Non-food items' need met exclusively due to MPCA [Endline] broken down by households_with_people_with_disabilities_of_group_1_or...</v>
      </c>
      <c r="D1170" s="19" t="s">
        <v>50</v>
      </c>
      <c r="E1170" s="21">
        <v>774</v>
      </c>
    </row>
    <row r="1171" spans="2:5" x14ac:dyDescent="0.3">
      <c r="B1171" s="19" t="s">
        <v>42</v>
      </c>
      <c r="C1171" s="20" t="str">
        <f>HYPERLINK("#'Data'!A3773", "Fulfillment level of 'Clothing and shoes' need met exclusively due to MPCA [Endline] broken down by households_with_people_with_disabilities_of_group_...")</f>
        <v>Fulfillment level of 'Clothing and shoes' need met exclusively due to MPCA [Endline] broken down by households_with_people_with_disabilities_of_group_...</v>
      </c>
      <c r="D1171" s="19" t="s">
        <v>50</v>
      </c>
      <c r="E1171" s="21">
        <v>789</v>
      </c>
    </row>
    <row r="1172" spans="2:5" x14ac:dyDescent="0.3">
      <c r="B1172" s="19" t="s">
        <v>42</v>
      </c>
      <c r="C1172" s="20" t="str">
        <f>HYPERLINK("#'Data'!A3847", "Fulfillment level of 'Heating fuel' need met exclusively due to MPCA [Endline] broken down by households_with_people_with_disabilities_of_group_1_or_2...")</f>
        <v>Fulfillment level of 'Heating fuel' need met exclusively due to MPCA [Endline] broken down by households_with_people_with_disabilities_of_group_1_or_2...</v>
      </c>
      <c r="D1172" s="19" t="s">
        <v>50</v>
      </c>
      <c r="E1172" s="21">
        <v>804</v>
      </c>
    </row>
    <row r="1173" spans="2:5" x14ac:dyDescent="0.3">
      <c r="B1173" s="19" t="s">
        <v>42</v>
      </c>
      <c r="C1173" s="20" t="str">
        <f>HYPERLINK("#'Data'!A3918", "Fulfillment level of 'Safe water' need met exclusively due to MPCA [Endline] broken down by households_with_people_with_disabilities_of_group_1_or_2 o...")</f>
        <v>Fulfillment level of 'Safe water' need met exclusively due to MPCA [Endline] broken down by households_with_people_with_disabilities_of_group_1_or_2 o...</v>
      </c>
      <c r="D1173" s="19" t="s">
        <v>50</v>
      </c>
      <c r="E1173" s="21">
        <v>819</v>
      </c>
    </row>
    <row r="1174" spans="2:5" x14ac:dyDescent="0.3">
      <c r="B1174" s="19" t="s">
        <v>42</v>
      </c>
      <c r="C1174" s="20" t="str">
        <f>HYPERLINK("#'Data'!A3984", "Fulfillment level of 'Utilities' need met exclusively due to MPCA [Endline] broken down by households_with_people_with_disabilities_of_group_1_or_2 on...")</f>
        <v>Fulfillment level of 'Utilities' need met exclusively due to MPCA [Endline] broken down by households_with_people_with_disabilities_of_group_1_or_2 on...</v>
      </c>
      <c r="D1174" s="19" t="s">
        <v>50</v>
      </c>
      <c r="E1174" s="21">
        <v>834</v>
      </c>
    </row>
    <row r="1175" spans="2:5" x14ac:dyDescent="0.3">
      <c r="B1175" s="19" t="s">
        <v>42</v>
      </c>
      <c r="C1175" s="20" t="str">
        <f>HYPERLINK("#'Data'!A4055", "Fulfillment level of 'Water supply' need met exclusively due to MPCA [Endline] broken down by households_with_people_with_disabilities_of_group_1_or_2...")</f>
        <v>Fulfillment level of 'Water supply' need met exclusively due to MPCA [Endline] broken down by households_with_people_with_disabilities_of_group_1_or_2...</v>
      </c>
      <c r="D1175" s="19" t="s">
        <v>50</v>
      </c>
      <c r="E1175" s="21">
        <v>849</v>
      </c>
    </row>
    <row r="1176" spans="2:5" x14ac:dyDescent="0.3">
      <c r="B1176" s="19" t="s">
        <v>42</v>
      </c>
      <c r="C1176" s="20" t="str">
        <f>HYPERLINK("#'Data'!A4124", "Fulfillment level of 'Rent' need met exclusively due to MPCA [Endline] broken down by households_with_people_with_disabilities_of_group_1_or_2 on the ...")</f>
        <v>Fulfillment level of 'Rent' need met exclusively due to MPCA [Endline] broken down by households_with_people_with_disabilities_of_group_1_or_2 on the ...</v>
      </c>
      <c r="D1176" s="19" t="s">
        <v>50</v>
      </c>
      <c r="E1176" s="21">
        <v>864</v>
      </c>
    </row>
    <row r="1177" spans="2:5" x14ac:dyDescent="0.3">
      <c r="B1177" s="19" t="s">
        <v>42</v>
      </c>
      <c r="C1177" s="20" t="str">
        <f>HYPERLINK("#'Data'!A4193", "Fulfillment level of 'Assistive products' need met exclusively due to MPCA [Endline] broken down by households_with_people_with_disabilities_of_group_...")</f>
        <v>Fulfillment level of 'Assistive products' need met exclusively due to MPCA [Endline] broken down by households_with_people_with_disabilities_of_group_...</v>
      </c>
      <c r="D1177" s="19" t="s">
        <v>50</v>
      </c>
      <c r="E1177" s="21">
        <v>879</v>
      </c>
    </row>
    <row r="1178" spans="2:5" x14ac:dyDescent="0.3">
      <c r="B1178" s="19" t="s">
        <v>42</v>
      </c>
      <c r="C1178" s="20" t="str">
        <f>HYPERLINK("#'Data'!A4256", "Fulfillment level of 'Medication' need met exclusively due to MPCA [Endline] broken down by households_with_people_with_disabilities_of_group_1_or_2 o...")</f>
        <v>Fulfillment level of 'Medication' need met exclusively due to MPCA [Endline] broken down by households_with_people_with_disabilities_of_group_1_or_2 o...</v>
      </c>
      <c r="D1178" s="19" t="s">
        <v>50</v>
      </c>
      <c r="E1178" s="21">
        <v>894</v>
      </c>
    </row>
    <row r="1179" spans="2:5" x14ac:dyDescent="0.3">
      <c r="B1179" s="19" t="s">
        <v>42</v>
      </c>
      <c r="C1179" s="20" t="str">
        <f>HYPERLINK("#'Data'!A4327", "Fulfillment level of 'Agricultural inputs' need met exclusively due to MPCA [Endline] broken down by households_with_people_with_disabilities_of_group...")</f>
        <v>Fulfillment level of 'Agricultural inputs' need met exclusively due to MPCA [Endline] broken down by households_with_people_with_disabilities_of_group...</v>
      </c>
      <c r="D1179" s="19" t="s">
        <v>50</v>
      </c>
      <c r="E1179" s="21">
        <v>909</v>
      </c>
    </row>
    <row r="1180" spans="2:5" x14ac:dyDescent="0.3">
      <c r="B1180" s="19" t="s">
        <v>42</v>
      </c>
      <c r="C1180" s="20" t="str">
        <f>HYPERLINK("#'Data'!A4394", "Fulfillment level of 'Shelter maintenance' need met exclusively due to MPCA [Endline] broken down by households_with_people_with_disabilities_of_group...")</f>
        <v>Fulfillment level of 'Shelter maintenance' need met exclusively due to MPCA [Endline] broken down by households_with_people_with_disabilities_of_group...</v>
      </c>
      <c r="D1180" s="19" t="s">
        <v>50</v>
      </c>
      <c r="E1180" s="21">
        <v>924</v>
      </c>
    </row>
    <row r="1181" spans="2:5" x14ac:dyDescent="0.3">
      <c r="B1181" s="19" t="s">
        <v>42</v>
      </c>
      <c r="C1181" s="20" t="str">
        <f>HYPERLINK("#'Data'!A4465", "Fulfillment level of 'Future savings' need met exclusively due to MPCA [Endline] broken down by households_with_people_with_disabilities_of_group_1_or...")</f>
        <v>Fulfillment level of 'Future savings' need met exclusively due to MPCA [Endline] broken down by households_with_people_with_disabilities_of_group_1_or...</v>
      </c>
      <c r="D1181" s="19" t="s">
        <v>50</v>
      </c>
      <c r="E1181" s="21">
        <v>939</v>
      </c>
    </row>
    <row r="1182" spans="2:5" x14ac:dyDescent="0.3">
      <c r="B1182" s="19" t="s">
        <v>42</v>
      </c>
      <c r="C1182" s="20" t="str">
        <f>HYPERLINK("#'Data'!A4534", "Fulfillment level of 'Shared with others' need met exclusively due to MPCA [Endline] broken down by households_with_people_with_disabilities_of_group_...")</f>
        <v>Fulfillment level of 'Shared with others' need met exclusively due to MPCA [Endline] broken down by households_with_people_with_disabilities_of_group_...</v>
      </c>
      <c r="D1182" s="19" t="s">
        <v>50</v>
      </c>
      <c r="E1182" s="21">
        <v>954</v>
      </c>
    </row>
    <row r="1183" spans="2:5" x14ac:dyDescent="0.3">
      <c r="B1183" s="19" t="s">
        <v>42</v>
      </c>
      <c r="C1183" s="20" t="str">
        <f>HYPERLINK("#'Data'!A4602", "Fulfillment level of 'Transportation' need met exclusively due to MPCA [Endline] broken down by households_with_people_with_disabilities_of_group_1_or...")</f>
        <v>Fulfillment level of 'Transportation' need met exclusively due to MPCA [Endline] broken down by households_with_people_with_disabilities_of_group_1_or...</v>
      </c>
      <c r="D1183" s="19" t="s">
        <v>50</v>
      </c>
      <c r="E1183" s="21">
        <v>969</v>
      </c>
    </row>
    <row r="1184" spans="2:5" x14ac:dyDescent="0.3">
      <c r="B1184" s="19" t="s">
        <v>42</v>
      </c>
      <c r="C1184" s="20" t="str">
        <f>HYPERLINK("#'Data'!A4671", "Fulfillment level of 'Communication' need met exclusively due to MPCA [Endline] broken down by households_with_people_with_disabilities_of_group_1_or_...")</f>
        <v>Fulfillment level of 'Communication' need met exclusively due to MPCA [Endline] broken down by households_with_people_with_disabilities_of_group_1_or_...</v>
      </c>
      <c r="D1184" s="19" t="s">
        <v>50</v>
      </c>
      <c r="E1184" s="21">
        <v>984</v>
      </c>
    </row>
    <row r="1185" spans="2:5" x14ac:dyDescent="0.3">
      <c r="B1185" s="19" t="s">
        <v>42</v>
      </c>
      <c r="C1185" s="20" t="str">
        <f>HYPERLINK("#'Data'!A4742", "Fulfillment level of 'Education materials' need met exclusively due to MPCA [Endline] broken down by households_with_people_with_disabilities_of_group...")</f>
        <v>Fulfillment level of 'Education materials' need met exclusively due to MPCA [Endline] broken down by households_with_people_with_disabilities_of_group...</v>
      </c>
      <c r="D1185" s="19" t="s">
        <v>50</v>
      </c>
      <c r="E1185" s="21">
        <v>999</v>
      </c>
    </row>
    <row r="1186" spans="2:5" x14ac:dyDescent="0.3">
      <c r="B1186" s="19" t="s">
        <v>42</v>
      </c>
      <c r="C1186" s="20" t="str">
        <f>HYPERLINK("#'Data'!A4815", "Estimated percentage of MPCA spent on each category of goods and services [Endline] broken down by households_with_people_with_disabilities_of_group_1...")</f>
        <v>Estimated percentage of MPCA spent on each category of goods and services [Endline] broken down by households_with_people_with_disabilities_of_group_1...</v>
      </c>
      <c r="D1186" s="19" t="s">
        <v>50</v>
      </c>
      <c r="E1186" s="21">
        <v>1014</v>
      </c>
    </row>
    <row r="1187" spans="2:5" x14ac:dyDescent="0.3">
      <c r="B1187" s="19" t="s">
        <v>42</v>
      </c>
      <c r="C1187" s="20" t="str">
        <f>HYPERLINK("#'Data'!A4887", "Estimated percentage of MPCA spent on 'Other' category [Endline] broken down by households_with_people_with_disabilities_of_group_1_or_2 on the admin ...")</f>
        <v>Estimated percentage of MPCA spent on 'Other' category [Endline] broken down by households_with_people_with_disabilities_of_group_1_or_2 on the admin ...</v>
      </c>
      <c r="D1187" s="19" t="s">
        <v>50</v>
      </c>
      <c r="E1187" s="21">
        <v>1029</v>
      </c>
    </row>
    <row r="1188" spans="2:5" x14ac:dyDescent="0.3">
      <c r="B1188" s="19" t="s">
        <v>42</v>
      </c>
      <c r="C1188" s="20" t="str">
        <f>HYPERLINK("#'Data'!A4960", "Estimated percentage of MPCA spent on 'Food' category [Endline] broken down by households_with_people_with_disabilities_of_group_1_or_2 on the admin o...")</f>
        <v>Estimated percentage of MPCA spent on 'Food' category [Endline] broken down by households_with_people_with_disabilities_of_group_1_or_2 on the admin o...</v>
      </c>
      <c r="D1188" s="19" t="s">
        <v>50</v>
      </c>
      <c r="E1188" s="21">
        <v>1044</v>
      </c>
    </row>
    <row r="1189" spans="2:5" x14ac:dyDescent="0.3">
      <c r="B1189" s="19" t="s">
        <v>42</v>
      </c>
      <c r="C1189" s="20" t="str">
        <f>HYPERLINK("#'Data'!A5031", "Estimated percentage of MPCA spent on 'Personal hygiene' category [Endline] broken down by households_with_people_with_disabilities_of_group_1_or_2 on...")</f>
        <v>Estimated percentage of MPCA spent on 'Personal hygiene' category [Endline] broken down by households_with_people_with_disabilities_of_group_1_or_2 on...</v>
      </c>
      <c r="D1189" s="19" t="s">
        <v>50</v>
      </c>
      <c r="E1189" s="21">
        <v>1059</v>
      </c>
    </row>
    <row r="1190" spans="2:5" x14ac:dyDescent="0.3">
      <c r="B1190" s="19" t="s">
        <v>42</v>
      </c>
      <c r="C1190" s="20" t="str">
        <f>HYPERLINK("#'Data'!A5103", "Estimated percentage of MPCA spent on 'Cleaning items' category [Endline] broken down by households_with_people_with_disabilities_of_group_1_or_2 on t...")</f>
        <v>Estimated percentage of MPCA spent on 'Cleaning items' category [Endline] broken down by households_with_people_with_disabilities_of_group_1_or_2 on t...</v>
      </c>
      <c r="D1190" s="19" t="s">
        <v>50</v>
      </c>
      <c r="E1190" s="21">
        <v>1074</v>
      </c>
    </row>
    <row r="1191" spans="2:5" x14ac:dyDescent="0.3">
      <c r="B1191" s="19" t="s">
        <v>42</v>
      </c>
      <c r="C1191" s="20" t="str">
        <f>HYPERLINK("#'Data'!A5175", "Estimated percentage of MPCA spent on 'Non-food items' category [Endline] broken down by households_with_people_with_disabilities_of_group_1_or_2 on t...")</f>
        <v>Estimated percentage of MPCA spent on 'Non-food items' category [Endline] broken down by households_with_people_with_disabilities_of_group_1_or_2 on t...</v>
      </c>
      <c r="D1191" s="19" t="s">
        <v>50</v>
      </c>
      <c r="E1191" s="21">
        <v>1089</v>
      </c>
    </row>
    <row r="1192" spans="2:5" x14ac:dyDescent="0.3">
      <c r="B1192" s="19" t="s">
        <v>42</v>
      </c>
      <c r="C1192" s="20" t="str">
        <f>HYPERLINK("#'Data'!A5247", "Estimated percentage of MPCA spent on 'Clothing and shoes' category [Endline] broken down by households_with_people_with_disabilities_of_group_1_or_2 ...")</f>
        <v>Estimated percentage of MPCA spent on 'Clothing and shoes' category [Endline] broken down by households_with_people_with_disabilities_of_group_1_or_2 ...</v>
      </c>
      <c r="D1192" s="19" t="s">
        <v>50</v>
      </c>
      <c r="E1192" s="21">
        <v>1104</v>
      </c>
    </row>
    <row r="1193" spans="2:5" x14ac:dyDescent="0.3">
      <c r="B1193" s="19" t="s">
        <v>42</v>
      </c>
      <c r="C1193" s="20" t="str">
        <f>HYPERLINK("#'Data'!A5321", "Estimated percentage of MPCA spent on 'Heating fuel' category [Endline] broken down by households_with_people_with_disabilities_of_group_1_or_2 on the...")</f>
        <v>Estimated percentage of MPCA spent on 'Heating fuel' category [Endline] broken down by households_with_people_with_disabilities_of_group_1_or_2 on the...</v>
      </c>
      <c r="D1193" s="19" t="s">
        <v>50</v>
      </c>
      <c r="E1193" s="21">
        <v>1119</v>
      </c>
    </row>
    <row r="1194" spans="2:5" x14ac:dyDescent="0.3">
      <c r="B1194" s="19" t="s">
        <v>42</v>
      </c>
      <c r="C1194" s="20" t="str">
        <f>HYPERLINK("#'Data'!A5392", "Estimated percentage of MPCA spent on 'Safe water' category [Endline] broken down by households_with_people_with_disabilities_of_group_1_or_2 on the a...")</f>
        <v>Estimated percentage of MPCA spent on 'Safe water' category [Endline] broken down by households_with_people_with_disabilities_of_group_1_or_2 on the a...</v>
      </c>
      <c r="D1194" s="19" t="s">
        <v>50</v>
      </c>
      <c r="E1194" s="21">
        <v>1134</v>
      </c>
    </row>
    <row r="1195" spans="2:5" x14ac:dyDescent="0.3">
      <c r="B1195" s="19" t="s">
        <v>42</v>
      </c>
      <c r="C1195" s="20" t="str">
        <f>HYPERLINK("#'Data'!A5458", "Estimated percentage of MPCA spent on 'Utilities' category [Endline] broken down by households_with_people_with_disabilities_of_group_1_or_2 on the ad...")</f>
        <v>Estimated percentage of MPCA spent on 'Utilities' category [Endline] broken down by households_with_people_with_disabilities_of_group_1_or_2 on the ad...</v>
      </c>
      <c r="D1195" s="19" t="s">
        <v>50</v>
      </c>
      <c r="E1195" s="21">
        <v>1149</v>
      </c>
    </row>
    <row r="1196" spans="2:5" x14ac:dyDescent="0.3">
      <c r="B1196" s="19" t="s">
        <v>42</v>
      </c>
      <c r="C1196" s="20" t="str">
        <f>HYPERLINK("#'Data'!A5529", "Estimated percentage of MPCA spent on 'Water supply' category [Endline] broken down by households_with_people_with_disabilities_of_group_1_or_2 on the...")</f>
        <v>Estimated percentage of MPCA spent on 'Water supply' category [Endline] broken down by households_with_people_with_disabilities_of_group_1_or_2 on the...</v>
      </c>
      <c r="D1196" s="19" t="s">
        <v>50</v>
      </c>
      <c r="E1196" s="21">
        <v>1164</v>
      </c>
    </row>
    <row r="1197" spans="2:5" x14ac:dyDescent="0.3">
      <c r="B1197" s="19" t="s">
        <v>42</v>
      </c>
      <c r="C1197" s="20" t="str">
        <f>HYPERLINK("#'Data'!A5598", "Estimated percentage of MPCA spent on 'Rent' category [Endline] broken down by households_with_people_with_disabilities_of_group_1_or_2 on the admin o...")</f>
        <v>Estimated percentage of MPCA spent on 'Rent' category [Endline] broken down by households_with_people_with_disabilities_of_group_1_or_2 on the admin o...</v>
      </c>
      <c r="D1197" s="19" t="s">
        <v>50</v>
      </c>
      <c r="E1197" s="21">
        <v>1179</v>
      </c>
    </row>
    <row r="1198" spans="2:5" x14ac:dyDescent="0.3">
      <c r="B1198" s="19" t="s">
        <v>42</v>
      </c>
      <c r="C1198" s="20" t="str">
        <f>HYPERLINK("#'Data'!A5667", "Estimated percentage of MPCA spent on 'Assistive products' category [Endline] broken down by households_with_people_with_disabilities_of_group_1_or_2 ...")</f>
        <v>Estimated percentage of MPCA spent on 'Assistive products' category [Endline] broken down by households_with_people_with_disabilities_of_group_1_or_2 ...</v>
      </c>
      <c r="D1198" s="19" t="s">
        <v>50</v>
      </c>
      <c r="E1198" s="21">
        <v>1194</v>
      </c>
    </row>
    <row r="1199" spans="2:5" x14ac:dyDescent="0.3">
      <c r="B1199" s="19" t="s">
        <v>42</v>
      </c>
      <c r="C1199" s="20" t="str">
        <f>HYPERLINK("#'Data'!A5730", "Estimated percentage of MPCA spent on 'Medication' category [Endline] broken down by households_with_people_with_disabilities_of_group_1_or_2 on the a...")</f>
        <v>Estimated percentage of MPCA spent on 'Medication' category [Endline] broken down by households_with_people_with_disabilities_of_group_1_or_2 on the a...</v>
      </c>
      <c r="D1199" s="19" t="s">
        <v>50</v>
      </c>
      <c r="E1199" s="21">
        <v>1209</v>
      </c>
    </row>
    <row r="1200" spans="2:5" x14ac:dyDescent="0.3">
      <c r="B1200" s="19" t="s">
        <v>42</v>
      </c>
      <c r="C1200" s="20" t="str">
        <f>HYPERLINK("#'Data'!A5802", "Estimated percentage of MPCA spent on 'Agricultural inputs' category [Endline] broken down by households_with_people_with_disabilities_of_group_1_or_2...")</f>
        <v>Estimated percentage of MPCA spent on 'Agricultural inputs' category [Endline] broken down by households_with_people_with_disabilities_of_group_1_or_2...</v>
      </c>
      <c r="D1200" s="19" t="s">
        <v>50</v>
      </c>
      <c r="E1200" s="21">
        <v>1224</v>
      </c>
    </row>
    <row r="1201" spans="2:5" x14ac:dyDescent="0.3">
      <c r="B1201" s="19" t="s">
        <v>42</v>
      </c>
      <c r="C1201" s="20" t="str">
        <f>HYPERLINK("#'Data'!A5871", "Estimated percentage of MPCA spent on 'Shelter maintenance' category [Endline] broken down by households_with_people_with_disabilities_of_group_1_or_2...")</f>
        <v>Estimated percentage of MPCA spent on 'Shelter maintenance' category [Endline] broken down by households_with_people_with_disabilities_of_group_1_or_2...</v>
      </c>
      <c r="D1201" s="19" t="s">
        <v>50</v>
      </c>
      <c r="E1201" s="21">
        <v>1239</v>
      </c>
    </row>
    <row r="1202" spans="2:5" x14ac:dyDescent="0.3">
      <c r="B1202" s="19" t="s">
        <v>42</v>
      </c>
      <c r="C1202" s="20" t="str">
        <f>HYPERLINK("#'Data'!A5942", "Estimated percentage of MPCA spent on 'Future savings' category [Endline] broken down by households_with_people_with_disabilities_of_group_1_or_2 on t...")</f>
        <v>Estimated percentage of MPCA spent on 'Future savings' category [Endline] broken down by households_with_people_with_disabilities_of_group_1_or_2 on t...</v>
      </c>
      <c r="D1202" s="19" t="s">
        <v>50</v>
      </c>
      <c r="E1202" s="21">
        <v>1254</v>
      </c>
    </row>
    <row r="1203" spans="2:5" x14ac:dyDescent="0.3">
      <c r="B1203" s="19" t="s">
        <v>42</v>
      </c>
      <c r="C1203" s="20" t="str">
        <f>HYPERLINK("#'Data'!A6012", "Estimated percentage of MPCA spent on 'Shared with others' category [Endline] broken down by households_with_people_with_disabilities_of_group_1_or_2 ...")</f>
        <v>Estimated percentage of MPCA spent on 'Shared with others' category [Endline] broken down by households_with_people_with_disabilities_of_group_1_or_2 ...</v>
      </c>
      <c r="D1203" s="19" t="s">
        <v>50</v>
      </c>
      <c r="E1203" s="21">
        <v>1269</v>
      </c>
    </row>
    <row r="1204" spans="2:5" x14ac:dyDescent="0.3">
      <c r="B1204" s="19" t="s">
        <v>42</v>
      </c>
      <c r="C1204" s="20" t="str">
        <f>HYPERLINK("#'Data'!A6080", "Estimated percentage of MPCA spent on 'Transportation' category [Endline] broken down by households_with_people_with_disabilities_of_group_1_or_2 on t...")</f>
        <v>Estimated percentage of MPCA spent on 'Transportation' category [Endline] broken down by households_with_people_with_disabilities_of_group_1_or_2 on t...</v>
      </c>
      <c r="D1204" s="19" t="s">
        <v>50</v>
      </c>
      <c r="E1204" s="21">
        <v>1284</v>
      </c>
    </row>
    <row r="1205" spans="2:5" x14ac:dyDescent="0.3">
      <c r="B1205" s="19" t="s">
        <v>42</v>
      </c>
      <c r="C1205" s="20" t="str">
        <f>HYPERLINK("#'Data'!A6151", "Estimated percentage of MPCA spent on 'Communication' category [Endline] broken down by households_with_people_with_disabilities_of_group_1_or_2 on th...")</f>
        <v>Estimated percentage of MPCA spent on 'Communication' category [Endline] broken down by households_with_people_with_disabilities_of_group_1_or_2 on th...</v>
      </c>
      <c r="D1205" s="19" t="s">
        <v>50</v>
      </c>
      <c r="E1205" s="21">
        <v>1299</v>
      </c>
    </row>
    <row r="1206" spans="2:5" x14ac:dyDescent="0.3">
      <c r="B1206" s="19" t="s">
        <v>42</v>
      </c>
      <c r="C1206" s="20" t="str">
        <f>HYPERLINK("#'Data'!A6222", "Estimated percentage of MPCA spent on 'Education materials' category [Endline] broken down by households_with_people_with_disabilities_of_group_1_or_2...")</f>
        <v>Estimated percentage of MPCA spent on 'Education materials' category [Endline] broken down by households_with_people_with_disabilities_of_group_1_or_2...</v>
      </c>
      <c r="D1206" s="19" t="s">
        <v>50</v>
      </c>
      <c r="E1206" s="21">
        <v>1314</v>
      </c>
    </row>
    <row r="1207" spans="2:5" x14ac:dyDescent="0.3">
      <c r="B1207" s="19" t="s">
        <v>42</v>
      </c>
      <c r="C1207" s="20" t="str">
        <f>HYPERLINK("#'Data'!A6295", "Additional priority needs potentially met if MPCA duration extended to 6 months [Endline] broken down by households_with_people_with_disabilities_of_g...")</f>
        <v>Additional priority needs potentially met if MPCA duration extended to 6 months [Endline] broken down by households_with_people_with_disabilities_of_g...</v>
      </c>
      <c r="D1207" s="19" t="s">
        <v>50</v>
      </c>
      <c r="E1207" s="21">
        <v>1329</v>
      </c>
    </row>
    <row r="1208" spans="2:5" x14ac:dyDescent="0.3">
      <c r="B1208" s="19" t="s">
        <v>42</v>
      </c>
      <c r="C1208" s="20" t="str">
        <f>HYPERLINK("#'Data'!A6369", "Additional priority needs potentially met with doubled MPCA amount over past 3 months [Endline] broken down by households_with_people_with_disabilitie...")</f>
        <v>Additional priority needs potentially met with doubled MPCA amount over past 3 months [Endline] broken down by households_with_people_with_disabilitie...</v>
      </c>
      <c r="D1208" s="19" t="s">
        <v>50</v>
      </c>
      <c r="E1208" s="21">
        <v>1344</v>
      </c>
    </row>
    <row r="1209" spans="2:5" x14ac:dyDescent="0.3">
      <c r="B1209" s="19" t="s">
        <v>42</v>
      </c>
      <c r="C1209" s="20" t="str">
        <f>HYPERLINK("#'Data'!A6443", "Needs that MPCA is considered insufficient to address [Baseline] broken down by households_with_people_with_disabilities_of_group_1_or_2 on the admin ...")</f>
        <v>Needs that MPCA is considered insufficient to address [Baseline] broken down by households_with_people_with_disabilities_of_group_1_or_2 on the admin ...</v>
      </c>
      <c r="D1209" s="19" t="s">
        <v>50</v>
      </c>
      <c r="E1209" s="21">
        <v>1359</v>
      </c>
    </row>
    <row r="1210" spans="2:5" x14ac:dyDescent="0.3">
      <c r="B1210" s="19" t="s">
        <v>42</v>
      </c>
      <c r="C1210" s="20" t="str">
        <f>HYPERLINK("#'Data'!A6517", "Needs that MPCA is considered insufficient to address [Endline] broken down by households_with_people_with_disabilities_of_group_1_or_2 on the admin o...")</f>
        <v>Needs that MPCA is considered insufficient to address [Endline] broken down by households_with_people_with_disabilities_of_group_1_or_2 on the admin o...</v>
      </c>
      <c r="D1210" s="19" t="s">
        <v>50</v>
      </c>
      <c r="E1210" s="21">
        <v>1374</v>
      </c>
    </row>
    <row r="1211" spans="2:5" x14ac:dyDescent="0.3">
      <c r="B1211" s="19" t="s">
        <v>42</v>
      </c>
      <c r="C1211" s="20" t="str">
        <f>HYPERLINK("#'Data'!A6591", "Preferred type of assistance for meeting current household needs [Baseline] broken down by households_with_people_with_disabilities_of_group_1_or_2 on...")</f>
        <v>Preferred type of assistance for meeting current household needs [Baseline] broken down by households_with_people_with_disabilities_of_group_1_or_2 on...</v>
      </c>
      <c r="D1211" s="19" t="s">
        <v>50</v>
      </c>
      <c r="E1211" s="21">
        <v>1389</v>
      </c>
    </row>
    <row r="1212" spans="2:5" hidden="1" x14ac:dyDescent="0.3">
      <c r="B1212" s="19" t="s">
        <v>40</v>
      </c>
      <c r="C1212" s="20" t="str">
        <f>HYPERLINK("#'Data'!A6665", "Preferred type of assistance for meeting current household needs [Endline] broken down by households_with_people_with_disabilities_of_group_1_or_2 on ...")</f>
        <v>Preferred type of assistance for meeting current household needs [Endline] broken down by households_with_people_with_disabilities_of_group_1_or_2 on ...</v>
      </c>
      <c r="D1212" s="19" t="s">
        <v>50</v>
      </c>
      <c r="E1212" s="21">
        <v>1404</v>
      </c>
    </row>
    <row r="1213" spans="2:5" x14ac:dyDescent="0.3">
      <c r="B1213" s="19" t="s">
        <v>42</v>
      </c>
      <c r="C1213" s="20" t="str">
        <f>HYPERLINK("#'Data'!A6739", "Remaining needs after MPCA that require additional cash or in-kind assistance [Endline] broken down by households_with_people_with_disabilities_of_gro...")</f>
        <v>Remaining needs after MPCA that require additional cash or in-kind assistance [Endline] broken down by households_with_people_with_disabilities_of_gro...</v>
      </c>
      <c r="D1213" s="19" t="s">
        <v>50</v>
      </c>
      <c r="E1213" s="21">
        <v>1419</v>
      </c>
    </row>
    <row r="1214" spans="2:5" hidden="1" x14ac:dyDescent="0.3">
      <c r="B1214" s="19" t="s">
        <v>40</v>
      </c>
      <c r="C1214" s="20" t="str">
        <f>HYPERLINK("#'Data'!A6813", "Remaining needs after MPCA that require additional cash or in-kind assistance [Endline] broken down by households_with_people_with_disabilities_of_gro...")</f>
        <v>Remaining needs after MPCA that require additional cash or in-kind assistance [Endline] broken down by households_with_people_with_disabilities_of_gro...</v>
      </c>
      <c r="D1214" s="19" t="s">
        <v>50</v>
      </c>
      <c r="E1214" s="21">
        <v>1434</v>
      </c>
    </row>
    <row r="1215" spans="2:5" x14ac:dyDescent="0.3">
      <c r="B1215" s="19" t="s">
        <v>42</v>
      </c>
      <c r="C1215" s="20" t="str">
        <f>HYPERLINK("#'Data'!A6887", "Amount of multi-purpose cash assistance received over last 3 months in UAH [Endline] broken down by households_with_people_with_disabilities_of_group_...")</f>
        <v>Amount of multi-purpose cash assistance received over last 3 months in UAH [Endline] broken down by households_with_people_with_disabilities_of_group_...</v>
      </c>
      <c r="D1215" s="19" t="s">
        <v>50</v>
      </c>
      <c r="E1215" s="21">
        <v>1449</v>
      </c>
    </row>
    <row r="1216" spans="2:5" x14ac:dyDescent="0.3">
      <c r="B1216" s="19" t="s">
        <v>42</v>
      </c>
      <c r="C1216" s="20" t="str">
        <f>HYPERLINK("#'Data'!A6961", "Amount of multi-purpose cash assistance received over last 3 months per hh member in UAH [Endline] broken down by households_with_people_with_disabili...")</f>
        <v>Amount of multi-purpose cash assistance received over last 3 months per hh member in UAH [Endline] broken down by households_with_people_with_disabili...</v>
      </c>
      <c r="D1216" s="19" t="s">
        <v>50</v>
      </c>
      <c r="E1216" s="21">
        <v>1464</v>
      </c>
    </row>
    <row r="1217" spans="2:5" x14ac:dyDescent="0.3">
      <c r="B1217" s="19" t="s">
        <v>42</v>
      </c>
      <c r="C1217" s="20" t="str">
        <f>HYPERLINK("#'Data'!A7035", "Other types of humanitarian aid received in the previous three months [Endline] broken down by households_with_people_with_disabilities_of_group_1_or_...")</f>
        <v>Other types of humanitarian aid received in the previous three months [Endline] broken down by households_with_people_with_disabilities_of_group_1_or_...</v>
      </c>
      <c r="D1217" s="19" t="s">
        <v>50</v>
      </c>
      <c r="E1217" s="21">
        <v>1479</v>
      </c>
    </row>
    <row r="1218" spans="2:5" x14ac:dyDescent="0.3">
      <c r="B1218" s="19" t="s">
        <v>42</v>
      </c>
      <c r="C1218" s="20" t="str">
        <f>HYPERLINK("#'Data'!A7106", "Estimated percentage of total household expenditures spent on 'Other' (past month, excl. humanitarian aid) [Baseline] broken down by households_with_p...")</f>
        <v>Estimated percentage of total household expenditures spent on 'Other' (past month, excl. humanitarian aid) [Baseline] broken down by households_with_p...</v>
      </c>
      <c r="D1218" s="19" t="s">
        <v>50</v>
      </c>
      <c r="E1218" s="21">
        <v>1494</v>
      </c>
    </row>
    <row r="1219" spans="2:5" x14ac:dyDescent="0.3">
      <c r="B1219" s="19" t="s">
        <v>42</v>
      </c>
      <c r="C1219" s="20" t="str">
        <f>HYPERLINK("#'Data'!A7175", "Estimated percentage of total household expenditures spent on 'Food' (past month, excl. humanitarian aid) [Baseline] broken down by households_with_pe...")</f>
        <v>Estimated percentage of total household expenditures spent on 'Food' (past month, excl. humanitarian aid) [Baseline] broken down by households_with_pe...</v>
      </c>
      <c r="D1219" s="19" t="s">
        <v>50</v>
      </c>
      <c r="E1219" s="21">
        <v>1509</v>
      </c>
    </row>
    <row r="1220" spans="2:5" x14ac:dyDescent="0.3">
      <c r="B1220" s="19" t="s">
        <v>42</v>
      </c>
      <c r="C1220" s="20" t="str">
        <f>HYPERLINK("#'Data'!A7248",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1220" s="19" t="s">
        <v>50</v>
      </c>
      <c r="E1220" s="21">
        <v>1524</v>
      </c>
    </row>
    <row r="1221" spans="2:5" hidden="1" x14ac:dyDescent="0.3">
      <c r="B1221" s="19" t="s">
        <v>40</v>
      </c>
      <c r="C1221" s="20" t="str">
        <f>HYPERLINK("#'Data'!A7321",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1221" s="19" t="s">
        <v>50</v>
      </c>
      <c r="E1221" s="21">
        <v>1539</v>
      </c>
    </row>
    <row r="1222" spans="2:5" hidden="1" x14ac:dyDescent="0.3">
      <c r="B1222" s="19" t="s">
        <v>40</v>
      </c>
      <c r="C1222" s="20" t="str">
        <f>HYPERLINK("#'Data'!A7393",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1222" s="19" t="s">
        <v>50</v>
      </c>
      <c r="E1222" s="21">
        <v>1554</v>
      </c>
    </row>
    <row r="1223" spans="2:5" hidden="1" x14ac:dyDescent="0.3">
      <c r="B1223" s="19" t="s">
        <v>40</v>
      </c>
      <c r="C1223" s="20" t="str">
        <f>HYPERLINK("#'Data'!A7464",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1223" s="19" t="s">
        <v>50</v>
      </c>
      <c r="E1223" s="21">
        <v>1569</v>
      </c>
    </row>
    <row r="1224" spans="2:5" hidden="1" x14ac:dyDescent="0.3">
      <c r="B1224" s="19" t="s">
        <v>40</v>
      </c>
      <c r="C1224" s="20" t="str">
        <f>HYPERLINK("#'Data'!A7536",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1224" s="19" t="s">
        <v>50</v>
      </c>
      <c r="E1224" s="21">
        <v>1584</v>
      </c>
    </row>
    <row r="1225" spans="2:5" hidden="1" x14ac:dyDescent="0.3">
      <c r="B1225" s="19" t="s">
        <v>40</v>
      </c>
      <c r="C1225" s="20" t="str">
        <f>HYPERLINK("#'Data'!A7608", "Estimated percentage of total household expenditures spent on 'Safe water' (past month, excl. humanitarian aid) [Baseline] broken down by households_w...")</f>
        <v>Estimated percentage of total household expenditures spent on 'Safe water' (past month, excl. humanitarian aid) [Baseline] broken down by households_w...</v>
      </c>
      <c r="D1225" s="19" t="s">
        <v>50</v>
      </c>
      <c r="E1225" s="21">
        <v>1599</v>
      </c>
    </row>
    <row r="1226" spans="2:5" hidden="1" x14ac:dyDescent="0.3">
      <c r="B1226" s="19" t="s">
        <v>40</v>
      </c>
      <c r="C1226" s="20" t="str">
        <f>HYPERLINK("#'Data'!A7681", "Estimated percentage of total household expenditures spent on 'Utilities' (past month, excl. humanitarian aid) [Baseline] broken down by households_wi...")</f>
        <v>Estimated percentage of total household expenditures spent on 'Utilities' (past month, excl. humanitarian aid) [Baseline] broken down by households_wi...</v>
      </c>
      <c r="D1226" s="19" t="s">
        <v>50</v>
      </c>
      <c r="E1226" s="21">
        <v>1614</v>
      </c>
    </row>
    <row r="1227" spans="2:5" hidden="1" x14ac:dyDescent="0.3">
      <c r="B1227" s="19" t="s">
        <v>40</v>
      </c>
      <c r="C1227" s="20" t="str">
        <f>HYPERLINK("#'Data'!A7753",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1227" s="19" t="s">
        <v>50</v>
      </c>
      <c r="E1227" s="21">
        <v>1629</v>
      </c>
    </row>
    <row r="1228" spans="2:5" hidden="1" x14ac:dyDescent="0.3">
      <c r="B1228" s="19" t="s">
        <v>40</v>
      </c>
      <c r="C1228" s="20" t="str">
        <f>HYPERLINK("#'Data'!A7824", "Estimated percentage of total household expenditures spent on 'Rent' (past month, excl. humanitarian aid) [Baseline] broken down by households_with_pe...")</f>
        <v>Estimated percentage of total household expenditures spent on 'Rent' (past month, excl. humanitarian aid) [Baseline] broken down by households_with_pe...</v>
      </c>
      <c r="D1228" s="19" t="s">
        <v>50</v>
      </c>
      <c r="E1228" s="21">
        <v>1644</v>
      </c>
    </row>
    <row r="1229" spans="2:5" hidden="1" x14ac:dyDescent="0.3">
      <c r="B1229" s="19" t="s">
        <v>40</v>
      </c>
      <c r="C1229" s="20" t="str">
        <f>HYPERLINK("#'Data'!A7893",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1229" s="19" t="s">
        <v>50</v>
      </c>
      <c r="E1229" s="21">
        <v>1659</v>
      </c>
    </row>
    <row r="1230" spans="2:5" hidden="1" x14ac:dyDescent="0.3">
      <c r="B1230" s="19" t="s">
        <v>40</v>
      </c>
      <c r="C1230" s="20" t="str">
        <f>HYPERLINK("#'Data'!A7966", "Estimated percentage of total household expenditures spent on 'Medication' (past month, excl. humanitarian aid) [Baseline] broken down by households_w...")</f>
        <v>Estimated percentage of total household expenditures spent on 'Medication' (past month, excl. humanitarian aid) [Baseline] broken down by households_w...</v>
      </c>
      <c r="D1230" s="19" t="s">
        <v>50</v>
      </c>
      <c r="E1230" s="21">
        <v>1674</v>
      </c>
    </row>
    <row r="1231" spans="2:5" hidden="1" x14ac:dyDescent="0.3">
      <c r="B1231" s="19" t="s">
        <v>40</v>
      </c>
      <c r="C1231" s="20" t="str">
        <f>HYPERLINK("#'Data'!A8036",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1231" s="19" t="s">
        <v>50</v>
      </c>
      <c r="E1231" s="21">
        <v>1689</v>
      </c>
    </row>
    <row r="1232" spans="2:5" hidden="1" x14ac:dyDescent="0.3">
      <c r="B1232" s="19" t="s">
        <v>40</v>
      </c>
      <c r="C1232" s="20" t="str">
        <f>HYPERLINK("#'Data'!A8106",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1232" s="19" t="s">
        <v>50</v>
      </c>
      <c r="E1232" s="21">
        <v>1704</v>
      </c>
    </row>
    <row r="1233" spans="2:5" hidden="1" x14ac:dyDescent="0.3">
      <c r="B1233" s="19" t="s">
        <v>40</v>
      </c>
      <c r="C1233" s="20" t="str">
        <f>HYPERLINK("#'Data'!A8176",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1233" s="19" t="s">
        <v>50</v>
      </c>
      <c r="E1233" s="21">
        <v>1719</v>
      </c>
    </row>
    <row r="1234" spans="2:5" hidden="1" x14ac:dyDescent="0.3">
      <c r="B1234" s="19" t="s">
        <v>40</v>
      </c>
      <c r="C1234" s="20" t="str">
        <f>HYPERLINK("#'Data'!A8244",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1234" s="19" t="s">
        <v>50</v>
      </c>
      <c r="E1234" s="21">
        <v>1734</v>
      </c>
    </row>
    <row r="1235" spans="2:5" hidden="1" x14ac:dyDescent="0.3">
      <c r="B1235" s="19" t="s">
        <v>40</v>
      </c>
      <c r="C1235" s="20" t="str">
        <f>HYPERLINK("#'Data'!A8315",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1235" s="19" t="s">
        <v>50</v>
      </c>
      <c r="E1235" s="21">
        <v>1749</v>
      </c>
    </row>
    <row r="1236" spans="2:5" hidden="1" x14ac:dyDescent="0.3">
      <c r="B1236" s="19" t="s">
        <v>40</v>
      </c>
      <c r="C1236" s="20" t="str">
        <f>HYPERLINK("#'Data'!A8388",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1236" s="19" t="s">
        <v>50</v>
      </c>
      <c r="E1236" s="21">
        <v>1764</v>
      </c>
    </row>
    <row r="1237" spans="2:5" hidden="1" x14ac:dyDescent="0.3">
      <c r="B1237" s="19" t="s">
        <v>40</v>
      </c>
      <c r="C1237" s="20" t="str">
        <f>HYPERLINK("#'Data'!A8460",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1237" s="19" t="s">
        <v>50</v>
      </c>
      <c r="E1237" s="21">
        <v>1779</v>
      </c>
    </row>
    <row r="1238" spans="2:5" hidden="1" x14ac:dyDescent="0.3">
      <c r="B1238" s="19" t="s">
        <v>40</v>
      </c>
      <c r="C1238" s="20" t="str">
        <f>HYPERLINK("#'Data'!A8530", "Estimated percentage of total household expenditures spent on 'Other' (past month, excl. humanitarian aid) [Endline] broken down by households_with_pe...")</f>
        <v>Estimated percentage of total household expenditures spent on 'Other' (past month, excl. humanitarian aid) [Endline] broken down by households_with_pe...</v>
      </c>
      <c r="D1238" s="19" t="s">
        <v>50</v>
      </c>
      <c r="E1238" s="21">
        <v>1794</v>
      </c>
    </row>
    <row r="1239" spans="2:5" hidden="1" x14ac:dyDescent="0.3">
      <c r="B1239" s="19" t="s">
        <v>40</v>
      </c>
      <c r="C1239" s="20" t="str">
        <f>HYPERLINK("#'Data'!A8599", "Estimated percentage of total household expenditures spent on 'Food' (past month, excl. humanitarian aid) [Endline] broken down by households_with_peo...")</f>
        <v>Estimated percentage of total household expenditures spent on 'Food' (past month, excl. humanitarian aid) [Endline] broken down by households_with_peo...</v>
      </c>
      <c r="D1239" s="19" t="s">
        <v>50</v>
      </c>
      <c r="E1239" s="21">
        <v>1809</v>
      </c>
    </row>
    <row r="1240" spans="2:5" hidden="1" x14ac:dyDescent="0.3">
      <c r="B1240" s="19" t="s">
        <v>40</v>
      </c>
      <c r="C1240" s="20" t="str">
        <f>HYPERLINK("#'Data'!A8672",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1240" s="19" t="s">
        <v>50</v>
      </c>
      <c r="E1240" s="21">
        <v>1824</v>
      </c>
    </row>
    <row r="1241" spans="2:5" x14ac:dyDescent="0.3">
      <c r="B1241" s="19" t="s">
        <v>42</v>
      </c>
      <c r="C1241" s="20" t="str">
        <f>HYPERLINK("#'Data'!A8745",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1241" s="19" t="s">
        <v>50</v>
      </c>
      <c r="E1241" s="21">
        <v>1839</v>
      </c>
    </row>
    <row r="1242" spans="2:5" x14ac:dyDescent="0.3">
      <c r="B1242" s="19" t="s">
        <v>42</v>
      </c>
      <c r="C1242" s="20" t="str">
        <f>HYPERLINK("#'Data'!A8818",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1242" s="19" t="s">
        <v>50</v>
      </c>
      <c r="E1242" s="21">
        <v>1854</v>
      </c>
    </row>
    <row r="1243" spans="2:5" x14ac:dyDescent="0.3">
      <c r="B1243" s="19" t="s">
        <v>42</v>
      </c>
      <c r="C1243" s="20" t="str">
        <f>HYPERLINK("#'Data'!A8890",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1243" s="19" t="s">
        <v>50</v>
      </c>
      <c r="E1243" s="21">
        <v>1869</v>
      </c>
    </row>
    <row r="1244" spans="2:5" x14ac:dyDescent="0.3">
      <c r="B1244" s="19" t="s">
        <v>42</v>
      </c>
      <c r="C1244" s="20" t="str">
        <f>HYPERLINK("#'Data'!A8964",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1244" s="19" t="s">
        <v>50</v>
      </c>
      <c r="E1244" s="21">
        <v>1884</v>
      </c>
    </row>
    <row r="1245" spans="2:5" x14ac:dyDescent="0.3">
      <c r="B1245" s="19" t="s">
        <v>42</v>
      </c>
      <c r="C1245" s="20" t="str">
        <f>HYPERLINK("#'Data'!A9037", "Estimated percentage of total household expenditures spent on 'Safe water' (past month, excl. humanitarian aid) [Endline] broken down by households_wi...")</f>
        <v>Estimated percentage of total household expenditures spent on 'Safe water' (past month, excl. humanitarian aid) [Endline] broken down by households_wi...</v>
      </c>
      <c r="D1245" s="19" t="s">
        <v>50</v>
      </c>
      <c r="E1245" s="21">
        <v>1899</v>
      </c>
    </row>
    <row r="1246" spans="2:5" x14ac:dyDescent="0.3">
      <c r="B1246" s="19" t="s">
        <v>42</v>
      </c>
      <c r="C1246" s="20" t="str">
        <f>HYPERLINK("#'Data'!A9110", "Estimated percentage of total household expenditures spent on 'Utilities' (past month, excl. humanitarian aid) [Endline] broken down by households_wit...")</f>
        <v>Estimated percentage of total household expenditures spent on 'Utilities' (past month, excl. humanitarian aid) [Endline] broken down by households_wit...</v>
      </c>
      <c r="D1246" s="19" t="s">
        <v>50</v>
      </c>
      <c r="E1246" s="21">
        <v>1914</v>
      </c>
    </row>
    <row r="1247" spans="2:5" x14ac:dyDescent="0.3">
      <c r="B1247" s="19" t="s">
        <v>42</v>
      </c>
      <c r="C1247" s="20" t="str">
        <f>HYPERLINK("#'Data'!A9182",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1247" s="19" t="s">
        <v>50</v>
      </c>
      <c r="E1247" s="21">
        <v>1929</v>
      </c>
    </row>
    <row r="1248" spans="2:5" x14ac:dyDescent="0.3">
      <c r="B1248" s="19" t="s">
        <v>42</v>
      </c>
      <c r="C1248" s="20" t="str">
        <f>HYPERLINK("#'Data'!A9254", "Estimated percentage of total household expenditures spent on 'Rent' (past month, excl. humanitarian aid) [Endline] broken down by households_with_peo...")</f>
        <v>Estimated percentage of total household expenditures spent on 'Rent' (past month, excl. humanitarian aid) [Endline] broken down by households_with_peo...</v>
      </c>
      <c r="D1248" s="19" t="s">
        <v>50</v>
      </c>
      <c r="E1248" s="21">
        <v>1944</v>
      </c>
    </row>
    <row r="1249" spans="2:5" x14ac:dyDescent="0.3">
      <c r="B1249" s="19" t="s">
        <v>42</v>
      </c>
      <c r="C1249" s="20" t="str">
        <f>HYPERLINK("#'Data'!A9319",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1249" s="19" t="s">
        <v>50</v>
      </c>
      <c r="E1249" s="21">
        <v>1959</v>
      </c>
    </row>
    <row r="1250" spans="2:5" x14ac:dyDescent="0.3">
      <c r="B1250" s="19" t="s">
        <v>42</v>
      </c>
      <c r="C1250" s="20" t="str">
        <f>HYPERLINK("#'Data'!A9387", "Estimated percentage of total household expenditures spent on 'Medication' (past month, excl. humanitarian aid) [Endline] broken down by households_wi...")</f>
        <v>Estimated percentage of total household expenditures spent on 'Medication' (past month, excl. humanitarian aid) [Endline] broken down by households_wi...</v>
      </c>
      <c r="D1250" s="19" t="s">
        <v>50</v>
      </c>
      <c r="E1250" s="21">
        <v>1974</v>
      </c>
    </row>
    <row r="1251" spans="2:5" x14ac:dyDescent="0.3">
      <c r="B1251" s="19" t="s">
        <v>42</v>
      </c>
      <c r="C1251" s="20" t="str">
        <f>HYPERLINK("#'Data'!A9458",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1251" s="19" t="s">
        <v>50</v>
      </c>
      <c r="E1251" s="21">
        <v>1989</v>
      </c>
    </row>
    <row r="1252" spans="2:5" x14ac:dyDescent="0.3">
      <c r="B1252" s="19" t="s">
        <v>42</v>
      </c>
      <c r="C1252" s="20" t="str">
        <f>HYPERLINK("#'Data'!A9524",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1252" s="19" t="s">
        <v>50</v>
      </c>
      <c r="E1252" s="21">
        <v>2004</v>
      </c>
    </row>
    <row r="1253" spans="2:5" x14ac:dyDescent="0.3">
      <c r="B1253" s="19" t="s">
        <v>42</v>
      </c>
      <c r="C1253" s="20" t="str">
        <f>HYPERLINK("#'Data'!A9593",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1253" s="19" t="s">
        <v>50</v>
      </c>
      <c r="E1253" s="21">
        <v>2019</v>
      </c>
    </row>
    <row r="1254" spans="2:5" x14ac:dyDescent="0.3">
      <c r="B1254" s="19" t="s">
        <v>42</v>
      </c>
      <c r="C1254" s="20" t="str">
        <f>HYPERLINK("#'Data'!A9658",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1254" s="19" t="s">
        <v>50</v>
      </c>
      <c r="E1254" s="21">
        <v>2034</v>
      </c>
    </row>
    <row r="1255" spans="2:5" x14ac:dyDescent="0.3">
      <c r="B1255" s="19" t="s">
        <v>42</v>
      </c>
      <c r="C1255" s="20" t="str">
        <f>HYPERLINK("#'Data'!A9723",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1255" s="19" t="s">
        <v>50</v>
      </c>
      <c r="E1255" s="21">
        <v>2049</v>
      </c>
    </row>
    <row r="1256" spans="2:5" x14ac:dyDescent="0.3">
      <c r="B1256" s="19" t="s">
        <v>42</v>
      </c>
      <c r="C1256" s="20" t="str">
        <f>HYPERLINK("#'Data'!A9794",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1256" s="19" t="s">
        <v>50</v>
      </c>
      <c r="E1256" s="21">
        <v>2064</v>
      </c>
    </row>
    <row r="1257" spans="2:5" x14ac:dyDescent="0.3">
      <c r="B1257" s="19" t="s">
        <v>42</v>
      </c>
      <c r="C1257" s="20" t="str">
        <f>HYPERLINK("#'Data'!A9867",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1257" s="19" t="s">
        <v>50</v>
      </c>
      <c r="E1257" s="21">
        <v>2079</v>
      </c>
    </row>
    <row r="1258" spans="2:5" hidden="1" x14ac:dyDescent="0.3">
      <c r="B1258" s="19" t="s">
        <v>40</v>
      </c>
      <c r="C1258" s="20" t="str">
        <f>HYPERLINK("#'Data'!A30",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1258" s="19" t="s">
        <v>51</v>
      </c>
      <c r="E1258" s="21">
        <v>7</v>
      </c>
    </row>
    <row r="1259" spans="2:5" hidden="1" x14ac:dyDescent="0.3">
      <c r="B1259" s="19" t="s">
        <v>40</v>
      </c>
      <c r="C1259" s="20" t="str">
        <f>HYPERLINK("#'Data'!A104",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1259" s="19" t="s">
        <v>51</v>
      </c>
      <c r="E1259" s="21">
        <v>22</v>
      </c>
    </row>
    <row r="1260" spans="2:5" x14ac:dyDescent="0.3">
      <c r="B1260" s="19" t="s">
        <v>42</v>
      </c>
      <c r="C1260" s="20" t="str">
        <f>HYPERLINK("#'Data'!A178",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1260" s="19" t="s">
        <v>51</v>
      </c>
      <c r="E1260" s="21">
        <v>37</v>
      </c>
    </row>
    <row r="1261" spans="2:5" x14ac:dyDescent="0.3">
      <c r="B1261" s="19" t="s">
        <v>42</v>
      </c>
      <c r="C1261" s="20" t="str">
        <f>HYPERLINK("#'Data'!A252",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1261" s="19" t="s">
        <v>51</v>
      </c>
      <c r="E1261" s="21">
        <v>52</v>
      </c>
    </row>
    <row r="1262" spans="2:5" hidden="1" x14ac:dyDescent="0.3">
      <c r="B1262" s="19" t="s">
        <v>40</v>
      </c>
      <c r="C1262" s="20" t="str">
        <f>HYPERLINK("#'Data'!A326", "Sources of income or financial support  household received in the last month [Baseline] broken down by households_with_people_with_severe_chronic_dise...")</f>
        <v>Sources of income or financial support  household received in the last month [Baseline] broken down by households_with_people_with_severe_chronic_dise...</v>
      </c>
      <c r="D1262" s="19" t="s">
        <v>51</v>
      </c>
      <c r="E1262" s="21">
        <v>67</v>
      </c>
    </row>
    <row r="1263" spans="2:5" x14ac:dyDescent="0.3">
      <c r="B1263" s="19" t="s">
        <v>42</v>
      </c>
      <c r="C1263" s="20" t="str">
        <f>HYPERLINK("#'Data'!A400",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1263" s="19" t="s">
        <v>51</v>
      </c>
      <c r="E1263" s="21">
        <v>82</v>
      </c>
    </row>
    <row r="1264" spans="2:5" hidden="1" x14ac:dyDescent="0.3">
      <c r="B1264" s="19" t="s">
        <v>40</v>
      </c>
      <c r="C1264" s="20" t="str">
        <f>HYPERLINK("#'Data'!A474",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1264" s="19" t="s">
        <v>51</v>
      </c>
      <c r="E1264" s="21">
        <v>97</v>
      </c>
    </row>
    <row r="1265" spans="2:5" hidden="1" x14ac:dyDescent="0.3">
      <c r="B1265" s="19" t="s">
        <v>40</v>
      </c>
      <c r="C1265" s="20" t="str">
        <f>HYPERLINK("#'Data'!A548",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1265" s="19" t="s">
        <v>51</v>
      </c>
      <c r="E1265" s="21">
        <v>112</v>
      </c>
    </row>
    <row r="1266" spans="2:5" x14ac:dyDescent="0.3">
      <c r="B1266" s="19" t="s">
        <v>42</v>
      </c>
      <c r="C1266" s="20" t="str">
        <f>HYPERLINK("#'Data'!A622",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1266" s="19" t="s">
        <v>51</v>
      </c>
      <c r="E1266" s="21">
        <v>127</v>
      </c>
    </row>
    <row r="1267" spans="2:5" x14ac:dyDescent="0.3">
      <c r="B1267" s="19" t="s">
        <v>42</v>
      </c>
      <c r="C1267" s="20" t="str">
        <f>HYPERLINK("#'Data'!A696",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1267" s="19" t="s">
        <v>51</v>
      </c>
      <c r="E1267" s="21">
        <v>142</v>
      </c>
    </row>
    <row r="1268" spans="2:5" hidden="1" x14ac:dyDescent="0.3">
      <c r="B1268" s="19" t="s">
        <v>40</v>
      </c>
      <c r="C1268" s="20" t="str">
        <f>HYPERLINK("#'Data'!A770", "Household expenditures by category over the past 30 days [or month] in UAH [Baseline] broken down by households_with_people_with_severe_chronic_diseas...")</f>
        <v>Household expenditures by category over the past 30 days [or month] in UAH [Baseline] broken down by households_with_people_with_severe_chronic_diseas...</v>
      </c>
      <c r="D1268" s="19" t="s">
        <v>51</v>
      </c>
      <c r="E1268" s="21">
        <v>157</v>
      </c>
    </row>
    <row r="1269" spans="2:5" x14ac:dyDescent="0.3">
      <c r="B1269" s="19" t="s">
        <v>42</v>
      </c>
      <c r="C1269" s="20" t="str">
        <f>HYPERLINK("#'Data'!A844", "Household expenditures by category over the past 30 days [or month] in UAH [Endline] broken down by households_with_people_with_severe_chronic_disease...")</f>
        <v>Household expenditures by category over the past 30 days [or month] in UAH [Endline] broken down by households_with_people_with_severe_chronic_disease...</v>
      </c>
      <c r="D1269" s="19" t="s">
        <v>51</v>
      </c>
      <c r="E1269" s="21">
        <v>172</v>
      </c>
    </row>
    <row r="1270" spans="2:5" hidden="1" x14ac:dyDescent="0.3">
      <c r="B1270" s="19" t="s">
        <v>40</v>
      </c>
      <c r="C1270" s="20" t="str">
        <f>HYPERLINK("#'Data'!A918", "Household's ability to meet basic needs (self-defined and prioritized) [Baseline] broken down by households_with_people_with_severe_chronic_diseases o...")</f>
        <v>Household's ability to meet basic needs (self-defined and prioritized) [Baseline] broken down by households_with_people_with_severe_chronic_diseases o...</v>
      </c>
      <c r="D1270" s="19" t="s">
        <v>51</v>
      </c>
      <c r="E1270" s="21">
        <v>187</v>
      </c>
    </row>
    <row r="1271" spans="2:5" x14ac:dyDescent="0.3">
      <c r="B1271" s="19" t="s">
        <v>42</v>
      </c>
      <c r="C1271" s="20" t="str">
        <f>HYPERLINK("#'Data'!A992", "Household's ability to meet basic needs (self-defined and prioritized) [Endline] broken down by households_with_people_with_severe_chronic_diseases on...")</f>
        <v>Household's ability to meet basic needs (self-defined and prioritized) [Endline] broken down by households_with_people_with_severe_chronic_diseases on...</v>
      </c>
      <c r="D1271" s="19" t="s">
        <v>51</v>
      </c>
      <c r="E1271" s="21">
        <v>202</v>
      </c>
    </row>
    <row r="1272" spans="2:5" hidden="1" x14ac:dyDescent="0.3">
      <c r="B1272" s="19" t="s">
        <v>40</v>
      </c>
      <c r="C1272" s="20" t="str">
        <f>HYPERLINK("#'Data'!A1066", "Basic needs the household is currently unable to fulfill (if not all are met) [Baseline] broken down by households_with_people_with_severe_chronic_dis...")</f>
        <v>Basic needs the household is currently unable to fulfill (if not all are met) [Baseline] broken down by households_with_people_with_severe_chronic_dis...</v>
      </c>
      <c r="D1272" s="19" t="s">
        <v>51</v>
      </c>
      <c r="E1272" s="21">
        <v>217</v>
      </c>
    </row>
    <row r="1273" spans="2:5" x14ac:dyDescent="0.3">
      <c r="B1273" s="19" t="s">
        <v>42</v>
      </c>
      <c r="C1273" s="20" t="str">
        <f>HYPERLINK("#'Data'!A1140", "Basic needs the household is currently unable to fulfill (if not all are met) [Endline] broken down by households_with_people_with_severe_chronic_dise...")</f>
        <v>Basic needs the household is currently unable to fulfill (if not all are met) [Endline] broken down by households_with_people_with_severe_chronic_dise...</v>
      </c>
      <c r="D1273" s="19" t="s">
        <v>51</v>
      </c>
      <c r="E1273" s="21">
        <v>232</v>
      </c>
    </row>
    <row r="1274" spans="2:5" hidden="1" x14ac:dyDescent="0.3">
      <c r="B1274" s="19" t="s">
        <v>40</v>
      </c>
      <c r="C1274" s="20" t="str">
        <f>HYPERLINK("#'Data'!A1214", "Coping strategies used in the last 30 days due to insufficient resources to meet basic needs [Baseline] broken down by households_with_people_with_sev...")</f>
        <v>Coping strategies used in the last 30 days due to insufficient resources to meet basic needs [Baseline] broken down by households_with_people_with_sev...</v>
      </c>
      <c r="D1274" s="19" t="s">
        <v>51</v>
      </c>
      <c r="E1274" s="21">
        <v>247</v>
      </c>
    </row>
    <row r="1275" spans="2:5" x14ac:dyDescent="0.3">
      <c r="B1275" s="19" t="s">
        <v>42</v>
      </c>
      <c r="C1275" s="20" t="str">
        <f>HYPERLINK("#'Data'!A1288", "Coping strategies used in the last 30 days due to insufficient resources to meet basic needs [Endline] broken down by households_with_people_with_seve...")</f>
        <v>Coping strategies used in the last 30 days due to insufficient resources to meet basic needs [Endline] broken down by households_with_people_with_seve...</v>
      </c>
      <c r="D1275" s="19" t="s">
        <v>51</v>
      </c>
      <c r="E1275" s="21">
        <v>262</v>
      </c>
    </row>
    <row r="1276" spans="2:5" x14ac:dyDescent="0.3">
      <c r="B1276" s="19" t="s">
        <v>42</v>
      </c>
      <c r="C1276" s="20" t="str">
        <f>HYPERLINK("#'Data'!A1362", "Coping strategies avoided in the past 3 months due to receipt of MPCA [Endline] broken down by households_with_people_with_severe_chronic_diseases on ...")</f>
        <v>Coping strategies avoided in the past 3 months due to receipt of MPCA [Endline] broken down by households_with_people_with_severe_chronic_diseases on ...</v>
      </c>
      <c r="D1276" s="19" t="s">
        <v>51</v>
      </c>
      <c r="E1276" s="21">
        <v>277</v>
      </c>
    </row>
    <row r="1277" spans="2:5" hidden="1" x14ac:dyDescent="0.3">
      <c r="B1277" s="19" t="s">
        <v>40</v>
      </c>
      <c r="C1277" s="20" t="str">
        <f>HYPERLINK("#'Data'!A1436", "Household perception of relevance of forthcoming MPCA (3,600 UAH for 3 months per member) [Baseline] broken down by households_with_people_with_severe...")</f>
        <v>Household perception of relevance of forthcoming MPCA (3,600 UAH for 3 months per member) [Baseline] broken down by households_with_people_with_severe...</v>
      </c>
      <c r="D1277" s="19" t="s">
        <v>51</v>
      </c>
      <c r="E1277" s="21">
        <v>292</v>
      </c>
    </row>
    <row r="1278" spans="2:5" hidden="1" x14ac:dyDescent="0.3">
      <c r="B1278" s="19" t="s">
        <v>40</v>
      </c>
      <c r="C1278" s="20" t="str">
        <f>HYPERLINK("#'Data'!A1510", "Estimated percentage of household needs met by upcoming MPCA (if partially appropriate) [Baseline] broken down by households_with_people_with_severe_c...")</f>
        <v>Estimated percentage of household needs met by upcoming MPCA (if partially appropriate) [Baseline] broken down by households_with_people_with_severe_c...</v>
      </c>
      <c r="D1278" s="19" t="s">
        <v>51</v>
      </c>
      <c r="E1278" s="21">
        <v>307</v>
      </c>
    </row>
    <row r="1279" spans="2:5" x14ac:dyDescent="0.3">
      <c r="B1279" s="19" t="s">
        <v>42</v>
      </c>
      <c r="C1279" s="20" t="str">
        <f>HYPERLINK("#'Data'!A1584", "Household opinion on adequacy of received MPCA (3,600 UAH for 3 months per member) [Endline] broken down by households_with_people_with_severe_chronic...")</f>
        <v>Household opinion on adequacy of received MPCA (3,600 UAH for 3 months per member) [Endline] broken down by households_with_people_with_severe_chronic...</v>
      </c>
      <c r="D1279" s="19" t="s">
        <v>51</v>
      </c>
      <c r="E1279" s="21">
        <v>322</v>
      </c>
    </row>
    <row r="1280" spans="2:5" x14ac:dyDescent="0.3">
      <c r="B1280" s="19" t="s">
        <v>42</v>
      </c>
      <c r="C1280" s="20" t="str">
        <f>HYPERLINK("#'Data'!A1658", "Estimated percentage of household needs met by received MPCA (if partially appropriate) [Endline] broken down by households_with_people_with_severe_ch...")</f>
        <v>Estimated percentage of household needs met by received MPCA (if partially appropriate) [Endline] broken down by households_with_people_with_severe_ch...</v>
      </c>
      <c r="D1280" s="19" t="s">
        <v>51</v>
      </c>
      <c r="E1280" s="21">
        <v>337</v>
      </c>
    </row>
    <row r="1281" spans="2:5" x14ac:dyDescent="0.3">
      <c r="B1281" s="19" t="s">
        <v>42</v>
      </c>
      <c r="C1281" s="20" t="str">
        <f>HYPERLINK("#'Data'!A1744", "Whether the household has already spent the received MPCA [Endline] broken down by households_with_people_with_severe_chronic_diseases on the admin of...")</f>
        <v>Whether the household has already spent the received MPCA [Endline] broken down by households_with_people_with_severe_chronic_diseases on the admin of...</v>
      </c>
      <c r="D1281" s="19" t="s">
        <v>51</v>
      </c>
      <c r="E1281" s="21">
        <v>355</v>
      </c>
    </row>
    <row r="1282" spans="2:5" x14ac:dyDescent="0.3">
      <c r="B1282" s="19" t="s">
        <v>42</v>
      </c>
      <c r="C1282" s="20" t="str">
        <f>HYPERLINK("#'Data'!A1818", "Number of weeks MPCA lasted if fully spent [Endline] broken down by households_with_people_with_severe_chronic_diseases on the admin of Overall mean")</f>
        <v>Number of weeks MPCA lasted if fully spent [Endline] broken down by households_with_people_with_severe_chronic_diseases on the admin of Overall mean</v>
      </c>
      <c r="D1282" s="19" t="s">
        <v>51</v>
      </c>
      <c r="E1282" s="21">
        <v>370</v>
      </c>
    </row>
    <row r="1283" spans="2:5" x14ac:dyDescent="0.3">
      <c r="B1283" s="19" t="s">
        <v>42</v>
      </c>
      <c r="C1283" s="20" t="str">
        <f>HYPERLINK("#'Data'!A1892", "Percentage of MPCA spent to date (if partially used) [Endline] broken down by households_with_people_with_severe_chronic_diseases on the admin of Over...")</f>
        <v>Percentage of MPCA spent to date (if partially used) [Endline] broken down by households_with_people_with_severe_chronic_diseases on the admin of Over...</v>
      </c>
      <c r="D1283" s="19" t="s">
        <v>51</v>
      </c>
      <c r="E1283" s="21">
        <v>385</v>
      </c>
    </row>
    <row r="1284" spans="2:5" x14ac:dyDescent="0.3">
      <c r="B1284" s="19" t="s">
        <v>42</v>
      </c>
      <c r="C1284" s="20" t="str">
        <f>HYPERLINK("#'Data'!A1966", "Extent to which received MPCA helped cover household needs during usage period [Endline] broken down by households_with_people_with_severe_chronic_dis...")</f>
        <v>Extent to which received MPCA helped cover household needs during usage period [Endline] broken down by households_with_people_with_severe_chronic_dis...</v>
      </c>
      <c r="D1284" s="19" t="s">
        <v>51</v>
      </c>
      <c r="E1284" s="21">
        <v>400</v>
      </c>
    </row>
    <row r="1285" spans="2:5" x14ac:dyDescent="0.3">
      <c r="B1285" s="19" t="s">
        <v>42</v>
      </c>
      <c r="C1285" s="20" t="str">
        <f>HYPERLINK("#'Data'!A2040", "Percentage of needs covered by MPCA (if partially met) [Endline] broken down by households_with_people_with_severe_chronic_diseases on the admin of Ov...")</f>
        <v>Percentage of needs covered by MPCA (if partially met) [Endline] broken down by households_with_people_with_severe_chronic_diseases on the admin of Ov...</v>
      </c>
      <c r="D1285" s="19" t="s">
        <v>51</v>
      </c>
      <c r="E1285" s="21">
        <v>415</v>
      </c>
    </row>
    <row r="1286" spans="2:5" hidden="1" x14ac:dyDescent="0.3">
      <c r="B1286" s="19" t="s">
        <v>40</v>
      </c>
      <c r="C1286" s="20" t="str">
        <f>HYPERLINK("#'Data'!A2114", "Priority needs requiring financial aid, with importance level [Baseline] broken down by households_with_people_with_severe_chronic_diseases on the adm...")</f>
        <v>Priority needs requiring financial aid, with importance level [Baseline] broken down by households_with_people_with_severe_chronic_diseases on the adm...</v>
      </c>
      <c r="D1286" s="19" t="s">
        <v>51</v>
      </c>
      <c r="E1286" s="21">
        <v>430</v>
      </c>
    </row>
    <row r="1287" spans="2:5" hidden="1" x14ac:dyDescent="0.3">
      <c r="B1287" s="19" t="s">
        <v>40</v>
      </c>
      <c r="C1287" s="20" t="str">
        <f>HYPERLINK("#'Data'!A2187", "Importance rating for 'Other' priority need requiring financial assistance [Baseline] broken down by households_with_people_with_severe_chronic_diseas...")</f>
        <v>Importance rating for 'Other' priority need requiring financial assistance [Baseline] broken down by households_with_people_with_severe_chronic_diseas...</v>
      </c>
      <c r="D1287" s="19" t="s">
        <v>51</v>
      </c>
      <c r="E1287" s="21">
        <v>445</v>
      </c>
    </row>
    <row r="1288" spans="2:5" hidden="1" x14ac:dyDescent="0.3">
      <c r="B1288" s="19" t="s">
        <v>40</v>
      </c>
      <c r="C1288" s="20" t="str">
        <f>HYPERLINK("#'Data'!A2260", "Importance rating for 'Food' priority need requiring financial assistance [Baseline] broken down by households_with_people_with_severe_chronic_disease...")</f>
        <v>Importance rating for 'Food' priority need requiring financial assistance [Baseline] broken down by households_with_people_with_severe_chronic_disease...</v>
      </c>
      <c r="D1288" s="19" t="s">
        <v>51</v>
      </c>
      <c r="E1288" s="21">
        <v>460</v>
      </c>
    </row>
    <row r="1289" spans="2:5" hidden="1" x14ac:dyDescent="0.3">
      <c r="B1289" s="19" t="s">
        <v>40</v>
      </c>
      <c r="C1289" s="20" t="str">
        <f>HYPERLINK("#'Data'!A2333", "Importance rating for 'Personal hygiene' priority need requiring financial assistance [Baseline] broken down by households_with_people_with_severe_chr...")</f>
        <v>Importance rating for 'Personal hygiene' priority need requiring financial assistance [Baseline] broken down by households_with_people_with_severe_chr...</v>
      </c>
      <c r="D1289" s="19" t="s">
        <v>51</v>
      </c>
      <c r="E1289" s="21">
        <v>475</v>
      </c>
    </row>
    <row r="1290" spans="2:5" hidden="1" x14ac:dyDescent="0.3">
      <c r="B1290" s="19" t="s">
        <v>40</v>
      </c>
      <c r="C1290" s="20" t="str">
        <f>HYPERLINK("#'Data'!A2402", "Importance rating for 'Cleaning items' priority need requiring financial assistance [Baseline] broken down by households_with_people_with_severe_chron...")</f>
        <v>Importance rating for 'Cleaning items' priority need requiring financial assistance [Baseline] broken down by households_with_people_with_severe_chron...</v>
      </c>
      <c r="D1290" s="19" t="s">
        <v>51</v>
      </c>
      <c r="E1290" s="21">
        <v>490</v>
      </c>
    </row>
    <row r="1291" spans="2:5" hidden="1" x14ac:dyDescent="0.3">
      <c r="B1291" s="19" t="s">
        <v>40</v>
      </c>
      <c r="C1291" s="20" t="str">
        <f>HYPERLINK("#'Data'!A2468", "Importance rating for 'Non-food items' priority need requiring financial assistance [Baseline] broken down by households_with_people_with_severe_chron...")</f>
        <v>Importance rating for 'Non-food items' priority need requiring financial assistance [Baseline] broken down by households_with_people_with_severe_chron...</v>
      </c>
      <c r="D1291" s="19" t="s">
        <v>51</v>
      </c>
      <c r="E1291" s="21">
        <v>505</v>
      </c>
    </row>
    <row r="1292" spans="2:5" hidden="1" x14ac:dyDescent="0.3">
      <c r="B1292" s="19" t="s">
        <v>40</v>
      </c>
      <c r="C1292" s="20" t="str">
        <f>HYPERLINK("#'Data'!A2535", "Importance rating for 'Clothing and shoes' priority need requiring financial assistance [Baseline] broken down by households_with_people_with_severe_c...")</f>
        <v>Importance rating for 'Clothing and shoes' priority need requiring financial assistance [Baseline] broken down by households_with_people_with_severe_c...</v>
      </c>
      <c r="D1292" s="19" t="s">
        <v>51</v>
      </c>
      <c r="E1292" s="21">
        <v>520</v>
      </c>
    </row>
    <row r="1293" spans="2:5" hidden="1" x14ac:dyDescent="0.3">
      <c r="B1293" s="19" t="s">
        <v>40</v>
      </c>
      <c r="C1293" s="20" t="str">
        <f>HYPERLINK("#'Data'!A2608", "Importance rating for 'Heating fuel' priority need requiring financial assistance [Baseline] broken down by households_with_people_with_severe_chronic...")</f>
        <v>Importance rating for 'Heating fuel' priority need requiring financial assistance [Baseline] broken down by households_with_people_with_severe_chronic...</v>
      </c>
      <c r="D1293" s="19" t="s">
        <v>51</v>
      </c>
      <c r="E1293" s="21">
        <v>535</v>
      </c>
    </row>
    <row r="1294" spans="2:5" hidden="1" x14ac:dyDescent="0.3">
      <c r="B1294" s="19" t="s">
        <v>40</v>
      </c>
      <c r="C1294" s="20" t="str">
        <f>HYPERLINK("#'Data'!A2678", "Importance rating for 'Safe water' priority need requiring financial assistance [Baseline] broken down by households_with_people_with_severe_chronic_d...")</f>
        <v>Importance rating for 'Safe water' priority need requiring financial assistance [Baseline] broken down by households_with_people_with_severe_chronic_d...</v>
      </c>
      <c r="D1294" s="19" t="s">
        <v>51</v>
      </c>
      <c r="E1294" s="21">
        <v>550</v>
      </c>
    </row>
    <row r="1295" spans="2:5" hidden="1" x14ac:dyDescent="0.3">
      <c r="B1295" s="19" t="s">
        <v>40</v>
      </c>
      <c r="C1295" s="20" t="str">
        <f>HYPERLINK("#'Data'!A2742", "Importance rating for 'Utilities' priority need requiring financial assistance [Baseline] broken down by households_with_people_with_severe_chronic_di...")</f>
        <v>Importance rating for 'Utilities' priority need requiring financial assistance [Baseline] broken down by households_with_people_with_severe_chronic_di...</v>
      </c>
      <c r="D1295" s="19" t="s">
        <v>51</v>
      </c>
      <c r="E1295" s="21">
        <v>565</v>
      </c>
    </row>
    <row r="1296" spans="2:5" hidden="1" x14ac:dyDescent="0.3">
      <c r="B1296" s="19" t="s">
        <v>40</v>
      </c>
      <c r="C1296" s="20" t="str">
        <f>HYPERLINK("#'Data'!A2812", "Importance rating for 'Water supply' priority need requiring financial assistance [Baseline] broken down by households_with_people_with_severe_chronic...")</f>
        <v>Importance rating for 'Water supply' priority need requiring financial assistance [Baseline] broken down by households_with_people_with_severe_chronic...</v>
      </c>
      <c r="D1296" s="19" t="s">
        <v>51</v>
      </c>
      <c r="E1296" s="21">
        <v>580</v>
      </c>
    </row>
    <row r="1297" spans="2:5" hidden="1" x14ac:dyDescent="0.3">
      <c r="B1297" s="19" t="s">
        <v>40</v>
      </c>
      <c r="C1297" s="20" t="str">
        <f>HYPERLINK("#'Data'!A2872", "Importance rating for 'Rent' priority need requiring financial assistance [Baseline] broken down by households_with_people_with_severe_chronic_disease...")</f>
        <v>Importance rating for 'Rent' priority need requiring financial assistance [Baseline] broken down by households_with_people_with_severe_chronic_disease...</v>
      </c>
      <c r="D1297" s="19" t="s">
        <v>51</v>
      </c>
      <c r="E1297" s="21">
        <v>595</v>
      </c>
    </row>
    <row r="1298" spans="2:5" hidden="1" x14ac:dyDescent="0.3">
      <c r="B1298" s="19" t="s">
        <v>40</v>
      </c>
      <c r="C1298" s="20" t="str">
        <f>HYPERLINK("#'Data'!A2942", "Importance rating for 'Medication' priority need requiring financial assistance [Baseline] broken down by households_with_people_with_severe_chronic_d...")</f>
        <v>Importance rating for 'Medication' priority need requiring financial assistance [Baseline] broken down by households_with_people_with_severe_chronic_d...</v>
      </c>
      <c r="D1298" s="19" t="s">
        <v>51</v>
      </c>
      <c r="E1298" s="21">
        <v>610</v>
      </c>
    </row>
    <row r="1299" spans="2:5" hidden="1" x14ac:dyDescent="0.3">
      <c r="B1299" s="19" t="s">
        <v>40</v>
      </c>
      <c r="C1299" s="20" t="str">
        <f>HYPERLINK("#'Data'!A3013", "Importance rating for 'Agricultural inputs' priority need requiring financial assistance [Baseline] broken down by households_with_people_with_severe_...")</f>
        <v>Importance rating for 'Agricultural inputs' priority need requiring financial assistance [Baseline] broken down by households_with_people_with_severe_...</v>
      </c>
      <c r="D1299" s="19" t="s">
        <v>51</v>
      </c>
      <c r="E1299" s="21">
        <v>625</v>
      </c>
    </row>
    <row r="1300" spans="2:5" hidden="1" x14ac:dyDescent="0.3">
      <c r="B1300" s="19" t="s">
        <v>40</v>
      </c>
      <c r="C1300" s="20" t="str">
        <f>HYPERLINK("#'Data'!A3082", "Importance rating for 'Shelter maintenance' priority need requiring financial assistance [Baseline] broken down by households_with_people_with_severe_...")</f>
        <v>Importance rating for 'Shelter maintenance' priority need requiring financial assistance [Baseline] broken down by households_with_people_with_severe_...</v>
      </c>
      <c r="D1300" s="19" t="s">
        <v>51</v>
      </c>
      <c r="E1300" s="21">
        <v>640</v>
      </c>
    </row>
    <row r="1301" spans="2:5" hidden="1" x14ac:dyDescent="0.3">
      <c r="B1301" s="19" t="s">
        <v>40</v>
      </c>
      <c r="C1301" s="20" t="str">
        <f>HYPERLINK("#'Data'!A3151", "Importance rating for 'Transportation' priority need requiring financial assistance [Baseline] broken down by households_with_people_with_severe_chron...")</f>
        <v>Importance rating for 'Transportation' priority need requiring financial assistance [Baseline] broken down by households_with_people_with_severe_chron...</v>
      </c>
      <c r="D1301" s="19" t="s">
        <v>51</v>
      </c>
      <c r="E1301" s="21">
        <v>655</v>
      </c>
    </row>
    <row r="1302" spans="2:5" hidden="1" x14ac:dyDescent="0.3">
      <c r="B1302" s="19" t="s">
        <v>40</v>
      </c>
      <c r="C1302" s="20" t="str">
        <f>HYPERLINK("#'Data'!A3214", "Importance rating for 'Communication' priority need requiring financial assistance [Baseline] broken down by households_with_people_with_severe_chroni...")</f>
        <v>Importance rating for 'Communication' priority need requiring financial assistance [Baseline] broken down by households_with_people_with_severe_chroni...</v>
      </c>
      <c r="D1302" s="19" t="s">
        <v>51</v>
      </c>
      <c r="E1302" s="21">
        <v>670</v>
      </c>
    </row>
    <row r="1303" spans="2:5" hidden="1" x14ac:dyDescent="0.3">
      <c r="B1303" s="19" t="s">
        <v>40</v>
      </c>
      <c r="C1303" s="20" t="str">
        <f>HYPERLINK("#'Data'!A3276", "Importance rating for 'Education materials' priority need requiring financial assistance [Baseline] broken down by households_with_people_with_severe_...")</f>
        <v>Importance rating for 'Education materials' priority need requiring financial assistance [Baseline] broken down by households_with_people_with_severe_...</v>
      </c>
      <c r="D1303" s="19" t="s">
        <v>51</v>
      </c>
      <c r="E1303" s="21">
        <v>685</v>
      </c>
    </row>
    <row r="1304" spans="2:5" hidden="1" x14ac:dyDescent="0.3">
      <c r="B1304" s="19" t="s">
        <v>40</v>
      </c>
      <c r="C1304" s="20" t="str">
        <f>HYPERLINK("#'Data'!A3348", "Household needs met exclusively due to MPCA and their fulfillment level [Endline] broken down by households_with_people_with_severe_chronic_diseases o...")</f>
        <v>Household needs met exclusively due to MPCA and their fulfillment level [Endline] broken down by households_with_people_with_severe_chronic_diseases o...</v>
      </c>
      <c r="D1304" s="19" t="s">
        <v>51</v>
      </c>
      <c r="E1304" s="21">
        <v>700</v>
      </c>
    </row>
    <row r="1305" spans="2:5" hidden="1" x14ac:dyDescent="0.3">
      <c r="B1305" s="19" t="s">
        <v>40</v>
      </c>
      <c r="C1305" s="20" t="str">
        <f>HYPERLINK("#'Data'!A3420", "Fulfillment level of 'Other' need met exclusively due to MPCA [Endline] broken down by households_with_people_with_severe_chronic_diseases on the admi...")</f>
        <v>Fulfillment level of 'Other' need met exclusively due to MPCA [Endline] broken down by households_with_people_with_severe_chronic_diseases on the admi...</v>
      </c>
      <c r="D1305" s="19" t="s">
        <v>51</v>
      </c>
      <c r="E1305" s="21">
        <v>715</v>
      </c>
    </row>
    <row r="1306" spans="2:5" hidden="1" x14ac:dyDescent="0.3">
      <c r="B1306" s="19" t="s">
        <v>40</v>
      </c>
      <c r="C1306" s="20" t="str">
        <f>HYPERLINK("#'Data'!A3493", "Fulfillment level of 'Food' need met exclusively due to MPCA [Endline] broken down by households_with_people_with_severe_chronic_diseases on the admin...")</f>
        <v>Fulfillment level of 'Food' need met exclusively due to MPCA [Endline] broken down by households_with_people_with_severe_chronic_diseases on the admin...</v>
      </c>
      <c r="D1306" s="19" t="s">
        <v>51</v>
      </c>
      <c r="E1306" s="21">
        <v>730</v>
      </c>
    </row>
    <row r="1307" spans="2:5" x14ac:dyDescent="0.3">
      <c r="B1307" s="19" t="s">
        <v>42</v>
      </c>
      <c r="C1307" s="20" t="str">
        <f>HYPERLINK("#'Data'!A3564", "Fulfillment level of 'Personal hygiene' need met exclusively due to MPCA [Endline] broken down by households_with_people_with_severe_chronic_diseases ...")</f>
        <v>Fulfillment level of 'Personal hygiene' need met exclusively due to MPCA [Endline] broken down by households_with_people_with_severe_chronic_diseases ...</v>
      </c>
      <c r="D1307" s="19" t="s">
        <v>51</v>
      </c>
      <c r="E1307" s="21">
        <v>745</v>
      </c>
    </row>
    <row r="1308" spans="2:5" x14ac:dyDescent="0.3">
      <c r="B1308" s="19" t="s">
        <v>42</v>
      </c>
      <c r="C1308" s="20" t="str">
        <f>HYPERLINK("#'Data'!A3635", "Fulfillment level of 'Cleaning items' need met exclusively due to MPCA [Endline] broken down by households_with_people_with_severe_chronic_diseases on...")</f>
        <v>Fulfillment level of 'Cleaning items' need met exclusively due to MPCA [Endline] broken down by households_with_people_with_severe_chronic_diseases on...</v>
      </c>
      <c r="D1308" s="19" t="s">
        <v>51</v>
      </c>
      <c r="E1308" s="21">
        <v>760</v>
      </c>
    </row>
    <row r="1309" spans="2:5" x14ac:dyDescent="0.3">
      <c r="B1309" s="19" t="s">
        <v>42</v>
      </c>
      <c r="C1309" s="20" t="str">
        <f>HYPERLINK("#'Data'!A3707", "Fulfillment level of 'Non-food items' need met exclusively due to MPCA [Endline] broken down by households_with_people_with_severe_chronic_diseases on...")</f>
        <v>Fulfillment level of 'Non-food items' need met exclusively due to MPCA [Endline] broken down by households_with_people_with_severe_chronic_diseases on...</v>
      </c>
      <c r="D1309" s="19" t="s">
        <v>51</v>
      </c>
      <c r="E1309" s="21">
        <v>775</v>
      </c>
    </row>
    <row r="1310" spans="2:5" x14ac:dyDescent="0.3">
      <c r="B1310" s="19" t="s">
        <v>42</v>
      </c>
      <c r="C1310" s="20" t="str">
        <f>HYPERLINK("#'Data'!A3778", "Fulfillment level of 'Clothing and shoes' need met exclusively due to MPCA [Endline] broken down by households_with_people_with_severe_chronic_disease...")</f>
        <v>Fulfillment level of 'Clothing and shoes' need met exclusively due to MPCA [Endline] broken down by households_with_people_with_severe_chronic_disease...</v>
      </c>
      <c r="D1310" s="19" t="s">
        <v>51</v>
      </c>
      <c r="E1310" s="21">
        <v>790</v>
      </c>
    </row>
    <row r="1311" spans="2:5" x14ac:dyDescent="0.3">
      <c r="B1311" s="19" t="s">
        <v>42</v>
      </c>
      <c r="C1311" s="20" t="str">
        <f>HYPERLINK("#'Data'!A3852", "Fulfillment level of 'Heating fuel' need met exclusively due to MPCA [Endline] broken down by households_with_people_with_severe_chronic_diseases on t...")</f>
        <v>Fulfillment level of 'Heating fuel' need met exclusively due to MPCA [Endline] broken down by households_with_people_with_severe_chronic_diseases on t...</v>
      </c>
      <c r="D1311" s="19" t="s">
        <v>51</v>
      </c>
      <c r="E1311" s="21">
        <v>805</v>
      </c>
    </row>
    <row r="1312" spans="2:5" x14ac:dyDescent="0.3">
      <c r="B1312" s="19" t="s">
        <v>42</v>
      </c>
      <c r="C1312" s="20" t="str">
        <f>HYPERLINK("#'Data'!A3922", "Fulfillment level of 'Safe water' need met exclusively due to MPCA [Endline] broken down by households_with_people_with_severe_chronic_diseases on the...")</f>
        <v>Fulfillment level of 'Safe water' need met exclusively due to MPCA [Endline] broken down by households_with_people_with_severe_chronic_diseases on the...</v>
      </c>
      <c r="D1312" s="19" t="s">
        <v>51</v>
      </c>
      <c r="E1312" s="21">
        <v>820</v>
      </c>
    </row>
    <row r="1313" spans="2:5" x14ac:dyDescent="0.3">
      <c r="B1313" s="19" t="s">
        <v>42</v>
      </c>
      <c r="C1313" s="20" t="str">
        <f>HYPERLINK("#'Data'!A3989", "Fulfillment level of 'Utilities' need met exclusively due to MPCA [Endline] broken down by households_with_people_with_severe_chronic_diseases on the ...")</f>
        <v>Fulfillment level of 'Utilities' need met exclusively due to MPCA [Endline] broken down by households_with_people_with_severe_chronic_diseases on the ...</v>
      </c>
      <c r="D1313" s="19" t="s">
        <v>51</v>
      </c>
      <c r="E1313" s="21">
        <v>835</v>
      </c>
    </row>
    <row r="1314" spans="2:5" x14ac:dyDescent="0.3">
      <c r="B1314" s="19" t="s">
        <v>42</v>
      </c>
      <c r="C1314" s="20" t="str">
        <f>HYPERLINK("#'Data'!A4059", "Fulfillment level of 'Water supply' need met exclusively due to MPCA [Endline] broken down by households_with_people_with_severe_chronic_diseases on t...")</f>
        <v>Fulfillment level of 'Water supply' need met exclusively due to MPCA [Endline] broken down by households_with_people_with_severe_chronic_diseases on t...</v>
      </c>
      <c r="D1314" s="19" t="s">
        <v>51</v>
      </c>
      <c r="E1314" s="21">
        <v>850</v>
      </c>
    </row>
    <row r="1315" spans="2:5" x14ac:dyDescent="0.3">
      <c r="B1315" s="19" t="s">
        <v>42</v>
      </c>
      <c r="C1315" s="20" t="str">
        <f>HYPERLINK("#'Data'!A4129", "Fulfillment level of 'Rent' need met exclusively due to MPCA [Endline] broken down by households_with_people_with_severe_chronic_diseases on the admin...")</f>
        <v>Fulfillment level of 'Rent' need met exclusively due to MPCA [Endline] broken down by households_with_people_with_severe_chronic_diseases on the admin...</v>
      </c>
      <c r="D1315" s="19" t="s">
        <v>51</v>
      </c>
      <c r="E1315" s="21">
        <v>865</v>
      </c>
    </row>
    <row r="1316" spans="2:5" x14ac:dyDescent="0.3">
      <c r="B1316" s="19" t="s">
        <v>42</v>
      </c>
      <c r="C1316" s="20" t="str">
        <f>HYPERLINK("#'Data'!A4197", "Fulfillment level of 'Assistive products' need met exclusively due to MPCA [Endline] broken down by households_with_people_with_severe_chronic_disease...")</f>
        <v>Fulfillment level of 'Assistive products' need met exclusively due to MPCA [Endline] broken down by households_with_people_with_severe_chronic_disease...</v>
      </c>
      <c r="D1316" s="19" t="s">
        <v>51</v>
      </c>
      <c r="E1316" s="21">
        <v>880</v>
      </c>
    </row>
    <row r="1317" spans="2:5" x14ac:dyDescent="0.3">
      <c r="B1317" s="19" t="s">
        <v>42</v>
      </c>
      <c r="C1317" s="20" t="str">
        <f>HYPERLINK("#'Data'!A4261", "Fulfillment level of 'Medication' need met exclusively due to MPCA [Endline] broken down by households_with_people_with_severe_chronic_diseases on the...")</f>
        <v>Fulfillment level of 'Medication' need met exclusively due to MPCA [Endline] broken down by households_with_people_with_severe_chronic_diseases on the...</v>
      </c>
      <c r="D1317" s="19" t="s">
        <v>51</v>
      </c>
      <c r="E1317" s="21">
        <v>895</v>
      </c>
    </row>
    <row r="1318" spans="2:5" x14ac:dyDescent="0.3">
      <c r="B1318" s="19" t="s">
        <v>42</v>
      </c>
      <c r="C1318" s="20" t="str">
        <f>HYPERLINK("#'Data'!A4331", "Fulfillment level of 'Agricultural inputs' need met exclusively due to MPCA [Endline] broken down by households_with_people_with_severe_chronic_diseas...")</f>
        <v>Fulfillment level of 'Agricultural inputs' need met exclusively due to MPCA [Endline] broken down by households_with_people_with_severe_chronic_diseas...</v>
      </c>
      <c r="D1318" s="19" t="s">
        <v>51</v>
      </c>
      <c r="E1318" s="21">
        <v>910</v>
      </c>
    </row>
    <row r="1319" spans="2:5" x14ac:dyDescent="0.3">
      <c r="B1319" s="19" t="s">
        <v>42</v>
      </c>
      <c r="C1319" s="20" t="str">
        <f>HYPERLINK("#'Data'!A4399", "Fulfillment level of 'Shelter maintenance' need met exclusively due to MPCA [Endline] broken down by households_with_people_with_severe_chronic_diseas...")</f>
        <v>Fulfillment level of 'Shelter maintenance' need met exclusively due to MPCA [Endline] broken down by households_with_people_with_severe_chronic_diseas...</v>
      </c>
      <c r="D1319" s="19" t="s">
        <v>51</v>
      </c>
      <c r="E1319" s="21">
        <v>925</v>
      </c>
    </row>
    <row r="1320" spans="2:5" x14ac:dyDescent="0.3">
      <c r="B1320" s="19" t="s">
        <v>42</v>
      </c>
      <c r="C1320" s="20" t="str">
        <f>HYPERLINK("#'Data'!A4469", "Fulfillment level of 'Future savings' need met exclusively due to MPCA [Endline] broken down by households_with_people_with_severe_chronic_diseases on...")</f>
        <v>Fulfillment level of 'Future savings' need met exclusively due to MPCA [Endline] broken down by households_with_people_with_severe_chronic_diseases on...</v>
      </c>
      <c r="D1320" s="19" t="s">
        <v>51</v>
      </c>
      <c r="E1320" s="21">
        <v>940</v>
      </c>
    </row>
    <row r="1321" spans="2:5" x14ac:dyDescent="0.3">
      <c r="B1321" s="19" t="s">
        <v>42</v>
      </c>
      <c r="C1321" s="20" t="str">
        <f>HYPERLINK("#'Data'!A4538", "Fulfillment level of 'Shared with others' need met exclusively due to MPCA [Endline] broken down by households_with_people_with_severe_chronic_disease...")</f>
        <v>Fulfillment level of 'Shared with others' need met exclusively due to MPCA [Endline] broken down by households_with_people_with_severe_chronic_disease...</v>
      </c>
      <c r="D1321" s="19" t="s">
        <v>51</v>
      </c>
      <c r="E1321" s="21">
        <v>955</v>
      </c>
    </row>
    <row r="1322" spans="2:5" x14ac:dyDescent="0.3">
      <c r="B1322" s="19" t="s">
        <v>42</v>
      </c>
      <c r="C1322" s="20" t="str">
        <f>HYPERLINK("#'Data'!A4607", "Fulfillment level of 'Transportation' need met exclusively due to MPCA [Endline] broken down by households_with_people_with_severe_chronic_diseases on...")</f>
        <v>Fulfillment level of 'Transportation' need met exclusively due to MPCA [Endline] broken down by households_with_people_with_severe_chronic_diseases on...</v>
      </c>
      <c r="D1322" s="19" t="s">
        <v>51</v>
      </c>
      <c r="E1322" s="21">
        <v>970</v>
      </c>
    </row>
    <row r="1323" spans="2:5" x14ac:dyDescent="0.3">
      <c r="B1323" s="19" t="s">
        <v>42</v>
      </c>
      <c r="C1323" s="20" t="str">
        <f>HYPERLINK("#'Data'!A4676", "Fulfillment level of 'Communication' need met exclusively due to MPCA [Endline] broken down by households_with_people_with_severe_chronic_diseases on ...")</f>
        <v>Fulfillment level of 'Communication' need met exclusively due to MPCA [Endline] broken down by households_with_people_with_severe_chronic_diseases on ...</v>
      </c>
      <c r="D1323" s="19" t="s">
        <v>51</v>
      </c>
      <c r="E1323" s="21">
        <v>985</v>
      </c>
    </row>
    <row r="1324" spans="2:5" x14ac:dyDescent="0.3">
      <c r="B1324" s="19" t="s">
        <v>42</v>
      </c>
      <c r="C1324" s="20" t="str">
        <f>HYPERLINK("#'Data'!A4747", "Fulfillment level of 'Education materials' need met exclusively due to MPCA [Endline] broken down by households_with_people_with_severe_chronic_diseas...")</f>
        <v>Fulfillment level of 'Education materials' need met exclusively due to MPCA [Endline] broken down by households_with_people_with_severe_chronic_diseas...</v>
      </c>
      <c r="D1324" s="19" t="s">
        <v>51</v>
      </c>
      <c r="E1324" s="21">
        <v>1000</v>
      </c>
    </row>
    <row r="1325" spans="2:5" x14ac:dyDescent="0.3">
      <c r="B1325" s="19" t="s">
        <v>42</v>
      </c>
      <c r="C1325" s="20" t="str">
        <f>HYPERLINK("#'Data'!A4820", "Estimated percentage of MPCA spent on each category of goods and services [Endline] broken down by households_with_people_with_severe_chronic_diseases...")</f>
        <v>Estimated percentage of MPCA spent on each category of goods and services [Endline] broken down by households_with_people_with_severe_chronic_diseases...</v>
      </c>
      <c r="D1325" s="19" t="s">
        <v>51</v>
      </c>
      <c r="E1325" s="21">
        <v>1015</v>
      </c>
    </row>
    <row r="1326" spans="2:5" x14ac:dyDescent="0.3">
      <c r="B1326" s="19" t="s">
        <v>42</v>
      </c>
      <c r="C1326" s="20" t="str">
        <f>HYPERLINK("#'Data'!A4892", "Estimated percentage of MPCA spent on 'Other' category [Endline] broken down by households_with_people_with_severe_chronic_diseases on the admin of Ov...")</f>
        <v>Estimated percentage of MPCA spent on 'Other' category [Endline] broken down by households_with_people_with_severe_chronic_diseases on the admin of Ov...</v>
      </c>
      <c r="D1326" s="19" t="s">
        <v>51</v>
      </c>
      <c r="E1326" s="21">
        <v>1030</v>
      </c>
    </row>
    <row r="1327" spans="2:5" x14ac:dyDescent="0.3">
      <c r="B1327" s="19" t="s">
        <v>42</v>
      </c>
      <c r="C1327" s="20" t="str">
        <f>HYPERLINK("#'Data'!A4965", "Estimated percentage of MPCA spent on 'Food' category [Endline] broken down by households_with_people_with_severe_chronic_diseases on the admin of Ove...")</f>
        <v>Estimated percentage of MPCA spent on 'Food' category [Endline] broken down by households_with_people_with_severe_chronic_diseases on the admin of Ove...</v>
      </c>
      <c r="D1327" s="19" t="s">
        <v>51</v>
      </c>
      <c r="E1327" s="21">
        <v>1045</v>
      </c>
    </row>
    <row r="1328" spans="2:5" x14ac:dyDescent="0.3">
      <c r="B1328" s="19" t="s">
        <v>42</v>
      </c>
      <c r="C1328" s="20" t="str">
        <f>HYPERLINK("#'Data'!A5036", "Estimated percentage of MPCA spent on 'Personal hygiene' category [Endline] broken down by households_with_people_with_severe_chronic_diseases on the ...")</f>
        <v>Estimated percentage of MPCA spent on 'Personal hygiene' category [Endline] broken down by households_with_people_with_severe_chronic_diseases on the ...</v>
      </c>
      <c r="D1328" s="19" t="s">
        <v>51</v>
      </c>
      <c r="E1328" s="21">
        <v>1060</v>
      </c>
    </row>
    <row r="1329" spans="2:5" x14ac:dyDescent="0.3">
      <c r="B1329" s="19" t="s">
        <v>42</v>
      </c>
      <c r="C1329" s="20" t="str">
        <f>HYPERLINK("#'Data'!A5108", "Estimated percentage of MPCA spent on 'Cleaning items' category [Endline] broken down by households_with_people_with_severe_chronic_diseases on the ad...")</f>
        <v>Estimated percentage of MPCA spent on 'Cleaning items' category [Endline] broken down by households_with_people_with_severe_chronic_diseases on the ad...</v>
      </c>
      <c r="D1329" s="19" t="s">
        <v>51</v>
      </c>
      <c r="E1329" s="21">
        <v>1075</v>
      </c>
    </row>
    <row r="1330" spans="2:5" x14ac:dyDescent="0.3">
      <c r="B1330" s="19" t="s">
        <v>42</v>
      </c>
      <c r="C1330" s="20" t="str">
        <f>HYPERLINK("#'Data'!A5180", "Estimated percentage of MPCA spent on 'Non-food items' category [Endline] broken down by households_with_people_with_severe_chronic_diseases on the ad...")</f>
        <v>Estimated percentage of MPCA spent on 'Non-food items' category [Endline] broken down by households_with_people_with_severe_chronic_diseases on the ad...</v>
      </c>
      <c r="D1330" s="19" t="s">
        <v>51</v>
      </c>
      <c r="E1330" s="21">
        <v>1090</v>
      </c>
    </row>
    <row r="1331" spans="2:5" x14ac:dyDescent="0.3">
      <c r="B1331" s="19" t="s">
        <v>42</v>
      </c>
      <c r="C1331" s="20" t="str">
        <f>HYPERLINK("#'Data'!A5252", "Estimated percentage of MPCA spent on 'Clothing and shoes' category [Endline] broken down by households_with_people_with_severe_chronic_diseases on th...")</f>
        <v>Estimated percentage of MPCA spent on 'Clothing and shoes' category [Endline] broken down by households_with_people_with_severe_chronic_diseases on th...</v>
      </c>
      <c r="D1331" s="19" t="s">
        <v>51</v>
      </c>
      <c r="E1331" s="21">
        <v>1105</v>
      </c>
    </row>
    <row r="1332" spans="2:5" x14ac:dyDescent="0.3">
      <c r="B1332" s="19" t="s">
        <v>42</v>
      </c>
      <c r="C1332" s="20" t="str">
        <f>HYPERLINK("#'Data'!A5326", "Estimated percentage of MPCA spent on 'Heating fuel' category [Endline] broken down by households_with_people_with_severe_chronic_diseases on the admi...")</f>
        <v>Estimated percentage of MPCA spent on 'Heating fuel' category [Endline] broken down by households_with_people_with_severe_chronic_diseases on the admi...</v>
      </c>
      <c r="D1332" s="19" t="s">
        <v>51</v>
      </c>
      <c r="E1332" s="21">
        <v>1120</v>
      </c>
    </row>
    <row r="1333" spans="2:5" x14ac:dyDescent="0.3">
      <c r="B1333" s="19" t="s">
        <v>42</v>
      </c>
      <c r="C1333" s="20" t="str">
        <f>HYPERLINK("#'Data'!A5396", "Estimated percentage of MPCA spent on 'Safe water' category [Endline] broken down by households_with_people_with_severe_chronic_diseases on the admin ...")</f>
        <v>Estimated percentage of MPCA spent on 'Safe water' category [Endline] broken down by households_with_people_with_severe_chronic_diseases on the admin ...</v>
      </c>
      <c r="D1333" s="19" t="s">
        <v>51</v>
      </c>
      <c r="E1333" s="21">
        <v>1135</v>
      </c>
    </row>
    <row r="1334" spans="2:5" x14ac:dyDescent="0.3">
      <c r="B1334" s="19" t="s">
        <v>42</v>
      </c>
      <c r="C1334" s="20" t="str">
        <f>HYPERLINK("#'Data'!A5463", "Estimated percentage of MPCA spent on 'Utilities' category [Endline] broken down by households_with_people_with_severe_chronic_diseases on the admin o...")</f>
        <v>Estimated percentage of MPCA spent on 'Utilities' category [Endline] broken down by households_with_people_with_severe_chronic_diseases on the admin o...</v>
      </c>
      <c r="D1334" s="19" t="s">
        <v>51</v>
      </c>
      <c r="E1334" s="21">
        <v>1150</v>
      </c>
    </row>
    <row r="1335" spans="2:5" x14ac:dyDescent="0.3">
      <c r="B1335" s="19" t="s">
        <v>42</v>
      </c>
      <c r="C1335" s="20" t="str">
        <f>HYPERLINK("#'Data'!A5533", "Estimated percentage of MPCA spent on 'Water supply' category [Endline] broken down by households_with_people_with_severe_chronic_diseases on the admi...")</f>
        <v>Estimated percentage of MPCA spent on 'Water supply' category [Endline] broken down by households_with_people_with_severe_chronic_diseases on the admi...</v>
      </c>
      <c r="D1335" s="19" t="s">
        <v>51</v>
      </c>
      <c r="E1335" s="21">
        <v>1165</v>
      </c>
    </row>
    <row r="1336" spans="2:5" x14ac:dyDescent="0.3">
      <c r="B1336" s="19" t="s">
        <v>42</v>
      </c>
      <c r="C1336" s="20" t="str">
        <f>HYPERLINK("#'Data'!A5603", "Estimated percentage of MPCA spent on 'Rent' category [Endline] broken down by households_with_people_with_severe_chronic_diseases on the admin of Ove...")</f>
        <v>Estimated percentage of MPCA spent on 'Rent' category [Endline] broken down by households_with_people_with_severe_chronic_diseases on the admin of Ove...</v>
      </c>
      <c r="D1336" s="19" t="s">
        <v>51</v>
      </c>
      <c r="E1336" s="21">
        <v>1180</v>
      </c>
    </row>
    <row r="1337" spans="2:5" x14ac:dyDescent="0.3">
      <c r="B1337" s="19" t="s">
        <v>42</v>
      </c>
      <c r="C1337" s="20" t="str">
        <f>HYPERLINK("#'Data'!A5671", "Estimated percentage of MPCA spent on 'Assistive products' category [Endline] broken down by households_with_people_with_severe_chronic_diseases on th...")</f>
        <v>Estimated percentage of MPCA spent on 'Assistive products' category [Endline] broken down by households_with_people_with_severe_chronic_diseases on th...</v>
      </c>
      <c r="D1337" s="19" t="s">
        <v>51</v>
      </c>
      <c r="E1337" s="21">
        <v>1195</v>
      </c>
    </row>
    <row r="1338" spans="2:5" x14ac:dyDescent="0.3">
      <c r="B1338" s="19" t="s">
        <v>42</v>
      </c>
      <c r="C1338" s="20" t="str">
        <f>HYPERLINK("#'Data'!A5735", "Estimated percentage of MPCA spent on 'Medication' category [Endline] broken down by households_with_people_with_severe_chronic_diseases on the admin ...")</f>
        <v>Estimated percentage of MPCA spent on 'Medication' category [Endline] broken down by households_with_people_with_severe_chronic_diseases on the admin ...</v>
      </c>
      <c r="D1338" s="19" t="s">
        <v>51</v>
      </c>
      <c r="E1338" s="21">
        <v>1210</v>
      </c>
    </row>
    <row r="1339" spans="2:5" x14ac:dyDescent="0.3">
      <c r="B1339" s="19" t="s">
        <v>42</v>
      </c>
      <c r="C1339" s="20" t="str">
        <f>HYPERLINK("#'Data'!A5807", "Estimated percentage of MPCA spent on 'Agricultural inputs' category [Endline] broken down by households_with_people_with_severe_chronic_diseases on t...")</f>
        <v>Estimated percentage of MPCA spent on 'Agricultural inputs' category [Endline] broken down by households_with_people_with_severe_chronic_diseases on t...</v>
      </c>
      <c r="D1339" s="19" t="s">
        <v>51</v>
      </c>
      <c r="E1339" s="21">
        <v>1225</v>
      </c>
    </row>
    <row r="1340" spans="2:5" x14ac:dyDescent="0.3">
      <c r="B1340" s="19" t="s">
        <v>42</v>
      </c>
      <c r="C1340" s="20" t="str">
        <f>HYPERLINK("#'Data'!A5876", "Estimated percentage of MPCA spent on 'Shelter maintenance' category [Endline] broken down by households_with_people_with_severe_chronic_diseases on t...")</f>
        <v>Estimated percentage of MPCA spent on 'Shelter maintenance' category [Endline] broken down by households_with_people_with_severe_chronic_diseases on t...</v>
      </c>
      <c r="D1340" s="19" t="s">
        <v>51</v>
      </c>
      <c r="E1340" s="21">
        <v>1240</v>
      </c>
    </row>
    <row r="1341" spans="2:5" x14ac:dyDescent="0.3">
      <c r="B1341" s="19" t="s">
        <v>42</v>
      </c>
      <c r="C1341" s="20" t="str">
        <f>HYPERLINK("#'Data'!A5946", "Estimated percentage of MPCA spent on 'Future savings' category [Endline] broken down by households_with_people_with_severe_chronic_diseases on the ad...")</f>
        <v>Estimated percentage of MPCA spent on 'Future savings' category [Endline] broken down by households_with_people_with_severe_chronic_diseases on the ad...</v>
      </c>
      <c r="D1341" s="19" t="s">
        <v>51</v>
      </c>
      <c r="E1341" s="21">
        <v>1255</v>
      </c>
    </row>
    <row r="1342" spans="2:5" x14ac:dyDescent="0.3">
      <c r="B1342" s="19" t="s">
        <v>42</v>
      </c>
      <c r="C1342" s="20" t="str">
        <f>HYPERLINK("#'Data'!A6016", "Estimated percentage of MPCA spent on 'Shared with others' category [Endline] broken down by households_with_people_with_severe_chronic_diseases on th...")</f>
        <v>Estimated percentage of MPCA spent on 'Shared with others' category [Endline] broken down by households_with_people_with_severe_chronic_diseases on th...</v>
      </c>
      <c r="D1342" s="19" t="s">
        <v>51</v>
      </c>
      <c r="E1342" s="21">
        <v>1270</v>
      </c>
    </row>
    <row r="1343" spans="2:5" x14ac:dyDescent="0.3">
      <c r="B1343" s="19" t="s">
        <v>42</v>
      </c>
      <c r="C1343" s="20" t="str">
        <f>HYPERLINK("#'Data'!A6085", "Estimated percentage of MPCA spent on 'Transportation' category [Endline] broken down by households_with_people_with_severe_chronic_diseases on the ad...")</f>
        <v>Estimated percentage of MPCA spent on 'Transportation' category [Endline] broken down by households_with_people_with_severe_chronic_diseases on the ad...</v>
      </c>
      <c r="D1343" s="19" t="s">
        <v>51</v>
      </c>
      <c r="E1343" s="21">
        <v>1285</v>
      </c>
    </row>
    <row r="1344" spans="2:5" x14ac:dyDescent="0.3">
      <c r="B1344" s="19" t="s">
        <v>42</v>
      </c>
      <c r="C1344" s="20" t="str">
        <f>HYPERLINK("#'Data'!A6156", "Estimated percentage of MPCA spent on 'Communication' category [Endline] broken down by households_with_people_with_severe_chronic_diseases on the adm...")</f>
        <v>Estimated percentage of MPCA spent on 'Communication' category [Endline] broken down by households_with_people_with_severe_chronic_diseases on the adm...</v>
      </c>
      <c r="D1344" s="19" t="s">
        <v>51</v>
      </c>
      <c r="E1344" s="21">
        <v>1300</v>
      </c>
    </row>
    <row r="1345" spans="2:5" x14ac:dyDescent="0.3">
      <c r="B1345" s="19" t="s">
        <v>42</v>
      </c>
      <c r="C1345" s="20" t="str">
        <f>HYPERLINK("#'Data'!A6227", "Estimated percentage of MPCA spent on 'Education materials' category [Endline] broken down by households_with_people_with_severe_chronic_diseases on t...")</f>
        <v>Estimated percentage of MPCA spent on 'Education materials' category [Endline] broken down by households_with_people_with_severe_chronic_diseases on t...</v>
      </c>
      <c r="D1345" s="19" t="s">
        <v>51</v>
      </c>
      <c r="E1345" s="21">
        <v>1315</v>
      </c>
    </row>
    <row r="1346" spans="2:5" x14ac:dyDescent="0.3">
      <c r="B1346" s="19" t="s">
        <v>42</v>
      </c>
      <c r="C1346" s="20" t="str">
        <f>HYPERLINK("#'Data'!A6300", "Additional priority needs potentially met if MPCA duration extended to 6 months [Endline] broken down by households_with_people_with_severe_chronic_di...")</f>
        <v>Additional priority needs potentially met if MPCA duration extended to 6 months [Endline] broken down by households_with_people_with_severe_chronic_di...</v>
      </c>
      <c r="D1346" s="19" t="s">
        <v>51</v>
      </c>
      <c r="E1346" s="21">
        <v>1330</v>
      </c>
    </row>
    <row r="1347" spans="2:5" x14ac:dyDescent="0.3">
      <c r="B1347" s="19" t="s">
        <v>42</v>
      </c>
      <c r="C1347" s="20" t="str">
        <f>HYPERLINK("#'Data'!A6374", "Additional priority needs potentially met with doubled MPCA amount over past 3 months [Endline] broken down by households_with_people_with_severe_chro...")</f>
        <v>Additional priority needs potentially met with doubled MPCA amount over past 3 months [Endline] broken down by households_with_people_with_severe_chro...</v>
      </c>
      <c r="D1347" s="19" t="s">
        <v>51</v>
      </c>
      <c r="E1347" s="21">
        <v>1345</v>
      </c>
    </row>
    <row r="1348" spans="2:5" x14ac:dyDescent="0.3">
      <c r="B1348" s="19" t="s">
        <v>42</v>
      </c>
      <c r="C1348" s="20" t="str">
        <f>HYPERLINK("#'Data'!A6448", "Needs that MPCA is considered insufficient to address [Baseline] broken down by households_with_people_with_severe_chronic_diseases on the admin of Ov...")</f>
        <v>Needs that MPCA is considered insufficient to address [Baseline] broken down by households_with_people_with_severe_chronic_diseases on the admin of Ov...</v>
      </c>
      <c r="D1348" s="19" t="s">
        <v>51</v>
      </c>
      <c r="E1348" s="21">
        <v>1360</v>
      </c>
    </row>
    <row r="1349" spans="2:5" x14ac:dyDescent="0.3">
      <c r="B1349" s="19" t="s">
        <v>42</v>
      </c>
      <c r="C1349" s="20" t="str">
        <f>HYPERLINK("#'Data'!A6522", "Needs that MPCA is considered insufficient to address [Endline] broken down by households_with_people_with_severe_chronic_diseases on the admin of Ove...")</f>
        <v>Needs that MPCA is considered insufficient to address [Endline] broken down by households_with_people_with_severe_chronic_diseases on the admin of Ove...</v>
      </c>
      <c r="D1349" s="19" t="s">
        <v>51</v>
      </c>
      <c r="E1349" s="21">
        <v>1375</v>
      </c>
    </row>
    <row r="1350" spans="2:5" x14ac:dyDescent="0.3">
      <c r="B1350" s="19" t="s">
        <v>42</v>
      </c>
      <c r="C1350" s="20" t="str">
        <f>HYPERLINK("#'Data'!A6596", "Preferred type of assistance for meeting current household needs [Baseline] broken down by households_with_people_with_severe_chronic_diseases on the ...")</f>
        <v>Preferred type of assistance for meeting current household needs [Baseline] broken down by households_with_people_with_severe_chronic_diseases on the ...</v>
      </c>
      <c r="D1350" s="19" t="s">
        <v>51</v>
      </c>
      <c r="E1350" s="21">
        <v>1390</v>
      </c>
    </row>
    <row r="1351" spans="2:5" hidden="1" x14ac:dyDescent="0.3">
      <c r="B1351" s="19" t="s">
        <v>40</v>
      </c>
      <c r="C1351" s="20" t="str">
        <f>HYPERLINK("#'Data'!A6670", "Preferred type of assistance for meeting current household needs [Endline] broken down by households_with_people_with_severe_chronic_diseases on the a...")</f>
        <v>Preferred type of assistance for meeting current household needs [Endline] broken down by households_with_people_with_severe_chronic_diseases on the a...</v>
      </c>
      <c r="D1351" s="19" t="s">
        <v>51</v>
      </c>
      <c r="E1351" s="21">
        <v>1405</v>
      </c>
    </row>
    <row r="1352" spans="2:5" x14ac:dyDescent="0.3">
      <c r="B1352" s="19" t="s">
        <v>42</v>
      </c>
      <c r="C1352" s="20" t="str">
        <f>HYPERLINK("#'Data'!A6744", "Remaining needs after MPCA that require additional cash or in-kind assistance [Endline] broken down by households_with_people_with_severe_chronic_dise...")</f>
        <v>Remaining needs after MPCA that require additional cash or in-kind assistance [Endline] broken down by households_with_people_with_severe_chronic_dise...</v>
      </c>
      <c r="D1352" s="19" t="s">
        <v>51</v>
      </c>
      <c r="E1352" s="21">
        <v>1420</v>
      </c>
    </row>
    <row r="1353" spans="2:5" hidden="1" x14ac:dyDescent="0.3">
      <c r="B1353" s="19" t="s">
        <v>40</v>
      </c>
      <c r="C1353" s="20" t="str">
        <f>HYPERLINK("#'Data'!A6818", "Remaining needs after MPCA that require additional cash or in-kind assistance [Endline] broken down by households_with_people_with_severe_chronic_dise...")</f>
        <v>Remaining needs after MPCA that require additional cash or in-kind assistance [Endline] broken down by households_with_people_with_severe_chronic_dise...</v>
      </c>
      <c r="D1353" s="19" t="s">
        <v>51</v>
      </c>
      <c r="E1353" s="21">
        <v>1435</v>
      </c>
    </row>
    <row r="1354" spans="2:5" x14ac:dyDescent="0.3">
      <c r="B1354" s="19" t="s">
        <v>42</v>
      </c>
      <c r="C1354" s="20" t="str">
        <f>HYPERLINK("#'Data'!A6892", "Amount of multi-purpose cash assistance received over last 3 months in UAH [Endline] broken down by households_with_people_with_severe_chronic_disease...")</f>
        <v>Amount of multi-purpose cash assistance received over last 3 months in UAH [Endline] broken down by households_with_people_with_severe_chronic_disease...</v>
      </c>
      <c r="D1354" s="19" t="s">
        <v>51</v>
      </c>
      <c r="E1354" s="21">
        <v>1450</v>
      </c>
    </row>
    <row r="1355" spans="2:5" x14ac:dyDescent="0.3">
      <c r="B1355" s="19" t="s">
        <v>42</v>
      </c>
      <c r="C1355" s="20" t="str">
        <f>HYPERLINK("#'Data'!A6966", "Amount of multi-purpose cash assistance received over last 3 months per hh member in UAH [Endline] broken down by households_with_people_with_severe_c...")</f>
        <v>Amount of multi-purpose cash assistance received over last 3 months per hh member in UAH [Endline] broken down by households_with_people_with_severe_c...</v>
      </c>
      <c r="D1355" s="19" t="s">
        <v>51</v>
      </c>
      <c r="E1355" s="21">
        <v>1465</v>
      </c>
    </row>
    <row r="1356" spans="2:5" x14ac:dyDescent="0.3">
      <c r="B1356" s="19" t="s">
        <v>42</v>
      </c>
      <c r="C1356" s="20" t="str">
        <f>HYPERLINK("#'Data'!A7040", "Other types of humanitarian aid received in the previous three months [Endline] broken down by households_with_people_with_severe_chronic_diseases on ...")</f>
        <v>Other types of humanitarian aid received in the previous three months [Endline] broken down by households_with_people_with_severe_chronic_diseases on ...</v>
      </c>
      <c r="D1356" s="19" t="s">
        <v>51</v>
      </c>
      <c r="E1356" s="21">
        <v>1480</v>
      </c>
    </row>
    <row r="1357" spans="2:5" x14ac:dyDescent="0.3">
      <c r="B1357" s="19" t="s">
        <v>42</v>
      </c>
      <c r="C1357" s="20" t="str">
        <f>HYPERLINK("#'Data'!A7110", "Estimated percentage of total household expenditures spent on 'Other' (past month, excl. humanitarian aid) [Baseline] broken down by households_with_p...")</f>
        <v>Estimated percentage of total household expenditures spent on 'Other' (past month, excl. humanitarian aid) [Baseline] broken down by households_with_p...</v>
      </c>
      <c r="D1357" s="19" t="s">
        <v>51</v>
      </c>
      <c r="E1357" s="21">
        <v>1495</v>
      </c>
    </row>
    <row r="1358" spans="2:5" x14ac:dyDescent="0.3">
      <c r="B1358" s="19" t="s">
        <v>42</v>
      </c>
      <c r="C1358" s="20" t="str">
        <f>HYPERLINK("#'Data'!A7180", "Estimated percentage of total household expenditures spent on 'Food' (past month, excl. humanitarian aid) [Baseline] broken down by households_with_pe...")</f>
        <v>Estimated percentage of total household expenditures spent on 'Food' (past month, excl. humanitarian aid) [Baseline] broken down by households_with_pe...</v>
      </c>
      <c r="D1358" s="19" t="s">
        <v>51</v>
      </c>
      <c r="E1358" s="21">
        <v>1510</v>
      </c>
    </row>
    <row r="1359" spans="2:5" x14ac:dyDescent="0.3">
      <c r="B1359" s="19" t="s">
        <v>42</v>
      </c>
      <c r="C1359" s="20" t="str">
        <f>HYPERLINK("#'Data'!A7253",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1359" s="19" t="s">
        <v>51</v>
      </c>
      <c r="E1359" s="21">
        <v>1525</v>
      </c>
    </row>
    <row r="1360" spans="2:5" hidden="1" x14ac:dyDescent="0.3">
      <c r="B1360" s="19" t="s">
        <v>40</v>
      </c>
      <c r="C1360" s="20" t="str">
        <f>HYPERLINK("#'Data'!A7326",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1360" s="19" t="s">
        <v>51</v>
      </c>
      <c r="E1360" s="21">
        <v>1540</v>
      </c>
    </row>
    <row r="1361" spans="2:5" hidden="1" x14ac:dyDescent="0.3">
      <c r="B1361" s="19" t="s">
        <v>40</v>
      </c>
      <c r="C1361" s="20" t="str">
        <f>HYPERLINK("#'Data'!A7397",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1361" s="19" t="s">
        <v>51</v>
      </c>
      <c r="E1361" s="21">
        <v>1555</v>
      </c>
    </row>
    <row r="1362" spans="2:5" hidden="1" x14ac:dyDescent="0.3">
      <c r="B1362" s="19" t="s">
        <v>40</v>
      </c>
      <c r="C1362" s="20" t="str">
        <f>HYPERLINK("#'Data'!A7469",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1362" s="19" t="s">
        <v>51</v>
      </c>
      <c r="E1362" s="21">
        <v>1570</v>
      </c>
    </row>
    <row r="1363" spans="2:5" hidden="1" x14ac:dyDescent="0.3">
      <c r="B1363" s="19" t="s">
        <v>40</v>
      </c>
      <c r="C1363" s="20" t="str">
        <f>HYPERLINK("#'Data'!A7541",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1363" s="19" t="s">
        <v>51</v>
      </c>
      <c r="E1363" s="21">
        <v>1585</v>
      </c>
    </row>
    <row r="1364" spans="2:5" hidden="1" x14ac:dyDescent="0.3">
      <c r="B1364" s="19" t="s">
        <v>40</v>
      </c>
      <c r="C1364" s="20" t="str">
        <f>HYPERLINK("#'Data'!A7613", "Estimated percentage of total household expenditures spent on 'Safe water' (past month, excl. humanitarian aid) [Baseline] broken down by households_w...")</f>
        <v>Estimated percentage of total household expenditures spent on 'Safe water' (past month, excl. humanitarian aid) [Baseline] broken down by households_w...</v>
      </c>
      <c r="D1364" s="19" t="s">
        <v>51</v>
      </c>
      <c r="E1364" s="21">
        <v>1600</v>
      </c>
    </row>
    <row r="1365" spans="2:5" hidden="1" x14ac:dyDescent="0.3">
      <c r="B1365" s="19" t="s">
        <v>40</v>
      </c>
      <c r="C1365" s="20" t="str">
        <f>HYPERLINK("#'Data'!A7686", "Estimated percentage of total household expenditures spent on 'Utilities' (past month, excl. humanitarian aid) [Baseline] broken down by households_wi...")</f>
        <v>Estimated percentage of total household expenditures spent on 'Utilities' (past month, excl. humanitarian aid) [Baseline] broken down by households_wi...</v>
      </c>
      <c r="D1365" s="19" t="s">
        <v>51</v>
      </c>
      <c r="E1365" s="21">
        <v>1615</v>
      </c>
    </row>
    <row r="1366" spans="2:5" hidden="1" x14ac:dyDescent="0.3">
      <c r="B1366" s="19" t="s">
        <v>40</v>
      </c>
      <c r="C1366" s="20" t="str">
        <f>HYPERLINK("#'Data'!A7758",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1366" s="19" t="s">
        <v>51</v>
      </c>
      <c r="E1366" s="21">
        <v>1630</v>
      </c>
    </row>
    <row r="1367" spans="2:5" hidden="1" x14ac:dyDescent="0.3">
      <c r="B1367" s="19" t="s">
        <v>40</v>
      </c>
      <c r="C1367" s="20" t="str">
        <f>HYPERLINK("#'Data'!A7828", "Estimated percentage of total household expenditures spent on 'Rent' (past month, excl. humanitarian aid) [Baseline] broken down by households_with_pe...")</f>
        <v>Estimated percentage of total household expenditures spent on 'Rent' (past month, excl. humanitarian aid) [Baseline] broken down by households_with_pe...</v>
      </c>
      <c r="D1367" s="19" t="s">
        <v>51</v>
      </c>
      <c r="E1367" s="21">
        <v>1645</v>
      </c>
    </row>
    <row r="1368" spans="2:5" hidden="1" x14ac:dyDescent="0.3">
      <c r="B1368" s="19" t="s">
        <v>40</v>
      </c>
      <c r="C1368" s="20" t="str">
        <f>HYPERLINK("#'Data'!A7898",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1368" s="19" t="s">
        <v>51</v>
      </c>
      <c r="E1368" s="21">
        <v>1660</v>
      </c>
    </row>
    <row r="1369" spans="2:5" hidden="1" x14ac:dyDescent="0.3">
      <c r="B1369" s="19" t="s">
        <v>40</v>
      </c>
      <c r="C1369" s="20" t="str">
        <f>HYPERLINK("#'Data'!A7971", "Estimated percentage of total household expenditures spent on 'Medication' (past month, excl. humanitarian aid) [Baseline] broken down by households_w...")</f>
        <v>Estimated percentage of total household expenditures spent on 'Medication' (past month, excl. humanitarian aid) [Baseline] broken down by households_w...</v>
      </c>
      <c r="D1369" s="19" t="s">
        <v>51</v>
      </c>
      <c r="E1369" s="21">
        <v>1675</v>
      </c>
    </row>
    <row r="1370" spans="2:5" hidden="1" x14ac:dyDescent="0.3">
      <c r="B1370" s="19" t="s">
        <v>40</v>
      </c>
      <c r="C1370" s="20" t="str">
        <f>HYPERLINK("#'Data'!A8041",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1370" s="19" t="s">
        <v>51</v>
      </c>
      <c r="E1370" s="21">
        <v>1690</v>
      </c>
    </row>
    <row r="1371" spans="2:5" hidden="1" x14ac:dyDescent="0.3">
      <c r="B1371" s="19" t="s">
        <v>40</v>
      </c>
      <c r="C1371" s="20" t="str">
        <f>HYPERLINK("#'Data'!A8111",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1371" s="19" t="s">
        <v>51</v>
      </c>
      <c r="E1371" s="21">
        <v>1705</v>
      </c>
    </row>
    <row r="1372" spans="2:5" hidden="1" x14ac:dyDescent="0.3">
      <c r="B1372" s="19" t="s">
        <v>40</v>
      </c>
      <c r="C1372" s="20" t="str">
        <f>HYPERLINK("#'Data'!A8180",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1372" s="19" t="s">
        <v>51</v>
      </c>
      <c r="E1372" s="21">
        <v>1720</v>
      </c>
    </row>
    <row r="1373" spans="2:5" hidden="1" x14ac:dyDescent="0.3">
      <c r="B1373" s="19" t="s">
        <v>40</v>
      </c>
      <c r="C1373" s="20" t="str">
        <f>HYPERLINK("#'Data'!A8249",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1373" s="19" t="s">
        <v>51</v>
      </c>
      <c r="E1373" s="21">
        <v>1735</v>
      </c>
    </row>
    <row r="1374" spans="2:5" hidden="1" x14ac:dyDescent="0.3">
      <c r="B1374" s="19" t="s">
        <v>40</v>
      </c>
      <c r="C1374" s="20" t="str">
        <f>HYPERLINK("#'Data'!A8320",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1374" s="19" t="s">
        <v>51</v>
      </c>
      <c r="E1374" s="21">
        <v>1750</v>
      </c>
    </row>
    <row r="1375" spans="2:5" hidden="1" x14ac:dyDescent="0.3">
      <c r="B1375" s="19" t="s">
        <v>40</v>
      </c>
      <c r="C1375" s="20" t="str">
        <f>HYPERLINK("#'Data'!A8393",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1375" s="19" t="s">
        <v>51</v>
      </c>
      <c r="E1375" s="21">
        <v>1765</v>
      </c>
    </row>
    <row r="1376" spans="2:5" hidden="1" x14ac:dyDescent="0.3">
      <c r="B1376" s="19" t="s">
        <v>40</v>
      </c>
      <c r="C1376" s="20" t="str">
        <f>HYPERLINK("#'Data'!A8465",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1376" s="19" t="s">
        <v>51</v>
      </c>
      <c r="E1376" s="21">
        <v>1780</v>
      </c>
    </row>
    <row r="1377" spans="2:5" hidden="1" x14ac:dyDescent="0.3">
      <c r="B1377" s="19" t="s">
        <v>40</v>
      </c>
      <c r="C1377" s="20" t="str">
        <f>HYPERLINK("#'Data'!A8534", "Estimated percentage of total household expenditures spent on 'Other' (past month, excl. humanitarian aid) [Endline] broken down by households_with_pe...")</f>
        <v>Estimated percentage of total household expenditures spent on 'Other' (past month, excl. humanitarian aid) [Endline] broken down by households_with_pe...</v>
      </c>
      <c r="D1377" s="19" t="s">
        <v>51</v>
      </c>
      <c r="E1377" s="21">
        <v>1795</v>
      </c>
    </row>
    <row r="1378" spans="2:5" hidden="1" x14ac:dyDescent="0.3">
      <c r="B1378" s="19" t="s">
        <v>40</v>
      </c>
      <c r="C1378" s="20" t="str">
        <f>HYPERLINK("#'Data'!A8604", "Estimated percentage of total household expenditures spent on 'Food' (past month, excl. humanitarian aid) [Endline] broken down by households_with_peo...")</f>
        <v>Estimated percentage of total household expenditures spent on 'Food' (past month, excl. humanitarian aid) [Endline] broken down by households_with_peo...</v>
      </c>
      <c r="D1378" s="19" t="s">
        <v>51</v>
      </c>
      <c r="E1378" s="21">
        <v>1810</v>
      </c>
    </row>
    <row r="1379" spans="2:5" hidden="1" x14ac:dyDescent="0.3">
      <c r="B1379" s="19" t="s">
        <v>40</v>
      </c>
      <c r="C1379" s="20" t="str">
        <f>HYPERLINK("#'Data'!A8677",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1379" s="19" t="s">
        <v>51</v>
      </c>
      <c r="E1379" s="21">
        <v>1825</v>
      </c>
    </row>
    <row r="1380" spans="2:5" x14ac:dyDescent="0.3">
      <c r="B1380" s="19" t="s">
        <v>42</v>
      </c>
      <c r="C1380" s="20" t="str">
        <f>HYPERLINK("#'Data'!A8750",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1380" s="19" t="s">
        <v>51</v>
      </c>
      <c r="E1380" s="21">
        <v>1840</v>
      </c>
    </row>
    <row r="1381" spans="2:5" x14ac:dyDescent="0.3">
      <c r="B1381" s="19" t="s">
        <v>42</v>
      </c>
      <c r="C1381" s="20" t="str">
        <f>HYPERLINK("#'Data'!A8822",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1381" s="19" t="s">
        <v>51</v>
      </c>
      <c r="E1381" s="21">
        <v>1855</v>
      </c>
    </row>
    <row r="1382" spans="2:5" x14ac:dyDescent="0.3">
      <c r="B1382" s="19" t="s">
        <v>42</v>
      </c>
      <c r="C1382" s="20" t="str">
        <f>HYPERLINK("#'Data'!A8895",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1382" s="19" t="s">
        <v>51</v>
      </c>
      <c r="E1382" s="21">
        <v>1870</v>
      </c>
    </row>
    <row r="1383" spans="2:5" x14ac:dyDescent="0.3">
      <c r="B1383" s="19" t="s">
        <v>42</v>
      </c>
      <c r="C1383" s="20" t="str">
        <f>HYPERLINK("#'Data'!A8969",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1383" s="19" t="s">
        <v>51</v>
      </c>
      <c r="E1383" s="21">
        <v>1885</v>
      </c>
    </row>
    <row r="1384" spans="2:5" x14ac:dyDescent="0.3">
      <c r="B1384" s="19" t="s">
        <v>42</v>
      </c>
      <c r="C1384" s="20" t="str">
        <f>HYPERLINK("#'Data'!A9042", "Estimated percentage of total household expenditures spent on 'Safe water' (past month, excl. humanitarian aid) [Endline] broken down by households_wi...")</f>
        <v>Estimated percentage of total household expenditures spent on 'Safe water' (past month, excl. humanitarian aid) [Endline] broken down by households_wi...</v>
      </c>
      <c r="D1384" s="19" t="s">
        <v>51</v>
      </c>
      <c r="E1384" s="21">
        <v>1900</v>
      </c>
    </row>
    <row r="1385" spans="2:5" x14ac:dyDescent="0.3">
      <c r="B1385" s="19" t="s">
        <v>42</v>
      </c>
      <c r="C1385" s="20" t="str">
        <f>HYPERLINK("#'Data'!A9115", "Estimated percentage of total household expenditures spent on 'Utilities' (past month, excl. humanitarian aid) [Endline] broken down by households_wit...")</f>
        <v>Estimated percentage of total household expenditures spent on 'Utilities' (past month, excl. humanitarian aid) [Endline] broken down by households_wit...</v>
      </c>
      <c r="D1385" s="19" t="s">
        <v>51</v>
      </c>
      <c r="E1385" s="21">
        <v>1915</v>
      </c>
    </row>
    <row r="1386" spans="2:5" x14ac:dyDescent="0.3">
      <c r="B1386" s="19" t="s">
        <v>42</v>
      </c>
      <c r="C1386" s="20" t="str">
        <f>HYPERLINK("#'Data'!A9187",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1386" s="19" t="s">
        <v>51</v>
      </c>
      <c r="E1386" s="21">
        <v>1930</v>
      </c>
    </row>
    <row r="1387" spans="2:5" x14ac:dyDescent="0.3">
      <c r="B1387" s="19" t="s">
        <v>42</v>
      </c>
      <c r="C1387" s="20" t="str">
        <f>HYPERLINK("#'Data'!A9258", "Estimated percentage of total household expenditures spent on 'Rent' (past month, excl. humanitarian aid) [Endline] broken down by households_with_peo...")</f>
        <v>Estimated percentage of total household expenditures spent on 'Rent' (past month, excl. humanitarian aid) [Endline] broken down by households_with_peo...</v>
      </c>
      <c r="D1387" s="19" t="s">
        <v>51</v>
      </c>
      <c r="E1387" s="21">
        <v>1945</v>
      </c>
    </row>
    <row r="1388" spans="2:5" x14ac:dyDescent="0.3">
      <c r="B1388" s="19" t="s">
        <v>42</v>
      </c>
      <c r="C1388" s="20" t="str">
        <f>HYPERLINK("#'Data'!A9323",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1388" s="19" t="s">
        <v>51</v>
      </c>
      <c r="E1388" s="21">
        <v>1960</v>
      </c>
    </row>
    <row r="1389" spans="2:5" x14ac:dyDescent="0.3">
      <c r="B1389" s="19" t="s">
        <v>42</v>
      </c>
      <c r="C1389" s="20" t="str">
        <f>HYPERLINK("#'Data'!A9392", "Estimated percentage of total household expenditures spent on 'Medication' (past month, excl. humanitarian aid) [Endline] broken down by households_wi...")</f>
        <v>Estimated percentage of total household expenditures spent on 'Medication' (past month, excl. humanitarian aid) [Endline] broken down by households_wi...</v>
      </c>
      <c r="D1389" s="19" t="s">
        <v>51</v>
      </c>
      <c r="E1389" s="21">
        <v>1975</v>
      </c>
    </row>
    <row r="1390" spans="2:5" x14ac:dyDescent="0.3">
      <c r="B1390" s="19" t="s">
        <v>42</v>
      </c>
      <c r="C1390" s="20" t="str">
        <f>HYPERLINK("#'Data'!A9462",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1390" s="19" t="s">
        <v>51</v>
      </c>
      <c r="E1390" s="21">
        <v>1990</v>
      </c>
    </row>
    <row r="1391" spans="2:5" x14ac:dyDescent="0.3">
      <c r="B1391" s="19" t="s">
        <v>42</v>
      </c>
      <c r="C1391" s="20" t="str">
        <f>HYPERLINK("#'Data'!A9528",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1391" s="19" t="s">
        <v>51</v>
      </c>
      <c r="E1391" s="21">
        <v>2005</v>
      </c>
    </row>
    <row r="1392" spans="2:5" x14ac:dyDescent="0.3">
      <c r="B1392" s="19" t="s">
        <v>42</v>
      </c>
      <c r="C1392" s="20" t="str">
        <f>HYPERLINK("#'Data'!A9597",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1392" s="19" t="s">
        <v>51</v>
      </c>
      <c r="E1392" s="21">
        <v>2020</v>
      </c>
    </row>
    <row r="1393" spans="2:5" x14ac:dyDescent="0.3">
      <c r="B1393" s="19" t="s">
        <v>42</v>
      </c>
      <c r="C1393" s="20" t="str">
        <f>HYPERLINK("#'Data'!A9662",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1393" s="19" t="s">
        <v>51</v>
      </c>
      <c r="E1393" s="21">
        <v>2035</v>
      </c>
    </row>
    <row r="1394" spans="2:5" x14ac:dyDescent="0.3">
      <c r="B1394" s="19" t="s">
        <v>42</v>
      </c>
      <c r="C1394" s="20" t="str">
        <f>HYPERLINK("#'Data'!A9728",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1394" s="19" t="s">
        <v>51</v>
      </c>
      <c r="E1394" s="21">
        <v>2050</v>
      </c>
    </row>
    <row r="1395" spans="2:5" x14ac:dyDescent="0.3">
      <c r="B1395" s="19" t="s">
        <v>42</v>
      </c>
      <c r="C1395" s="20" t="str">
        <f>HYPERLINK("#'Data'!A9799",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1395" s="19" t="s">
        <v>51</v>
      </c>
      <c r="E1395" s="21">
        <v>2065</v>
      </c>
    </row>
    <row r="1396" spans="2:5" x14ac:dyDescent="0.3">
      <c r="B1396" s="19" t="s">
        <v>42</v>
      </c>
      <c r="C1396" s="20" t="str">
        <f>HYPERLINK("#'Data'!A9872",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1396" s="19" t="s">
        <v>51</v>
      </c>
      <c r="E1396" s="21">
        <v>2080</v>
      </c>
    </row>
    <row r="1397" spans="2:5" hidden="1" x14ac:dyDescent="0.3">
      <c r="B1397" s="19" t="s">
        <v>40</v>
      </c>
      <c r="C1397" s="20" t="str">
        <f>HYPERLINK("#'Data'!A20",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1397" s="19" t="s">
        <v>52</v>
      </c>
      <c r="E1397" s="21">
        <v>5</v>
      </c>
    </row>
    <row r="1398" spans="2:5" hidden="1" x14ac:dyDescent="0.3">
      <c r="B1398" s="19" t="s">
        <v>40</v>
      </c>
      <c r="C1398" s="20" t="str">
        <f>HYPERLINK("#'Data'!A94",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1398" s="19" t="s">
        <v>52</v>
      </c>
      <c r="E1398" s="21">
        <v>20</v>
      </c>
    </row>
    <row r="1399" spans="2:5" x14ac:dyDescent="0.3">
      <c r="B1399" s="19" t="s">
        <v>42</v>
      </c>
      <c r="C1399" s="20" t="str">
        <f>HYPERLINK("#'Data'!A168",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1399" s="19" t="s">
        <v>52</v>
      </c>
      <c r="E1399" s="21">
        <v>35</v>
      </c>
    </row>
    <row r="1400" spans="2:5" x14ac:dyDescent="0.3">
      <c r="B1400" s="19" t="s">
        <v>42</v>
      </c>
      <c r="C1400" s="20" t="str">
        <f>HYPERLINK("#'Data'!A242",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1400" s="19" t="s">
        <v>52</v>
      </c>
      <c r="E1400" s="21">
        <v>50</v>
      </c>
    </row>
    <row r="1401" spans="2:5" hidden="1" x14ac:dyDescent="0.3">
      <c r="B1401" s="19" t="s">
        <v>40</v>
      </c>
      <c r="C1401" s="20" t="str">
        <f>HYPERLINK("#'Data'!A316", "Sources of income or financial support  household received in the last month [Baseline] broken down by households_with_pregnant_women on the admin of ...")</f>
        <v>Sources of income or financial support  household received in the last month [Baseline] broken down by households_with_pregnant_women on the admin of ...</v>
      </c>
      <c r="D1401" s="19" t="s">
        <v>52</v>
      </c>
      <c r="E1401" s="21">
        <v>65</v>
      </c>
    </row>
    <row r="1402" spans="2:5" x14ac:dyDescent="0.3">
      <c r="B1402" s="19" t="s">
        <v>42</v>
      </c>
      <c r="C1402" s="20" t="str">
        <f>HYPERLINK("#'Data'!A390", "Sources of income or financial support  household received in the last month other than multi-purpose cash assistance [Endline] broken down by househo...")</f>
        <v>Sources of income or financial support  household received in the last month other than multi-purpose cash assistance [Endline] broken down by househo...</v>
      </c>
      <c r="D1402" s="19" t="s">
        <v>52</v>
      </c>
      <c r="E1402" s="21">
        <v>80</v>
      </c>
    </row>
    <row r="1403" spans="2:5" hidden="1" x14ac:dyDescent="0.3">
      <c r="B1403" s="19" t="s">
        <v>40</v>
      </c>
      <c r="C1403" s="20" t="str">
        <f>HYPERLINK("#'Data'!A464",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1403" s="19" t="s">
        <v>52</v>
      </c>
      <c r="E1403" s="21">
        <v>95</v>
      </c>
    </row>
    <row r="1404" spans="2:5" hidden="1" x14ac:dyDescent="0.3">
      <c r="B1404" s="19" t="s">
        <v>40</v>
      </c>
      <c r="C1404" s="20" t="str">
        <f>HYPERLINK("#'Data'!A538",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1404" s="19" t="s">
        <v>52</v>
      </c>
      <c r="E1404" s="21">
        <v>110</v>
      </c>
    </row>
    <row r="1405" spans="2:5" x14ac:dyDescent="0.3">
      <c r="B1405" s="19" t="s">
        <v>42</v>
      </c>
      <c r="C1405" s="20" t="str">
        <f>HYPERLINK("#'Data'!A612",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1405" s="19" t="s">
        <v>52</v>
      </c>
      <c r="E1405" s="21">
        <v>125</v>
      </c>
    </row>
    <row r="1406" spans="2:5" x14ac:dyDescent="0.3">
      <c r="B1406" s="19" t="s">
        <v>42</v>
      </c>
      <c r="C1406" s="20" t="str">
        <f>HYPERLINK("#'Data'!A686",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1406" s="19" t="s">
        <v>52</v>
      </c>
      <c r="E1406" s="21">
        <v>140</v>
      </c>
    </row>
    <row r="1407" spans="2:5" hidden="1" x14ac:dyDescent="0.3">
      <c r="B1407" s="19" t="s">
        <v>40</v>
      </c>
      <c r="C1407" s="20" t="str">
        <f>HYPERLINK("#'Data'!A760", "Household expenditures by category over the past 30 days [or month] in UAH [Baseline] broken down by households_with_pregnant_women on the admin of Ov...")</f>
        <v>Household expenditures by category over the past 30 days [or month] in UAH [Baseline] broken down by households_with_pregnant_women on the admin of Ov...</v>
      </c>
      <c r="D1407" s="19" t="s">
        <v>52</v>
      </c>
      <c r="E1407" s="21">
        <v>155</v>
      </c>
    </row>
    <row r="1408" spans="2:5" x14ac:dyDescent="0.3">
      <c r="B1408" s="19" t="s">
        <v>42</v>
      </c>
      <c r="C1408" s="20" t="str">
        <f>HYPERLINK("#'Data'!A834", "Household expenditures by category over the past 30 days [or month] in UAH [Endline] broken down by households_with_pregnant_women on the admin of Ove...")</f>
        <v>Household expenditures by category over the past 30 days [or month] in UAH [Endline] broken down by households_with_pregnant_women on the admin of Ove...</v>
      </c>
      <c r="D1408" s="19" t="s">
        <v>52</v>
      </c>
      <c r="E1408" s="21">
        <v>170</v>
      </c>
    </row>
    <row r="1409" spans="2:5" hidden="1" x14ac:dyDescent="0.3">
      <c r="B1409" s="19" t="s">
        <v>40</v>
      </c>
      <c r="C1409" s="20" t="str">
        <f>HYPERLINK("#'Data'!A908", "Household's ability to meet basic needs (self-defined and prioritized) [Baseline] broken down by households_with_pregnant_women on the admin of Overal...")</f>
        <v>Household's ability to meet basic needs (self-defined and prioritized) [Baseline] broken down by households_with_pregnant_women on the admin of Overal...</v>
      </c>
      <c r="D1409" s="19" t="s">
        <v>52</v>
      </c>
      <c r="E1409" s="21">
        <v>185</v>
      </c>
    </row>
    <row r="1410" spans="2:5" x14ac:dyDescent="0.3">
      <c r="B1410" s="19" t="s">
        <v>42</v>
      </c>
      <c r="C1410" s="20" t="str">
        <f>HYPERLINK("#'Data'!A982", "Household's ability to meet basic needs (self-defined and prioritized) [Endline] broken down by households_with_pregnant_women on the admin of Overall...")</f>
        <v>Household's ability to meet basic needs (self-defined and prioritized) [Endline] broken down by households_with_pregnant_women on the admin of Overall...</v>
      </c>
      <c r="D1410" s="19" t="s">
        <v>52</v>
      </c>
      <c r="E1410" s="21">
        <v>200</v>
      </c>
    </row>
    <row r="1411" spans="2:5" hidden="1" x14ac:dyDescent="0.3">
      <c r="B1411" s="19" t="s">
        <v>40</v>
      </c>
      <c r="C1411" s="20" t="str">
        <f>HYPERLINK("#'Data'!A1056", "Basic needs the household is currently unable to fulfill (if not all are met) [Baseline] broken down by households_with_pregnant_women on the admin of...")</f>
        <v>Basic needs the household is currently unable to fulfill (if not all are met) [Baseline] broken down by households_with_pregnant_women on the admin of...</v>
      </c>
      <c r="D1411" s="19" t="s">
        <v>52</v>
      </c>
      <c r="E1411" s="21">
        <v>215</v>
      </c>
    </row>
    <row r="1412" spans="2:5" x14ac:dyDescent="0.3">
      <c r="B1412" s="19" t="s">
        <v>42</v>
      </c>
      <c r="C1412" s="20" t="str">
        <f>HYPERLINK("#'Data'!A1130", "Basic needs the household is currently unable to fulfill (if not all are met) [Endline] broken down by households_with_pregnant_women on the admin of ...")</f>
        <v>Basic needs the household is currently unable to fulfill (if not all are met) [Endline] broken down by households_with_pregnant_women on the admin of ...</v>
      </c>
      <c r="D1412" s="19" t="s">
        <v>52</v>
      </c>
      <c r="E1412" s="21">
        <v>230</v>
      </c>
    </row>
    <row r="1413" spans="2:5" hidden="1" x14ac:dyDescent="0.3">
      <c r="B1413" s="19" t="s">
        <v>40</v>
      </c>
      <c r="C1413" s="20" t="str">
        <f>HYPERLINK("#'Data'!A1204", "Coping strategies used in the last 30 days due to insufficient resources to meet basic needs [Baseline] broken down by households_with_pregnant_women ...")</f>
        <v>Coping strategies used in the last 30 days due to insufficient resources to meet basic needs [Baseline] broken down by households_with_pregnant_women ...</v>
      </c>
      <c r="D1413" s="19" t="s">
        <v>52</v>
      </c>
      <c r="E1413" s="21">
        <v>245</v>
      </c>
    </row>
    <row r="1414" spans="2:5" x14ac:dyDescent="0.3">
      <c r="B1414" s="19" t="s">
        <v>42</v>
      </c>
      <c r="C1414" s="20" t="str">
        <f>HYPERLINK("#'Data'!A1278", "Coping strategies used in the last 30 days due to insufficient resources to meet basic needs [Endline] broken down by households_with_pregnant_women o...")</f>
        <v>Coping strategies used in the last 30 days due to insufficient resources to meet basic needs [Endline] broken down by households_with_pregnant_women o...</v>
      </c>
      <c r="D1414" s="19" t="s">
        <v>52</v>
      </c>
      <c r="E1414" s="21">
        <v>260</v>
      </c>
    </row>
    <row r="1415" spans="2:5" x14ac:dyDescent="0.3">
      <c r="B1415" s="19" t="s">
        <v>42</v>
      </c>
      <c r="C1415" s="20" t="str">
        <f>HYPERLINK("#'Data'!A1352", "Coping strategies avoided in the past 3 months due to receipt of MPCA [Endline] broken down by households_with_pregnant_women on the admin of Overall ...")</f>
        <v>Coping strategies avoided in the past 3 months due to receipt of MPCA [Endline] broken down by households_with_pregnant_women on the admin of Overall ...</v>
      </c>
      <c r="D1415" s="19" t="s">
        <v>52</v>
      </c>
      <c r="E1415" s="21">
        <v>275</v>
      </c>
    </row>
    <row r="1416" spans="2:5" hidden="1" x14ac:dyDescent="0.3">
      <c r="B1416" s="19" t="s">
        <v>40</v>
      </c>
      <c r="C1416" s="20" t="str">
        <f>HYPERLINK("#'Data'!A1426", "Household perception of relevance of forthcoming MPCA (3,600 UAH for 3 months per member) [Baseline] broken down by households_with_pregnant_women on ...")</f>
        <v>Household perception of relevance of forthcoming MPCA (3,600 UAH for 3 months per member) [Baseline] broken down by households_with_pregnant_women on ...</v>
      </c>
      <c r="D1416" s="19" t="s">
        <v>52</v>
      </c>
      <c r="E1416" s="21">
        <v>290</v>
      </c>
    </row>
    <row r="1417" spans="2:5" hidden="1" x14ac:dyDescent="0.3">
      <c r="B1417" s="19" t="s">
        <v>40</v>
      </c>
      <c r="C1417" s="20" t="str">
        <f>HYPERLINK("#'Data'!A1500", "Estimated percentage of household needs met by upcoming MPCA (if partially appropriate) [Baseline] broken down by households_with_pregnant_women on th...")</f>
        <v>Estimated percentage of household needs met by upcoming MPCA (if partially appropriate) [Baseline] broken down by households_with_pregnant_women on th...</v>
      </c>
      <c r="D1417" s="19" t="s">
        <v>52</v>
      </c>
      <c r="E1417" s="21">
        <v>305</v>
      </c>
    </row>
    <row r="1418" spans="2:5" x14ac:dyDescent="0.3">
      <c r="B1418" s="19" t="s">
        <v>42</v>
      </c>
      <c r="C1418" s="20" t="str">
        <f>HYPERLINK("#'Data'!A1574", "Household opinion on adequacy of received MPCA (3,600 UAH for 3 months per member) [Endline] broken down by households_with_pregnant_women on the admi...")</f>
        <v>Household opinion on adequacy of received MPCA (3,600 UAH for 3 months per member) [Endline] broken down by households_with_pregnant_women on the admi...</v>
      </c>
      <c r="D1418" s="19" t="s">
        <v>52</v>
      </c>
      <c r="E1418" s="21">
        <v>320</v>
      </c>
    </row>
    <row r="1419" spans="2:5" x14ac:dyDescent="0.3">
      <c r="B1419" s="19" t="s">
        <v>42</v>
      </c>
      <c r="C1419" s="20" t="str">
        <f>HYPERLINK("#'Data'!A1648", "Estimated percentage of household needs met by received MPCA (if partially appropriate) [Endline] broken down by households_with_pregnant_women on the...")</f>
        <v>Estimated percentage of household needs met by received MPCA (if partially appropriate) [Endline] broken down by households_with_pregnant_women on the...</v>
      </c>
      <c r="D1419" s="19" t="s">
        <v>52</v>
      </c>
      <c r="E1419" s="21">
        <v>335</v>
      </c>
    </row>
    <row r="1420" spans="2:5" x14ac:dyDescent="0.3">
      <c r="B1420" s="19" t="s">
        <v>42</v>
      </c>
      <c r="C1420" s="20" t="str">
        <f>HYPERLINK("#'Data'!A1734", "Whether the household has already spent the received MPCA [Endline] broken down by households_with_pregnant_women on the admin of Overall perc")</f>
        <v>Whether the household has already spent the received MPCA [Endline] broken down by households_with_pregnant_women on the admin of Overall perc</v>
      </c>
      <c r="D1420" s="19" t="s">
        <v>52</v>
      </c>
      <c r="E1420" s="21">
        <v>353</v>
      </c>
    </row>
    <row r="1421" spans="2:5" x14ac:dyDescent="0.3">
      <c r="B1421" s="19" t="s">
        <v>42</v>
      </c>
      <c r="C1421" s="20" t="str">
        <f>HYPERLINK("#'Data'!A1808", "Number of weeks MPCA lasted if fully spent [Endline] broken down by households_with_pregnant_women on the admin of Overall mean")</f>
        <v>Number of weeks MPCA lasted if fully spent [Endline] broken down by households_with_pregnant_women on the admin of Overall mean</v>
      </c>
      <c r="D1421" s="19" t="s">
        <v>52</v>
      </c>
      <c r="E1421" s="21">
        <v>368</v>
      </c>
    </row>
    <row r="1422" spans="2:5" x14ac:dyDescent="0.3">
      <c r="B1422" s="19" t="s">
        <v>42</v>
      </c>
      <c r="C1422" s="20" t="str">
        <f>HYPERLINK("#'Data'!A1882", "Percentage of MPCA spent to date (if partially used) [Endline] broken down by households_with_pregnant_women on the admin of Overall mean")</f>
        <v>Percentage of MPCA spent to date (if partially used) [Endline] broken down by households_with_pregnant_women on the admin of Overall mean</v>
      </c>
      <c r="D1422" s="19" t="s">
        <v>52</v>
      </c>
      <c r="E1422" s="21">
        <v>383</v>
      </c>
    </row>
    <row r="1423" spans="2:5" x14ac:dyDescent="0.3">
      <c r="B1423" s="19" t="s">
        <v>42</v>
      </c>
      <c r="C1423" s="20" t="str">
        <f>HYPERLINK("#'Data'!A1956", "Extent to which received MPCA helped cover household needs during usage period [Endline] broken down by households_with_pregnant_women on the admin of...")</f>
        <v>Extent to which received MPCA helped cover household needs during usage period [Endline] broken down by households_with_pregnant_women on the admin of...</v>
      </c>
      <c r="D1423" s="19" t="s">
        <v>52</v>
      </c>
      <c r="E1423" s="21">
        <v>398</v>
      </c>
    </row>
    <row r="1424" spans="2:5" x14ac:dyDescent="0.3">
      <c r="B1424" s="19" t="s">
        <v>42</v>
      </c>
      <c r="C1424" s="20" t="str">
        <f>HYPERLINK("#'Data'!A2030", "Percentage of needs covered by MPCA (if partially met) [Endline] broken down by households_with_pregnant_women on the admin of Overall mean")</f>
        <v>Percentage of needs covered by MPCA (if partially met) [Endline] broken down by households_with_pregnant_women on the admin of Overall mean</v>
      </c>
      <c r="D1424" s="19" t="s">
        <v>52</v>
      </c>
      <c r="E1424" s="21">
        <v>413</v>
      </c>
    </row>
    <row r="1425" spans="2:5" hidden="1" x14ac:dyDescent="0.3">
      <c r="B1425" s="19" t="s">
        <v>40</v>
      </c>
      <c r="C1425" s="20" t="str">
        <f>HYPERLINK("#'Data'!A2104", "Priority needs requiring financial aid, with importance level [Baseline] broken down by households_with_pregnant_women on the admin of Overall perc")</f>
        <v>Priority needs requiring financial aid, with importance level [Baseline] broken down by households_with_pregnant_women on the admin of Overall perc</v>
      </c>
      <c r="D1425" s="19" t="s">
        <v>52</v>
      </c>
      <c r="E1425" s="21">
        <v>428</v>
      </c>
    </row>
    <row r="1426" spans="2:5" hidden="1" x14ac:dyDescent="0.3">
      <c r="B1426" s="19" t="s">
        <v>40</v>
      </c>
      <c r="C1426" s="20" t="str">
        <f>HYPERLINK("#'Data'!A2178", "Importance rating for 'Other' priority need requiring financial assistance [Baseline] broken down by households_with_pregnant_women on the admin of Ov...")</f>
        <v>Importance rating for 'Other' priority need requiring financial assistance [Baseline] broken down by households_with_pregnant_women on the admin of Ov...</v>
      </c>
      <c r="D1426" s="19" t="s">
        <v>52</v>
      </c>
      <c r="E1426" s="21">
        <v>443</v>
      </c>
    </row>
    <row r="1427" spans="2:5" hidden="1" x14ac:dyDescent="0.3">
      <c r="B1427" s="19" t="s">
        <v>40</v>
      </c>
      <c r="C1427" s="20" t="str">
        <f>HYPERLINK("#'Data'!A2250", "Importance rating for 'Food' priority need requiring financial assistance [Baseline] broken down by households_with_pregnant_women on the admin of Ove...")</f>
        <v>Importance rating for 'Food' priority need requiring financial assistance [Baseline] broken down by households_with_pregnant_women on the admin of Ove...</v>
      </c>
      <c r="D1427" s="19" t="s">
        <v>52</v>
      </c>
      <c r="E1427" s="21">
        <v>458</v>
      </c>
    </row>
    <row r="1428" spans="2:5" hidden="1" x14ac:dyDescent="0.3">
      <c r="B1428" s="19" t="s">
        <v>40</v>
      </c>
      <c r="C1428" s="20" t="str">
        <f>HYPERLINK("#'Data'!A2324", "Importance rating for 'Personal hygiene' priority need requiring financial assistance [Baseline] broken down by households_with_pregnant_women on the ...")</f>
        <v>Importance rating for 'Personal hygiene' priority need requiring financial assistance [Baseline] broken down by households_with_pregnant_women on the ...</v>
      </c>
      <c r="D1428" s="19" t="s">
        <v>52</v>
      </c>
      <c r="E1428" s="21">
        <v>473</v>
      </c>
    </row>
    <row r="1429" spans="2:5" hidden="1" x14ac:dyDescent="0.3">
      <c r="B1429" s="19" t="s">
        <v>40</v>
      </c>
      <c r="C1429" s="20" t="str">
        <f>HYPERLINK("#'Data'!A2394", "Importance rating for 'Cleaning items' priority need requiring financial assistance [Baseline] broken down by households_with_pregnant_women on the ad...")</f>
        <v>Importance rating for 'Cleaning items' priority need requiring financial assistance [Baseline] broken down by households_with_pregnant_women on the ad...</v>
      </c>
      <c r="D1429" s="19" t="s">
        <v>52</v>
      </c>
      <c r="E1429" s="21">
        <v>488</v>
      </c>
    </row>
    <row r="1430" spans="2:5" hidden="1" x14ac:dyDescent="0.3">
      <c r="B1430" s="19" t="s">
        <v>40</v>
      </c>
      <c r="C1430" s="20" t="str">
        <f>HYPERLINK("#'Data'!A2459", "Importance rating for 'Non-food items' priority need requiring financial assistance [Baseline] broken down by households_with_pregnant_women on the ad...")</f>
        <v>Importance rating for 'Non-food items' priority need requiring financial assistance [Baseline] broken down by households_with_pregnant_women on the ad...</v>
      </c>
      <c r="D1430" s="19" t="s">
        <v>52</v>
      </c>
      <c r="E1430" s="21">
        <v>503</v>
      </c>
    </row>
    <row r="1431" spans="2:5" hidden="1" x14ac:dyDescent="0.3">
      <c r="B1431" s="19" t="s">
        <v>40</v>
      </c>
      <c r="C1431" s="20" t="str">
        <f>HYPERLINK("#'Data'!A2526", "Importance rating for 'Clothing and shoes' priority need requiring financial assistance [Baseline] broken down by households_with_pregnant_women on th...")</f>
        <v>Importance rating for 'Clothing and shoes' priority need requiring financial assistance [Baseline] broken down by households_with_pregnant_women on th...</v>
      </c>
      <c r="D1431" s="19" t="s">
        <v>52</v>
      </c>
      <c r="E1431" s="21">
        <v>518</v>
      </c>
    </row>
    <row r="1432" spans="2:5" hidden="1" x14ac:dyDescent="0.3">
      <c r="B1432" s="19" t="s">
        <v>40</v>
      </c>
      <c r="C1432" s="20" t="str">
        <f>HYPERLINK("#'Data'!A2599", "Importance rating for 'Heating fuel' priority need requiring financial assistance [Baseline] broken down by households_with_pregnant_women on the admi...")</f>
        <v>Importance rating for 'Heating fuel' priority need requiring financial assistance [Baseline] broken down by households_with_pregnant_women on the admi...</v>
      </c>
      <c r="D1432" s="19" t="s">
        <v>52</v>
      </c>
      <c r="E1432" s="21">
        <v>533</v>
      </c>
    </row>
    <row r="1433" spans="2:5" hidden="1" x14ac:dyDescent="0.3">
      <c r="B1433" s="19" t="s">
        <v>40</v>
      </c>
      <c r="C1433" s="20" t="str">
        <f>HYPERLINK("#'Data'!A2670", "Importance rating for 'Safe water' priority need requiring financial assistance [Baseline] broken down by households_with_pregnant_women on the admin ...")</f>
        <v>Importance rating for 'Safe water' priority need requiring financial assistance [Baseline] broken down by households_with_pregnant_women on the admin ...</v>
      </c>
      <c r="D1433" s="19" t="s">
        <v>52</v>
      </c>
      <c r="E1433" s="21">
        <v>548</v>
      </c>
    </row>
    <row r="1434" spans="2:5" hidden="1" x14ac:dyDescent="0.3">
      <c r="B1434" s="19" t="s">
        <v>40</v>
      </c>
      <c r="C1434" s="20" t="str">
        <f>HYPERLINK("#'Data'!A2732", "Importance rating for 'Utilities' priority need requiring financial assistance [Baseline] broken down by households_with_pregnant_women on the admin o...")</f>
        <v>Importance rating for 'Utilities' priority need requiring financial assistance [Baseline] broken down by households_with_pregnant_women on the admin o...</v>
      </c>
      <c r="D1434" s="19" t="s">
        <v>52</v>
      </c>
      <c r="E1434" s="21">
        <v>563</v>
      </c>
    </row>
    <row r="1435" spans="2:5" hidden="1" x14ac:dyDescent="0.3">
      <c r="B1435" s="19" t="s">
        <v>40</v>
      </c>
      <c r="C1435" s="20" t="str">
        <f>HYPERLINK("#'Data'!A2804", "Importance rating for 'Water supply' priority need requiring financial assistance [Baseline] broken down by households_with_pregnant_women on the admi...")</f>
        <v>Importance rating for 'Water supply' priority need requiring financial assistance [Baseline] broken down by households_with_pregnant_women on the admi...</v>
      </c>
      <c r="D1435" s="19" t="s">
        <v>52</v>
      </c>
      <c r="E1435" s="21">
        <v>578</v>
      </c>
    </row>
    <row r="1436" spans="2:5" hidden="1" x14ac:dyDescent="0.3">
      <c r="B1436" s="19" t="s">
        <v>40</v>
      </c>
      <c r="C1436" s="20" t="str">
        <f>HYPERLINK("#'Data'!A2864", "Importance rating for 'Rent' priority need requiring financial assistance [Baseline] broken down by households_with_pregnant_women on the admin of Ove...")</f>
        <v>Importance rating for 'Rent' priority need requiring financial assistance [Baseline] broken down by households_with_pregnant_women on the admin of Ove...</v>
      </c>
      <c r="D1436" s="19" t="s">
        <v>52</v>
      </c>
      <c r="E1436" s="21">
        <v>593</v>
      </c>
    </row>
    <row r="1437" spans="2:5" hidden="1" x14ac:dyDescent="0.3">
      <c r="B1437" s="19" t="s">
        <v>40</v>
      </c>
      <c r="C1437" s="20" t="str">
        <f>HYPERLINK("#'Data'!A2932", "Importance rating for 'Medication' priority need requiring financial assistance [Baseline] broken down by households_with_pregnant_women on the admin ...")</f>
        <v>Importance rating for 'Medication' priority need requiring financial assistance [Baseline] broken down by households_with_pregnant_women on the admin ...</v>
      </c>
      <c r="D1437" s="19" t="s">
        <v>52</v>
      </c>
      <c r="E1437" s="21">
        <v>608</v>
      </c>
    </row>
    <row r="1438" spans="2:5" hidden="1" x14ac:dyDescent="0.3">
      <c r="B1438" s="19" t="s">
        <v>40</v>
      </c>
      <c r="C1438" s="20" t="str">
        <f>HYPERLINK("#'Data'!A3004", "Importance rating for 'Agricultural inputs' priority need requiring financial assistance [Baseline] broken down by households_with_pregnant_women on t...")</f>
        <v>Importance rating for 'Agricultural inputs' priority need requiring financial assistance [Baseline] broken down by households_with_pregnant_women on t...</v>
      </c>
      <c r="D1438" s="19" t="s">
        <v>52</v>
      </c>
      <c r="E1438" s="21">
        <v>623</v>
      </c>
    </row>
    <row r="1439" spans="2:5" hidden="1" x14ac:dyDescent="0.3">
      <c r="B1439" s="19" t="s">
        <v>40</v>
      </c>
      <c r="C1439" s="20" t="str">
        <f>HYPERLINK("#'Data'!A3073", "Importance rating for 'Shelter maintenance' priority need requiring financial assistance [Baseline] broken down by households_with_pregnant_women on t...")</f>
        <v>Importance rating for 'Shelter maintenance' priority need requiring financial assistance [Baseline] broken down by households_with_pregnant_women on t...</v>
      </c>
      <c r="D1439" s="19" t="s">
        <v>52</v>
      </c>
      <c r="E1439" s="21">
        <v>638</v>
      </c>
    </row>
    <row r="1440" spans="2:5" hidden="1" x14ac:dyDescent="0.3">
      <c r="B1440" s="19" t="s">
        <v>40</v>
      </c>
      <c r="C1440" s="20" t="str">
        <f>HYPERLINK("#'Data'!A3143", "Importance rating for 'Transportation' priority need requiring financial assistance [Baseline] broken down by households_with_pregnant_women on the ad...")</f>
        <v>Importance rating for 'Transportation' priority need requiring financial assistance [Baseline] broken down by households_with_pregnant_women on the ad...</v>
      </c>
      <c r="D1440" s="19" t="s">
        <v>52</v>
      </c>
      <c r="E1440" s="21">
        <v>653</v>
      </c>
    </row>
    <row r="1441" spans="2:5" hidden="1" x14ac:dyDescent="0.3">
      <c r="B1441" s="19" t="s">
        <v>40</v>
      </c>
      <c r="C1441" s="20" t="str">
        <f>HYPERLINK("#'Data'!A3206", "Importance rating for 'Communication' priority need requiring financial assistance [Baseline] broken down by households_with_pregnant_women on the adm...")</f>
        <v>Importance rating for 'Communication' priority need requiring financial assistance [Baseline] broken down by households_with_pregnant_women on the adm...</v>
      </c>
      <c r="D1441" s="19" t="s">
        <v>52</v>
      </c>
      <c r="E1441" s="21">
        <v>668</v>
      </c>
    </row>
    <row r="1442" spans="2:5" hidden="1" x14ac:dyDescent="0.3">
      <c r="B1442" s="19" t="s">
        <v>40</v>
      </c>
      <c r="C1442" s="20" t="str">
        <f>HYPERLINK("#'Data'!A3268", "Importance rating for 'Education materials' priority need requiring financial assistance [Baseline] broken down by households_with_pregnant_women on t...")</f>
        <v>Importance rating for 'Education materials' priority need requiring financial assistance [Baseline] broken down by households_with_pregnant_women on t...</v>
      </c>
      <c r="D1442" s="19" t="s">
        <v>52</v>
      </c>
      <c r="E1442" s="21">
        <v>683</v>
      </c>
    </row>
    <row r="1443" spans="2:5" hidden="1" x14ac:dyDescent="0.3">
      <c r="B1443" s="19" t="s">
        <v>40</v>
      </c>
      <c r="C1443" s="20" t="str">
        <f>HYPERLINK("#'Data'!A3338", "Household needs met exclusively due to MPCA and their fulfillment level [Endline] broken down by households_with_pregnant_women on the admin of Overal...")</f>
        <v>Household needs met exclusively due to MPCA and their fulfillment level [Endline] broken down by households_with_pregnant_women on the admin of Overal...</v>
      </c>
      <c r="D1443" s="19" t="s">
        <v>52</v>
      </c>
      <c r="E1443" s="21">
        <v>698</v>
      </c>
    </row>
    <row r="1444" spans="2:5" hidden="1" x14ac:dyDescent="0.3">
      <c r="B1444" s="19" t="s">
        <v>40</v>
      </c>
      <c r="C1444" s="20" t="str">
        <f>HYPERLINK("#'Data'!A3411", "Fulfillment level of 'Other' need met exclusively due to MPCA [Endline] broken down by households_with_pregnant_women on the admin of Overall perc")</f>
        <v>Fulfillment level of 'Other' need met exclusively due to MPCA [Endline] broken down by households_with_pregnant_women on the admin of Overall perc</v>
      </c>
      <c r="D1444" s="19" t="s">
        <v>52</v>
      </c>
      <c r="E1444" s="21">
        <v>713</v>
      </c>
    </row>
    <row r="1445" spans="2:5" hidden="1" x14ac:dyDescent="0.3">
      <c r="B1445" s="19" t="s">
        <v>40</v>
      </c>
      <c r="C1445" s="20" t="str">
        <f>HYPERLINK("#'Data'!A3484", "Fulfillment level of 'Food' need met exclusively due to MPCA [Endline] broken down by households_with_pregnant_women on the admin of Overall perc")</f>
        <v>Fulfillment level of 'Food' need met exclusively due to MPCA [Endline] broken down by households_with_pregnant_women on the admin of Overall perc</v>
      </c>
      <c r="D1445" s="19" t="s">
        <v>52</v>
      </c>
      <c r="E1445" s="21">
        <v>728</v>
      </c>
    </row>
    <row r="1446" spans="2:5" x14ac:dyDescent="0.3">
      <c r="B1446" s="19" t="s">
        <v>42</v>
      </c>
      <c r="C1446" s="20" t="str">
        <f>HYPERLINK("#'Data'!A3555", "Fulfillment level of 'Personal hygiene' need met exclusively due to MPCA [Endline] broken down by households_with_pregnant_women on the admin of Overa...")</f>
        <v>Fulfillment level of 'Personal hygiene' need met exclusively due to MPCA [Endline] broken down by households_with_pregnant_women on the admin of Overa...</v>
      </c>
      <c r="D1446" s="19" t="s">
        <v>52</v>
      </c>
      <c r="E1446" s="21">
        <v>743</v>
      </c>
    </row>
    <row r="1447" spans="2:5" x14ac:dyDescent="0.3">
      <c r="B1447" s="19" t="s">
        <v>42</v>
      </c>
      <c r="C1447" s="20" t="str">
        <f>HYPERLINK("#'Data'!A3626", "Fulfillment level of 'Cleaning items' need met exclusively due to MPCA [Endline] broken down by households_with_pregnant_women on the admin of Overall...")</f>
        <v>Fulfillment level of 'Cleaning items' need met exclusively due to MPCA [Endline] broken down by households_with_pregnant_women on the admin of Overall...</v>
      </c>
      <c r="D1447" s="19" t="s">
        <v>52</v>
      </c>
      <c r="E1447" s="21">
        <v>758</v>
      </c>
    </row>
    <row r="1448" spans="2:5" x14ac:dyDescent="0.3">
      <c r="B1448" s="19" t="s">
        <v>42</v>
      </c>
      <c r="C1448" s="20" t="str">
        <f>HYPERLINK("#'Data'!A3698", "Fulfillment level of 'Non-food items' need met exclusively due to MPCA [Endline] broken down by households_with_pregnant_women on the admin of Overall...")</f>
        <v>Fulfillment level of 'Non-food items' need met exclusively due to MPCA [Endline] broken down by households_with_pregnant_women on the admin of Overall...</v>
      </c>
      <c r="D1448" s="19" t="s">
        <v>52</v>
      </c>
      <c r="E1448" s="21">
        <v>773</v>
      </c>
    </row>
    <row r="1449" spans="2:5" x14ac:dyDescent="0.3">
      <c r="B1449" s="19" t="s">
        <v>42</v>
      </c>
      <c r="C1449" s="20" t="str">
        <f>HYPERLINK("#'Data'!A3769", "Fulfillment level of 'Clothing and shoes' need met exclusively due to MPCA [Endline] broken down by households_with_pregnant_women on the admin of Ove...")</f>
        <v>Fulfillment level of 'Clothing and shoes' need met exclusively due to MPCA [Endline] broken down by households_with_pregnant_women on the admin of Ove...</v>
      </c>
      <c r="D1449" s="19" t="s">
        <v>52</v>
      </c>
      <c r="E1449" s="21">
        <v>788</v>
      </c>
    </row>
    <row r="1450" spans="2:5" x14ac:dyDescent="0.3">
      <c r="B1450" s="19" t="s">
        <v>42</v>
      </c>
      <c r="C1450" s="20" t="str">
        <f>HYPERLINK("#'Data'!A3842", "Fulfillment level of 'Heating fuel' need met exclusively due to MPCA [Endline] broken down by households_with_pregnant_women on the admin of Overall p...")</f>
        <v>Fulfillment level of 'Heating fuel' need met exclusively due to MPCA [Endline] broken down by households_with_pregnant_women on the admin of Overall p...</v>
      </c>
      <c r="D1450" s="19" t="s">
        <v>52</v>
      </c>
      <c r="E1450" s="21">
        <v>803</v>
      </c>
    </row>
    <row r="1451" spans="2:5" x14ac:dyDescent="0.3">
      <c r="B1451" s="19" t="s">
        <v>42</v>
      </c>
      <c r="C1451" s="20" t="str">
        <f>HYPERLINK("#'Data'!A3914", "Fulfillment level of 'Safe water' need met exclusively due to MPCA [Endline] broken down by households_with_pregnant_women on the admin of Overall per...")</f>
        <v>Fulfillment level of 'Safe water' need met exclusively due to MPCA [Endline] broken down by households_with_pregnant_women on the admin of Overall per...</v>
      </c>
      <c r="D1451" s="19" t="s">
        <v>52</v>
      </c>
      <c r="E1451" s="21">
        <v>818</v>
      </c>
    </row>
    <row r="1452" spans="2:5" x14ac:dyDescent="0.3">
      <c r="B1452" s="19" t="s">
        <v>42</v>
      </c>
      <c r="C1452" s="20" t="str">
        <f>HYPERLINK("#'Data'!A3979", "Fulfillment level of 'Utilities' need met exclusively due to MPCA [Endline] broken down by households_with_pregnant_women on the admin of Overall perc")</f>
        <v>Fulfillment level of 'Utilities' need met exclusively due to MPCA [Endline] broken down by households_with_pregnant_women on the admin of Overall perc</v>
      </c>
      <c r="D1452" s="19" t="s">
        <v>52</v>
      </c>
      <c r="E1452" s="21">
        <v>833</v>
      </c>
    </row>
    <row r="1453" spans="2:5" x14ac:dyDescent="0.3">
      <c r="B1453" s="19" t="s">
        <v>42</v>
      </c>
      <c r="C1453" s="20" t="str">
        <f>HYPERLINK("#'Data'!A4051", "Fulfillment level of 'Water supply' need met exclusively due to MPCA [Endline] broken down by households_with_pregnant_women on the admin of Overall p...")</f>
        <v>Fulfillment level of 'Water supply' need met exclusively due to MPCA [Endline] broken down by households_with_pregnant_women on the admin of Overall p...</v>
      </c>
      <c r="D1453" s="19" t="s">
        <v>52</v>
      </c>
      <c r="E1453" s="21">
        <v>848</v>
      </c>
    </row>
    <row r="1454" spans="2:5" x14ac:dyDescent="0.3">
      <c r="B1454" s="19" t="s">
        <v>42</v>
      </c>
      <c r="C1454" s="20" t="str">
        <f>HYPERLINK("#'Data'!A4120", "Fulfillment level of 'Rent' need met exclusively due to MPCA [Endline] broken down by households_with_pregnant_women on the admin of Overall perc")</f>
        <v>Fulfillment level of 'Rent' need met exclusively due to MPCA [Endline] broken down by households_with_pregnant_women on the admin of Overall perc</v>
      </c>
      <c r="D1454" s="19" t="s">
        <v>52</v>
      </c>
      <c r="E1454" s="21">
        <v>863</v>
      </c>
    </row>
    <row r="1455" spans="2:5" x14ac:dyDescent="0.3">
      <c r="B1455" s="19" t="s">
        <v>42</v>
      </c>
      <c r="C1455" s="20" t="str">
        <f>HYPERLINK("#'Data'!A4189", "Fulfillment level of 'Assistive products' need met exclusively due to MPCA [Endline] broken down by households_with_pregnant_women on the admin of Ove...")</f>
        <v>Fulfillment level of 'Assistive products' need met exclusively due to MPCA [Endline] broken down by households_with_pregnant_women on the admin of Ove...</v>
      </c>
      <c r="D1455" s="19" t="s">
        <v>52</v>
      </c>
      <c r="E1455" s="21">
        <v>878</v>
      </c>
    </row>
    <row r="1456" spans="2:5" x14ac:dyDescent="0.3">
      <c r="B1456" s="19" t="s">
        <v>42</v>
      </c>
      <c r="C1456" s="20" t="str">
        <f>HYPERLINK("#'Data'!A4251", "Fulfillment level of 'Medication' need met exclusively due to MPCA [Endline] broken down by households_with_pregnant_women on the admin of Overall per...")</f>
        <v>Fulfillment level of 'Medication' need met exclusively due to MPCA [Endline] broken down by households_with_pregnant_women on the admin of Overall per...</v>
      </c>
      <c r="D1456" s="19" t="s">
        <v>52</v>
      </c>
      <c r="E1456" s="21">
        <v>893</v>
      </c>
    </row>
    <row r="1457" spans="2:5" x14ac:dyDescent="0.3">
      <c r="B1457" s="19" t="s">
        <v>42</v>
      </c>
      <c r="C1457" s="20" t="str">
        <f>HYPERLINK("#'Data'!A4323", "Fulfillment level of 'Agricultural inputs' need met exclusively due to MPCA [Endline] broken down by households_with_pregnant_women on the admin of Ov...")</f>
        <v>Fulfillment level of 'Agricultural inputs' need met exclusively due to MPCA [Endline] broken down by households_with_pregnant_women on the admin of Ov...</v>
      </c>
      <c r="D1457" s="19" t="s">
        <v>52</v>
      </c>
      <c r="E1457" s="21">
        <v>908</v>
      </c>
    </row>
    <row r="1458" spans="2:5" x14ac:dyDescent="0.3">
      <c r="B1458" s="19" t="s">
        <v>42</v>
      </c>
      <c r="C1458" s="20" t="str">
        <f>HYPERLINK("#'Data'!A4390", "Fulfillment level of 'Shelter maintenance' need met exclusively due to MPCA [Endline] broken down by households_with_pregnant_women on the admin of Ov...")</f>
        <v>Fulfillment level of 'Shelter maintenance' need met exclusively due to MPCA [Endline] broken down by households_with_pregnant_women on the admin of Ov...</v>
      </c>
      <c r="D1458" s="19" t="s">
        <v>52</v>
      </c>
      <c r="E1458" s="21">
        <v>923</v>
      </c>
    </row>
    <row r="1459" spans="2:5" x14ac:dyDescent="0.3">
      <c r="B1459" s="19" t="s">
        <v>42</v>
      </c>
      <c r="C1459" s="20" t="str">
        <f>HYPERLINK("#'Data'!A4461", "Fulfillment level of 'Future savings' need met exclusively due to MPCA [Endline] broken down by households_with_pregnant_women on the admin of Overall...")</f>
        <v>Fulfillment level of 'Future savings' need met exclusively due to MPCA [Endline] broken down by households_with_pregnant_women on the admin of Overall...</v>
      </c>
      <c r="D1459" s="19" t="s">
        <v>52</v>
      </c>
      <c r="E1459" s="21">
        <v>938</v>
      </c>
    </row>
    <row r="1460" spans="2:5" x14ac:dyDescent="0.3">
      <c r="B1460" s="19" t="s">
        <v>42</v>
      </c>
      <c r="C1460" s="20" t="str">
        <f>HYPERLINK("#'Data'!A4530", "Fulfillment level of 'Shared with others' need met exclusively due to MPCA [Endline] broken down by households_with_pregnant_women on the admin of Ove...")</f>
        <v>Fulfillment level of 'Shared with others' need met exclusively due to MPCA [Endline] broken down by households_with_pregnant_women on the admin of Ove...</v>
      </c>
      <c r="D1460" s="19" t="s">
        <v>52</v>
      </c>
      <c r="E1460" s="21">
        <v>953</v>
      </c>
    </row>
    <row r="1461" spans="2:5" x14ac:dyDescent="0.3">
      <c r="B1461" s="19" t="s">
        <v>42</v>
      </c>
      <c r="C1461" s="20" t="str">
        <f>HYPERLINK("#'Data'!A4598", "Fulfillment level of 'Transportation' need met exclusively due to MPCA [Endline] broken down by households_with_pregnant_women on the admin of Overall...")</f>
        <v>Fulfillment level of 'Transportation' need met exclusively due to MPCA [Endline] broken down by households_with_pregnant_women on the admin of Overall...</v>
      </c>
      <c r="D1461" s="19" t="s">
        <v>52</v>
      </c>
      <c r="E1461" s="21">
        <v>968</v>
      </c>
    </row>
    <row r="1462" spans="2:5" x14ac:dyDescent="0.3">
      <c r="B1462" s="19" t="s">
        <v>42</v>
      </c>
      <c r="C1462" s="20" t="str">
        <f>HYPERLINK("#'Data'!A4667", "Fulfillment level of 'Communication' need met exclusively due to MPCA [Endline] broken down by households_with_pregnant_women on the admin of Overall ...")</f>
        <v>Fulfillment level of 'Communication' need met exclusively due to MPCA [Endline] broken down by households_with_pregnant_women on the admin of Overall ...</v>
      </c>
      <c r="D1462" s="19" t="s">
        <v>52</v>
      </c>
      <c r="E1462" s="21">
        <v>983</v>
      </c>
    </row>
    <row r="1463" spans="2:5" x14ac:dyDescent="0.3">
      <c r="B1463" s="19" t="s">
        <v>42</v>
      </c>
      <c r="C1463" s="20" t="str">
        <f>HYPERLINK("#'Data'!A4738", "Fulfillment level of 'Education materials' need met exclusively due to MPCA [Endline] broken down by households_with_pregnant_women on the admin of Ov...")</f>
        <v>Fulfillment level of 'Education materials' need met exclusively due to MPCA [Endline] broken down by households_with_pregnant_women on the admin of Ov...</v>
      </c>
      <c r="D1463" s="19" t="s">
        <v>52</v>
      </c>
      <c r="E1463" s="21">
        <v>998</v>
      </c>
    </row>
    <row r="1464" spans="2:5" x14ac:dyDescent="0.3">
      <c r="B1464" s="19" t="s">
        <v>42</v>
      </c>
      <c r="C1464" s="20" t="str">
        <f>HYPERLINK("#'Data'!A4810", "Estimated percentage of MPCA spent on each category of goods and services [Endline] broken down by households_with_pregnant_women on the admin of Over...")</f>
        <v>Estimated percentage of MPCA spent on each category of goods and services [Endline] broken down by households_with_pregnant_women on the admin of Over...</v>
      </c>
      <c r="D1464" s="19" t="s">
        <v>52</v>
      </c>
      <c r="E1464" s="21">
        <v>1013</v>
      </c>
    </row>
    <row r="1465" spans="2:5" x14ac:dyDescent="0.3">
      <c r="B1465" s="19" t="s">
        <v>42</v>
      </c>
      <c r="C1465" s="20" t="str">
        <f>HYPERLINK("#'Data'!A4883", "Estimated percentage of MPCA spent on 'Other' category [Endline] broken down by households_with_pregnant_women on the admin of Overall mean")</f>
        <v>Estimated percentage of MPCA spent on 'Other' category [Endline] broken down by households_with_pregnant_women on the admin of Overall mean</v>
      </c>
      <c r="D1465" s="19" t="s">
        <v>52</v>
      </c>
      <c r="E1465" s="21">
        <v>1028</v>
      </c>
    </row>
    <row r="1466" spans="2:5" x14ac:dyDescent="0.3">
      <c r="B1466" s="19" t="s">
        <v>42</v>
      </c>
      <c r="C1466" s="20" t="str">
        <f>HYPERLINK("#'Data'!A4956", "Estimated percentage of MPCA spent on 'Food' category [Endline] broken down by households_with_pregnant_women on the admin of Overall mean")</f>
        <v>Estimated percentage of MPCA spent on 'Food' category [Endline] broken down by households_with_pregnant_women on the admin of Overall mean</v>
      </c>
      <c r="D1466" s="19" t="s">
        <v>52</v>
      </c>
      <c r="E1466" s="21">
        <v>1043</v>
      </c>
    </row>
    <row r="1467" spans="2:5" x14ac:dyDescent="0.3">
      <c r="B1467" s="19" t="s">
        <v>42</v>
      </c>
      <c r="C1467" s="20" t="str">
        <f>HYPERLINK("#'Data'!A5027", "Estimated percentage of MPCA spent on 'Personal hygiene' category [Endline] broken down by households_with_pregnant_women on the admin of Overall mean")</f>
        <v>Estimated percentage of MPCA spent on 'Personal hygiene' category [Endline] broken down by households_with_pregnant_women on the admin of Overall mean</v>
      </c>
      <c r="D1467" s="19" t="s">
        <v>52</v>
      </c>
      <c r="E1467" s="21">
        <v>1058</v>
      </c>
    </row>
    <row r="1468" spans="2:5" x14ac:dyDescent="0.3">
      <c r="B1468" s="19" t="s">
        <v>42</v>
      </c>
      <c r="C1468" s="20" t="str">
        <f>HYPERLINK("#'Data'!A5099", "Estimated percentage of MPCA spent on 'Cleaning items' category [Endline] broken down by households_with_pregnant_women on the admin of Overall mean")</f>
        <v>Estimated percentage of MPCA spent on 'Cleaning items' category [Endline] broken down by households_with_pregnant_women on the admin of Overall mean</v>
      </c>
      <c r="D1468" s="19" t="s">
        <v>52</v>
      </c>
      <c r="E1468" s="21">
        <v>1073</v>
      </c>
    </row>
    <row r="1469" spans="2:5" x14ac:dyDescent="0.3">
      <c r="B1469" s="19" t="s">
        <v>42</v>
      </c>
      <c r="C1469" s="20" t="str">
        <f>HYPERLINK("#'Data'!A5171", "Estimated percentage of MPCA spent on 'Non-food items' category [Endline] broken down by households_with_pregnant_women on the admin of Overall mean")</f>
        <v>Estimated percentage of MPCA spent on 'Non-food items' category [Endline] broken down by households_with_pregnant_women on the admin of Overall mean</v>
      </c>
      <c r="D1469" s="19" t="s">
        <v>52</v>
      </c>
      <c r="E1469" s="21">
        <v>1088</v>
      </c>
    </row>
    <row r="1470" spans="2:5" x14ac:dyDescent="0.3">
      <c r="B1470" s="19" t="s">
        <v>42</v>
      </c>
      <c r="C1470" s="20" t="str">
        <f>HYPERLINK("#'Data'!A5243", "Estimated percentage of MPCA spent on 'Clothing and shoes' category [Endline] broken down by households_with_pregnant_women on the admin of Overall me...")</f>
        <v>Estimated percentage of MPCA spent on 'Clothing and shoes' category [Endline] broken down by households_with_pregnant_women on the admin of Overall me...</v>
      </c>
      <c r="D1470" s="19" t="s">
        <v>52</v>
      </c>
      <c r="E1470" s="21">
        <v>1103</v>
      </c>
    </row>
    <row r="1471" spans="2:5" x14ac:dyDescent="0.3">
      <c r="B1471" s="19" t="s">
        <v>42</v>
      </c>
      <c r="C1471" s="20" t="str">
        <f>HYPERLINK("#'Data'!A5316", "Estimated percentage of MPCA spent on 'Heating fuel' category [Endline] broken down by households_with_pregnant_women on the admin of Overall mean")</f>
        <v>Estimated percentage of MPCA spent on 'Heating fuel' category [Endline] broken down by households_with_pregnant_women on the admin of Overall mean</v>
      </c>
      <c r="D1471" s="19" t="s">
        <v>52</v>
      </c>
      <c r="E1471" s="21">
        <v>1118</v>
      </c>
    </row>
    <row r="1472" spans="2:5" x14ac:dyDescent="0.3">
      <c r="B1472" s="19" t="s">
        <v>42</v>
      </c>
      <c r="C1472" s="20" t="str">
        <f>HYPERLINK("#'Data'!A5388", "Estimated percentage of MPCA spent on 'Safe water' category [Endline] broken down by households_with_pregnant_women on the admin of Overall mean")</f>
        <v>Estimated percentage of MPCA spent on 'Safe water' category [Endline] broken down by households_with_pregnant_women on the admin of Overall mean</v>
      </c>
      <c r="D1472" s="19" t="s">
        <v>52</v>
      </c>
      <c r="E1472" s="21">
        <v>1133</v>
      </c>
    </row>
    <row r="1473" spans="2:5" x14ac:dyDescent="0.3">
      <c r="B1473" s="19" t="s">
        <v>42</v>
      </c>
      <c r="C1473" s="20" t="str">
        <f>HYPERLINK("#'Data'!A5453", "Estimated percentage of MPCA spent on 'Utilities' category [Endline] broken down by households_with_pregnant_women on the admin of Overall mean")</f>
        <v>Estimated percentage of MPCA spent on 'Utilities' category [Endline] broken down by households_with_pregnant_women on the admin of Overall mean</v>
      </c>
      <c r="D1473" s="19" t="s">
        <v>52</v>
      </c>
      <c r="E1473" s="21">
        <v>1148</v>
      </c>
    </row>
    <row r="1474" spans="2:5" x14ac:dyDescent="0.3">
      <c r="B1474" s="19" t="s">
        <v>42</v>
      </c>
      <c r="C1474" s="20" t="str">
        <f>HYPERLINK("#'Data'!A5525", "Estimated percentage of MPCA spent on 'Water supply' category [Endline] broken down by households_with_pregnant_women on the admin of Overall mean")</f>
        <v>Estimated percentage of MPCA spent on 'Water supply' category [Endline] broken down by households_with_pregnant_women on the admin of Overall mean</v>
      </c>
      <c r="D1474" s="19" t="s">
        <v>52</v>
      </c>
      <c r="E1474" s="21">
        <v>1163</v>
      </c>
    </row>
    <row r="1475" spans="2:5" x14ac:dyDescent="0.3">
      <c r="B1475" s="19" t="s">
        <v>42</v>
      </c>
      <c r="C1475" s="20" t="str">
        <f>HYPERLINK("#'Data'!A5594", "Estimated percentage of MPCA spent on 'Rent' category [Endline] broken down by households_with_pregnant_women on the admin of Overall mean")</f>
        <v>Estimated percentage of MPCA spent on 'Rent' category [Endline] broken down by households_with_pregnant_women on the admin of Overall mean</v>
      </c>
      <c r="D1475" s="19" t="s">
        <v>52</v>
      </c>
      <c r="E1475" s="21">
        <v>1178</v>
      </c>
    </row>
    <row r="1476" spans="2:5" x14ac:dyDescent="0.3">
      <c r="B1476" s="19" t="s">
        <v>42</v>
      </c>
      <c r="C1476" s="20" t="str">
        <f>HYPERLINK("#'Data'!A5663", "Estimated percentage of MPCA spent on 'Assistive products' category [Endline] broken down by households_with_pregnant_women on the admin of Overall me...")</f>
        <v>Estimated percentage of MPCA spent on 'Assistive products' category [Endline] broken down by households_with_pregnant_women on the admin of Overall me...</v>
      </c>
      <c r="D1476" s="19" t="s">
        <v>52</v>
      </c>
      <c r="E1476" s="21">
        <v>1193</v>
      </c>
    </row>
    <row r="1477" spans="2:5" x14ac:dyDescent="0.3">
      <c r="B1477" s="19" t="s">
        <v>42</v>
      </c>
      <c r="C1477" s="20" t="str">
        <f>HYPERLINK("#'Data'!A5725", "Estimated percentage of MPCA spent on 'Medication' category [Endline] broken down by households_with_pregnant_women on the admin of Overall mean")</f>
        <v>Estimated percentage of MPCA spent on 'Medication' category [Endline] broken down by households_with_pregnant_women on the admin of Overall mean</v>
      </c>
      <c r="D1477" s="19" t="s">
        <v>52</v>
      </c>
      <c r="E1477" s="21">
        <v>1208</v>
      </c>
    </row>
    <row r="1478" spans="2:5" x14ac:dyDescent="0.3">
      <c r="B1478" s="19" t="s">
        <v>42</v>
      </c>
      <c r="C1478" s="20" t="str">
        <f>HYPERLINK("#'Data'!A5798", "Estimated percentage of MPCA spent on 'Agricultural inputs' category [Endline] broken down by households_with_pregnant_women on the admin of Overall m...")</f>
        <v>Estimated percentage of MPCA spent on 'Agricultural inputs' category [Endline] broken down by households_with_pregnant_women on the admin of Overall m...</v>
      </c>
      <c r="D1478" s="19" t="s">
        <v>52</v>
      </c>
      <c r="E1478" s="21">
        <v>1223</v>
      </c>
    </row>
    <row r="1479" spans="2:5" x14ac:dyDescent="0.3">
      <c r="B1479" s="19" t="s">
        <v>42</v>
      </c>
      <c r="C1479" s="20" t="str">
        <f>HYPERLINK("#'Data'!A5867", "Estimated percentage of MPCA spent on 'Shelter maintenance' category [Endline] broken down by households_with_pregnant_women on the admin of Overall m...")</f>
        <v>Estimated percentage of MPCA spent on 'Shelter maintenance' category [Endline] broken down by households_with_pregnant_women on the admin of Overall m...</v>
      </c>
      <c r="D1479" s="19" t="s">
        <v>52</v>
      </c>
      <c r="E1479" s="21">
        <v>1238</v>
      </c>
    </row>
    <row r="1480" spans="2:5" x14ac:dyDescent="0.3">
      <c r="B1480" s="19" t="s">
        <v>42</v>
      </c>
      <c r="C1480" s="20" t="str">
        <f>HYPERLINK("#'Data'!A5938", "Estimated percentage of MPCA spent on 'Future savings' category [Endline] broken down by households_with_pregnant_women on the admin of Overall mean")</f>
        <v>Estimated percentage of MPCA spent on 'Future savings' category [Endline] broken down by households_with_pregnant_women on the admin of Overall mean</v>
      </c>
      <c r="D1480" s="19" t="s">
        <v>52</v>
      </c>
      <c r="E1480" s="21">
        <v>1253</v>
      </c>
    </row>
    <row r="1481" spans="2:5" x14ac:dyDescent="0.3">
      <c r="B1481" s="19" t="s">
        <v>42</v>
      </c>
      <c r="C1481" s="20" t="str">
        <f>HYPERLINK("#'Data'!A6008", "Estimated percentage of MPCA spent on 'Shared with others' category [Endline] broken down by households_with_pregnant_women on the admin of Overall me...")</f>
        <v>Estimated percentage of MPCA spent on 'Shared with others' category [Endline] broken down by households_with_pregnant_women on the admin of Overall me...</v>
      </c>
      <c r="D1481" s="19" t="s">
        <v>52</v>
      </c>
      <c r="E1481" s="21">
        <v>1268</v>
      </c>
    </row>
    <row r="1482" spans="2:5" x14ac:dyDescent="0.3">
      <c r="B1482" s="19" t="s">
        <v>42</v>
      </c>
      <c r="C1482" s="20" t="str">
        <f>HYPERLINK("#'Data'!A6076", "Estimated percentage of MPCA spent on 'Transportation' category [Endline] broken down by households_with_pregnant_women on the admin of Overall mean")</f>
        <v>Estimated percentage of MPCA spent on 'Transportation' category [Endline] broken down by households_with_pregnant_women on the admin of Overall mean</v>
      </c>
      <c r="D1482" s="19" t="s">
        <v>52</v>
      </c>
      <c r="E1482" s="21">
        <v>1283</v>
      </c>
    </row>
    <row r="1483" spans="2:5" x14ac:dyDescent="0.3">
      <c r="B1483" s="19" t="s">
        <v>42</v>
      </c>
      <c r="C1483" s="20" t="str">
        <f>HYPERLINK("#'Data'!A6147", "Estimated percentage of MPCA spent on 'Communication' category [Endline] broken down by households_with_pregnant_women on the admin of Overall mean")</f>
        <v>Estimated percentage of MPCA spent on 'Communication' category [Endline] broken down by households_with_pregnant_women on the admin of Overall mean</v>
      </c>
      <c r="D1483" s="19" t="s">
        <v>52</v>
      </c>
      <c r="E1483" s="21">
        <v>1298</v>
      </c>
    </row>
    <row r="1484" spans="2:5" x14ac:dyDescent="0.3">
      <c r="B1484" s="19" t="s">
        <v>42</v>
      </c>
      <c r="C1484" s="20" t="str">
        <f>HYPERLINK("#'Data'!A6218", "Estimated percentage of MPCA spent on 'Education materials' category [Endline] broken down by households_with_pregnant_women on the admin of Overall m...")</f>
        <v>Estimated percentage of MPCA spent on 'Education materials' category [Endline] broken down by households_with_pregnant_women on the admin of Overall m...</v>
      </c>
      <c r="D1484" s="19" t="s">
        <v>52</v>
      </c>
      <c r="E1484" s="21">
        <v>1313</v>
      </c>
    </row>
    <row r="1485" spans="2:5" x14ac:dyDescent="0.3">
      <c r="B1485" s="19" t="s">
        <v>42</v>
      </c>
      <c r="C1485" s="20" t="str">
        <f>HYPERLINK("#'Data'!A6290", "Additional priority needs potentially met if MPCA duration extended to 6 months [Endline] broken down by households_with_pregnant_women on the admin o...")</f>
        <v>Additional priority needs potentially met if MPCA duration extended to 6 months [Endline] broken down by households_with_pregnant_women on the admin o...</v>
      </c>
      <c r="D1485" s="19" t="s">
        <v>52</v>
      </c>
      <c r="E1485" s="21">
        <v>1328</v>
      </c>
    </row>
    <row r="1486" spans="2:5" x14ac:dyDescent="0.3">
      <c r="B1486" s="19" t="s">
        <v>42</v>
      </c>
      <c r="C1486" s="20" t="str">
        <f>HYPERLINK("#'Data'!A6364", "Additional priority needs potentially met with doubled MPCA amount over past 3 months [Endline] broken down by households_with_pregnant_women on the a...")</f>
        <v>Additional priority needs potentially met with doubled MPCA amount over past 3 months [Endline] broken down by households_with_pregnant_women on the a...</v>
      </c>
      <c r="D1486" s="19" t="s">
        <v>52</v>
      </c>
      <c r="E1486" s="21">
        <v>1343</v>
      </c>
    </row>
    <row r="1487" spans="2:5" x14ac:dyDescent="0.3">
      <c r="B1487" s="19" t="s">
        <v>42</v>
      </c>
      <c r="C1487" s="20" t="str">
        <f>HYPERLINK("#'Data'!A6438", "Needs that MPCA is considered insufficient to address [Baseline] broken down by households_with_pregnant_women on the admin of Overall perc")</f>
        <v>Needs that MPCA is considered insufficient to address [Baseline] broken down by households_with_pregnant_women on the admin of Overall perc</v>
      </c>
      <c r="D1487" s="19" t="s">
        <v>52</v>
      </c>
      <c r="E1487" s="21">
        <v>1358</v>
      </c>
    </row>
    <row r="1488" spans="2:5" x14ac:dyDescent="0.3">
      <c r="B1488" s="19" t="s">
        <v>42</v>
      </c>
      <c r="C1488" s="20" t="str">
        <f>HYPERLINK("#'Data'!A6512", "Needs that MPCA is considered insufficient to address [Endline] broken down by households_with_pregnant_women on the admin of Overall perc")</f>
        <v>Needs that MPCA is considered insufficient to address [Endline] broken down by households_with_pregnant_women on the admin of Overall perc</v>
      </c>
      <c r="D1488" s="19" t="s">
        <v>52</v>
      </c>
      <c r="E1488" s="21">
        <v>1373</v>
      </c>
    </row>
    <row r="1489" spans="2:5" x14ac:dyDescent="0.3">
      <c r="B1489" s="19" t="s">
        <v>42</v>
      </c>
      <c r="C1489" s="20" t="str">
        <f>HYPERLINK("#'Data'!A6586", "Preferred type of assistance for meeting current household needs [Baseline] broken down by households_with_pregnant_women on the admin of Overall perc")</f>
        <v>Preferred type of assistance for meeting current household needs [Baseline] broken down by households_with_pregnant_women on the admin of Overall perc</v>
      </c>
      <c r="D1489" s="19" t="s">
        <v>52</v>
      </c>
      <c r="E1489" s="21">
        <v>1388</v>
      </c>
    </row>
    <row r="1490" spans="2:5" hidden="1" x14ac:dyDescent="0.3">
      <c r="B1490" s="19" t="s">
        <v>40</v>
      </c>
      <c r="C1490" s="20" t="str">
        <f>HYPERLINK("#'Data'!A6660", "Preferred type of assistance for meeting current household needs [Endline] broken down by households_with_pregnant_women on the admin of Overall perc")</f>
        <v>Preferred type of assistance for meeting current household needs [Endline] broken down by households_with_pregnant_women on the admin of Overall perc</v>
      </c>
      <c r="D1490" s="19" t="s">
        <v>52</v>
      </c>
      <c r="E1490" s="21">
        <v>1403</v>
      </c>
    </row>
    <row r="1491" spans="2:5" x14ac:dyDescent="0.3">
      <c r="B1491" s="19" t="s">
        <v>42</v>
      </c>
      <c r="C1491" s="20" t="str">
        <f>HYPERLINK("#'Data'!A6734", "Remaining needs after MPCA that require additional cash or in-kind assistance [Endline] broken down by households_with_pregnant_women on the admin of ...")</f>
        <v>Remaining needs after MPCA that require additional cash or in-kind assistance [Endline] broken down by households_with_pregnant_women on the admin of ...</v>
      </c>
      <c r="D1491" s="19" t="s">
        <v>52</v>
      </c>
      <c r="E1491" s="21">
        <v>1418</v>
      </c>
    </row>
    <row r="1492" spans="2:5" hidden="1" x14ac:dyDescent="0.3">
      <c r="B1492" s="19" t="s">
        <v>40</v>
      </c>
      <c r="C1492" s="20" t="str">
        <f>HYPERLINK("#'Data'!A6808", "Remaining needs after MPCA that require additional cash or in-kind assistance [Endline] broken down by households_with_pregnant_women on the admin of ...")</f>
        <v>Remaining needs after MPCA that require additional cash or in-kind assistance [Endline] broken down by households_with_pregnant_women on the admin of ...</v>
      </c>
      <c r="D1492" s="19" t="s">
        <v>52</v>
      </c>
      <c r="E1492" s="21">
        <v>1433</v>
      </c>
    </row>
    <row r="1493" spans="2:5" x14ac:dyDescent="0.3">
      <c r="B1493" s="19" t="s">
        <v>42</v>
      </c>
      <c r="C1493" s="20" t="str">
        <f>HYPERLINK("#'Data'!A6882", "Amount of multi-purpose cash assistance received over last 3 months in UAH [Endline] broken down by households_with_pregnant_women on the admin of Ove...")</f>
        <v>Amount of multi-purpose cash assistance received over last 3 months in UAH [Endline] broken down by households_with_pregnant_women on the admin of Ove...</v>
      </c>
      <c r="D1493" s="19" t="s">
        <v>52</v>
      </c>
      <c r="E1493" s="21">
        <v>1448</v>
      </c>
    </row>
    <row r="1494" spans="2:5" x14ac:dyDescent="0.3">
      <c r="B1494" s="19" t="s">
        <v>42</v>
      </c>
      <c r="C1494" s="20" t="str">
        <f>HYPERLINK("#'Data'!A6956", "Amount of multi-purpose cash assistance received over last 3 months per hh member in UAH [Endline] broken down by households_with_pregnant_women on th...")</f>
        <v>Amount of multi-purpose cash assistance received over last 3 months per hh member in UAH [Endline] broken down by households_with_pregnant_women on th...</v>
      </c>
      <c r="D1494" s="19" t="s">
        <v>52</v>
      </c>
      <c r="E1494" s="21">
        <v>1463</v>
      </c>
    </row>
    <row r="1495" spans="2:5" x14ac:dyDescent="0.3">
      <c r="B1495" s="19" t="s">
        <v>42</v>
      </c>
      <c r="C1495" s="20" t="str">
        <f>HYPERLINK("#'Data'!A7030", "Other types of humanitarian aid received in the previous three months [Endline] broken down by households_with_pregnant_women on the admin of Overall ...")</f>
        <v>Other types of humanitarian aid received in the previous three months [Endline] broken down by households_with_pregnant_women on the admin of Overall ...</v>
      </c>
      <c r="D1495" s="19" t="s">
        <v>52</v>
      </c>
      <c r="E1495" s="21">
        <v>1478</v>
      </c>
    </row>
    <row r="1496" spans="2:5" x14ac:dyDescent="0.3">
      <c r="B1496" s="19" t="s">
        <v>42</v>
      </c>
      <c r="C1496" s="20" t="str">
        <f>HYPERLINK("#'Data'!A7102", "Estimated percentage of total household expenditures spent on 'Other' (past month, excl. humanitarian aid) [Baseline] broken down by households_with_p...")</f>
        <v>Estimated percentage of total household expenditures spent on 'Other' (past month, excl. humanitarian aid) [Baseline] broken down by households_with_p...</v>
      </c>
      <c r="D1496" s="19" t="s">
        <v>52</v>
      </c>
      <c r="E1496" s="21">
        <v>1493</v>
      </c>
    </row>
    <row r="1497" spans="2:5" x14ac:dyDescent="0.3">
      <c r="B1497" s="19" t="s">
        <v>42</v>
      </c>
      <c r="C1497" s="20" t="str">
        <f>HYPERLINK("#'Data'!A7170", "Estimated percentage of total household expenditures spent on 'Food' (past month, excl. humanitarian aid) [Baseline] broken down by households_with_pr...")</f>
        <v>Estimated percentage of total household expenditures spent on 'Food' (past month, excl. humanitarian aid) [Baseline] broken down by households_with_pr...</v>
      </c>
      <c r="D1497" s="19" t="s">
        <v>52</v>
      </c>
      <c r="E1497" s="21">
        <v>1508</v>
      </c>
    </row>
    <row r="1498" spans="2:5" x14ac:dyDescent="0.3">
      <c r="B1498" s="19" t="s">
        <v>42</v>
      </c>
      <c r="C1498" s="20" t="str">
        <f>HYPERLINK("#'Data'!A7244", "Estimated percentage of total household expenditures spent on 'Personal hygiene' (past month, excl. humanitarian aid) [Baseline] broken down by househ...")</f>
        <v>Estimated percentage of total household expenditures spent on 'Personal hygiene' (past month, excl. humanitarian aid) [Baseline] broken down by househ...</v>
      </c>
      <c r="D1498" s="19" t="s">
        <v>52</v>
      </c>
      <c r="E1498" s="21">
        <v>1523</v>
      </c>
    </row>
    <row r="1499" spans="2:5" hidden="1" x14ac:dyDescent="0.3">
      <c r="B1499" s="19" t="s">
        <v>40</v>
      </c>
      <c r="C1499" s="20" t="str">
        <f>HYPERLINK("#'Data'!A7317", "Estimated percentage of total household expenditures spent on 'Cleaning items' (past month, excl. humanitarian aid) [Baseline] broken down by househol...")</f>
        <v>Estimated percentage of total household expenditures spent on 'Cleaning items' (past month, excl. humanitarian aid) [Baseline] broken down by househol...</v>
      </c>
      <c r="D1499" s="19" t="s">
        <v>52</v>
      </c>
      <c r="E1499" s="21">
        <v>1538</v>
      </c>
    </row>
    <row r="1500" spans="2:5" hidden="1" x14ac:dyDescent="0.3">
      <c r="B1500" s="19" t="s">
        <v>40</v>
      </c>
      <c r="C1500" s="20" t="str">
        <f>HYPERLINK("#'Data'!A7389", "Estimated percentage of total household expenditures spent on 'Non-food items' (past month, excl. humanitarian aid) [Baseline] broken down by househol...")</f>
        <v>Estimated percentage of total household expenditures spent on 'Non-food items' (past month, excl. humanitarian aid) [Baseline] broken down by househol...</v>
      </c>
      <c r="D1500" s="19" t="s">
        <v>52</v>
      </c>
      <c r="E1500" s="21">
        <v>1553</v>
      </c>
    </row>
    <row r="1501" spans="2:5" hidden="1" x14ac:dyDescent="0.3">
      <c r="B1501" s="19" t="s">
        <v>40</v>
      </c>
      <c r="C1501" s="20" t="str">
        <f>HYPERLINK("#'Data'!A7460", "Estimated percentage of total household expenditures spent on 'Clothing and shoes' (past month, excl. humanitarian aid) [Baseline] broken down by hous...")</f>
        <v>Estimated percentage of total household expenditures spent on 'Clothing and shoes' (past month, excl. humanitarian aid) [Baseline] broken down by hous...</v>
      </c>
      <c r="D1501" s="19" t="s">
        <v>52</v>
      </c>
      <c r="E1501" s="21">
        <v>1568</v>
      </c>
    </row>
    <row r="1502" spans="2:5" hidden="1" x14ac:dyDescent="0.3">
      <c r="B1502" s="19" t="s">
        <v>40</v>
      </c>
      <c r="C1502" s="20" t="str">
        <f>HYPERLINK("#'Data'!A7532", "Estimated percentage of total household expenditures spent on 'Heating fuel' (past month, excl. humanitarian aid) [Baseline] broken down by households...")</f>
        <v>Estimated percentage of total household expenditures spent on 'Heating fuel' (past month, excl. humanitarian aid) [Baseline] broken down by households...</v>
      </c>
      <c r="D1502" s="19" t="s">
        <v>52</v>
      </c>
      <c r="E1502" s="21">
        <v>1583</v>
      </c>
    </row>
    <row r="1503" spans="2:5" hidden="1" x14ac:dyDescent="0.3">
      <c r="B1503" s="19" t="s">
        <v>40</v>
      </c>
      <c r="C1503" s="20" t="str">
        <f>HYPERLINK("#'Data'!A7603", "Estimated percentage of total household expenditures spent on 'Safe water' (past month, excl. humanitarian aid) [Baseline] broken down by households_w...")</f>
        <v>Estimated percentage of total household expenditures spent on 'Safe water' (past month, excl. humanitarian aid) [Baseline] broken down by households_w...</v>
      </c>
      <c r="D1503" s="19" t="s">
        <v>52</v>
      </c>
      <c r="E1503" s="21">
        <v>1598</v>
      </c>
    </row>
    <row r="1504" spans="2:5" hidden="1" x14ac:dyDescent="0.3">
      <c r="B1504" s="19" t="s">
        <v>40</v>
      </c>
      <c r="C1504" s="20" t="str">
        <f>HYPERLINK("#'Data'!A7676", "Estimated percentage of total household expenditures spent on 'Utilities' (past month, excl. humanitarian aid) [Baseline] broken down by households_wi...")</f>
        <v>Estimated percentage of total household expenditures spent on 'Utilities' (past month, excl. humanitarian aid) [Baseline] broken down by households_wi...</v>
      </c>
      <c r="D1504" s="19" t="s">
        <v>52</v>
      </c>
      <c r="E1504" s="21">
        <v>1613</v>
      </c>
    </row>
    <row r="1505" spans="2:5" hidden="1" x14ac:dyDescent="0.3">
      <c r="B1505" s="19" t="s">
        <v>40</v>
      </c>
      <c r="C1505" s="20" t="str">
        <f>HYPERLINK("#'Data'!A7749", "Estimated percentage of total household expenditures spent on 'Water supply' (past month, excl. humanitarian aid) [Baseline] broken down by households...")</f>
        <v>Estimated percentage of total household expenditures spent on 'Water supply' (past month, excl. humanitarian aid) [Baseline] broken down by households...</v>
      </c>
      <c r="D1505" s="19" t="s">
        <v>52</v>
      </c>
      <c r="E1505" s="21">
        <v>1628</v>
      </c>
    </row>
    <row r="1506" spans="2:5" hidden="1" x14ac:dyDescent="0.3">
      <c r="B1506" s="19" t="s">
        <v>40</v>
      </c>
      <c r="C1506" s="20" t="str">
        <f>HYPERLINK("#'Data'!A7820", "Estimated percentage of total household expenditures spent on 'Rent' (past month, excl. humanitarian aid) [Baseline] broken down by households_with_pr...")</f>
        <v>Estimated percentage of total household expenditures spent on 'Rent' (past month, excl. humanitarian aid) [Baseline] broken down by households_with_pr...</v>
      </c>
      <c r="D1506" s="19" t="s">
        <v>52</v>
      </c>
      <c r="E1506" s="21">
        <v>1643</v>
      </c>
    </row>
    <row r="1507" spans="2:5" hidden="1" x14ac:dyDescent="0.3">
      <c r="B1507" s="19" t="s">
        <v>40</v>
      </c>
      <c r="C1507" s="20" t="str">
        <f>HYPERLINK("#'Data'!A7889", "Estimated percentage of total household expenditures spent on 'Assistive products' (past month, excl. humanitarian aid) [Baseline] broken down by hous...")</f>
        <v>Estimated percentage of total household expenditures spent on 'Assistive products' (past month, excl. humanitarian aid) [Baseline] broken down by hous...</v>
      </c>
      <c r="D1507" s="19" t="s">
        <v>52</v>
      </c>
      <c r="E1507" s="21">
        <v>1658</v>
      </c>
    </row>
    <row r="1508" spans="2:5" hidden="1" x14ac:dyDescent="0.3">
      <c r="B1508" s="19" t="s">
        <v>40</v>
      </c>
      <c r="C1508" s="20" t="str">
        <f>HYPERLINK("#'Data'!A7961", "Estimated percentage of total household expenditures spent on 'Medication' (past month, excl. humanitarian aid) [Baseline] broken down by households_w...")</f>
        <v>Estimated percentage of total household expenditures spent on 'Medication' (past month, excl. humanitarian aid) [Baseline] broken down by households_w...</v>
      </c>
      <c r="D1508" s="19" t="s">
        <v>52</v>
      </c>
      <c r="E1508" s="21">
        <v>1673</v>
      </c>
    </row>
    <row r="1509" spans="2:5" hidden="1" x14ac:dyDescent="0.3">
      <c r="B1509" s="19" t="s">
        <v>40</v>
      </c>
      <c r="C1509" s="20" t="str">
        <f>HYPERLINK("#'Data'!A8032", "Estimated percentage of total household expenditures spent on 'Agricultural inputs' (past month, excl. humanitarian aid) [Baseline] broken down by hou...")</f>
        <v>Estimated percentage of total household expenditures spent on 'Agricultural inputs' (past month, excl. humanitarian aid) [Baseline] broken down by hou...</v>
      </c>
      <c r="D1509" s="19" t="s">
        <v>52</v>
      </c>
      <c r="E1509" s="21">
        <v>1688</v>
      </c>
    </row>
    <row r="1510" spans="2:5" hidden="1" x14ac:dyDescent="0.3">
      <c r="B1510" s="19" t="s">
        <v>40</v>
      </c>
      <c r="C1510" s="20" t="str">
        <f>HYPERLINK("#'Data'!A8102", "Estimated percentage of total household expenditures spent on 'Shelter maintenance' (past month, excl. humanitarian aid) [Baseline] broken down by hou...")</f>
        <v>Estimated percentage of total household expenditures spent on 'Shelter maintenance' (past month, excl. humanitarian aid) [Baseline] broken down by hou...</v>
      </c>
      <c r="D1510" s="19" t="s">
        <v>52</v>
      </c>
      <c r="E1510" s="21">
        <v>1703</v>
      </c>
    </row>
    <row r="1511" spans="2:5" hidden="1" x14ac:dyDescent="0.3">
      <c r="B1511" s="19" t="s">
        <v>40</v>
      </c>
      <c r="C1511" s="20" t="str">
        <f>HYPERLINK("#'Data'!A8172", "Estimated percentage of total household expenditures spent on 'Future savings' (past month, excl. humanitarian aid) [Baseline] broken down by househol...")</f>
        <v>Estimated percentage of total household expenditures spent on 'Future savings' (past month, excl. humanitarian aid) [Baseline] broken down by househol...</v>
      </c>
      <c r="D1511" s="19" t="s">
        <v>52</v>
      </c>
      <c r="E1511" s="21">
        <v>1718</v>
      </c>
    </row>
    <row r="1512" spans="2:5" hidden="1" x14ac:dyDescent="0.3">
      <c r="B1512" s="19" t="s">
        <v>40</v>
      </c>
      <c r="C1512" s="20" t="str">
        <f>HYPERLINK("#'Data'!A8240", "Estimated percentage of total household expenditures spent on 'Shared with others' (past month, excl. humanitarian aid) [Baseline] broken down by hous...")</f>
        <v>Estimated percentage of total household expenditures spent on 'Shared with others' (past month, excl. humanitarian aid) [Baseline] broken down by hous...</v>
      </c>
      <c r="D1512" s="19" t="s">
        <v>52</v>
      </c>
      <c r="E1512" s="21">
        <v>1733</v>
      </c>
    </row>
    <row r="1513" spans="2:5" hidden="1" x14ac:dyDescent="0.3">
      <c r="B1513" s="19" t="s">
        <v>40</v>
      </c>
      <c r="C1513" s="20" t="str">
        <f>HYPERLINK("#'Data'!A8311", "Estimated percentage of total household expenditures spent on 'Transportation' (past month, excl. humanitarian aid) [Baseline] broken down by househol...")</f>
        <v>Estimated percentage of total household expenditures spent on 'Transportation' (past month, excl. humanitarian aid) [Baseline] broken down by househol...</v>
      </c>
      <c r="D1513" s="19" t="s">
        <v>52</v>
      </c>
      <c r="E1513" s="21">
        <v>1748</v>
      </c>
    </row>
    <row r="1514" spans="2:5" hidden="1" x14ac:dyDescent="0.3">
      <c r="B1514" s="19" t="s">
        <v>40</v>
      </c>
      <c r="C1514" s="20" t="str">
        <f>HYPERLINK("#'Data'!A8383", "Estimated percentage of total household expenditures spent on 'Communication' (past month, excl. humanitarian aid) [Baseline] broken down by household...")</f>
        <v>Estimated percentage of total household expenditures spent on 'Communication' (past month, excl. humanitarian aid) [Baseline] broken down by household...</v>
      </c>
      <c r="D1514" s="19" t="s">
        <v>52</v>
      </c>
      <c r="E1514" s="21">
        <v>1763</v>
      </c>
    </row>
    <row r="1515" spans="2:5" hidden="1" x14ac:dyDescent="0.3">
      <c r="B1515" s="19" t="s">
        <v>40</v>
      </c>
      <c r="C1515" s="20" t="str">
        <f>HYPERLINK("#'Data'!A8456", "Estimated percentage of total household expenditures spent on 'Education materials' (past month, excl. humanitarian aid) [Baseline] broken down by hou...")</f>
        <v>Estimated percentage of total household expenditures spent on 'Education materials' (past month, excl. humanitarian aid) [Baseline] broken down by hou...</v>
      </c>
      <c r="D1515" s="19" t="s">
        <v>52</v>
      </c>
      <c r="E1515" s="21">
        <v>1778</v>
      </c>
    </row>
    <row r="1516" spans="2:5" hidden="1" x14ac:dyDescent="0.3">
      <c r="B1516" s="19" t="s">
        <v>40</v>
      </c>
      <c r="C1516" s="20" t="str">
        <f>HYPERLINK("#'Data'!A8526", "Estimated percentage of total household expenditures spent on 'Other' (past month, excl. humanitarian aid) [Endline] broken down by households_with_pr...")</f>
        <v>Estimated percentage of total household expenditures spent on 'Other' (past month, excl. humanitarian aid) [Endline] broken down by households_with_pr...</v>
      </c>
      <c r="D1516" s="19" t="s">
        <v>52</v>
      </c>
      <c r="E1516" s="21">
        <v>1793</v>
      </c>
    </row>
    <row r="1517" spans="2:5" hidden="1" x14ac:dyDescent="0.3">
      <c r="B1517" s="19" t="s">
        <v>40</v>
      </c>
      <c r="C1517" s="20" t="str">
        <f>HYPERLINK("#'Data'!A8594", "Estimated percentage of total household expenditures spent on 'Food' (past month, excl. humanitarian aid) [Endline] broken down by households_with_pre...")</f>
        <v>Estimated percentage of total household expenditures spent on 'Food' (past month, excl. humanitarian aid) [Endline] broken down by households_with_pre...</v>
      </c>
      <c r="D1517" s="19" t="s">
        <v>52</v>
      </c>
      <c r="E1517" s="21">
        <v>1808</v>
      </c>
    </row>
    <row r="1518" spans="2:5" hidden="1" x14ac:dyDescent="0.3">
      <c r="B1518" s="19" t="s">
        <v>40</v>
      </c>
      <c r="C1518" s="20" t="str">
        <f>HYPERLINK("#'Data'!A8668", "Estimated percentage of total household expenditures spent on 'Personal hygiene' (past month, excl. humanitarian aid) [Endline] broken down by househo...")</f>
        <v>Estimated percentage of total household expenditures spent on 'Personal hygiene' (past month, excl. humanitarian aid) [Endline] broken down by househo...</v>
      </c>
      <c r="D1518" s="19" t="s">
        <v>52</v>
      </c>
      <c r="E1518" s="21">
        <v>1823</v>
      </c>
    </row>
    <row r="1519" spans="2:5" x14ac:dyDescent="0.3">
      <c r="B1519" s="19" t="s">
        <v>42</v>
      </c>
      <c r="C1519" s="20" t="str">
        <f>HYPERLINK("#'Data'!A8741", "Estimated percentage of total household expenditures spent on 'Cleaning items' (past month, excl. humanitarian aid) [Endline] broken down by household...")</f>
        <v>Estimated percentage of total household expenditures spent on 'Cleaning items' (past month, excl. humanitarian aid) [Endline] broken down by household...</v>
      </c>
      <c r="D1519" s="19" t="s">
        <v>52</v>
      </c>
      <c r="E1519" s="21">
        <v>1838</v>
      </c>
    </row>
    <row r="1520" spans="2:5" x14ac:dyDescent="0.3">
      <c r="B1520" s="19" t="s">
        <v>42</v>
      </c>
      <c r="C1520" s="20" t="str">
        <f>HYPERLINK("#'Data'!A8814", "Estimated percentage of total household expenditures spent on 'Non-food items' (past month, excl. humanitarian aid) [Endline] broken down by household...")</f>
        <v>Estimated percentage of total household expenditures spent on 'Non-food items' (past month, excl. humanitarian aid) [Endline] broken down by household...</v>
      </c>
      <c r="D1520" s="19" t="s">
        <v>52</v>
      </c>
      <c r="E1520" s="21">
        <v>1853</v>
      </c>
    </row>
    <row r="1521" spans="2:5" x14ac:dyDescent="0.3">
      <c r="B1521" s="19" t="s">
        <v>42</v>
      </c>
      <c r="C1521" s="20" t="str">
        <f>HYPERLINK("#'Data'!A8886", "Estimated percentage of total household expenditures spent on 'Clothing and shoes' (past month, excl. humanitarian aid) [Endline] broken down by house...")</f>
        <v>Estimated percentage of total household expenditures spent on 'Clothing and shoes' (past month, excl. humanitarian aid) [Endline] broken down by house...</v>
      </c>
      <c r="D1521" s="19" t="s">
        <v>52</v>
      </c>
      <c r="E1521" s="21">
        <v>1868</v>
      </c>
    </row>
    <row r="1522" spans="2:5" x14ac:dyDescent="0.3">
      <c r="B1522" s="19" t="s">
        <v>42</v>
      </c>
      <c r="C1522" s="20" t="str">
        <f>HYPERLINK("#'Data'!A8959", "Estimated percentage of total household expenditures spent on 'Heating fuel' (past month, excl. humanitarian aid) [Endline] broken down by households_...")</f>
        <v>Estimated percentage of total household expenditures spent on 'Heating fuel' (past month, excl. humanitarian aid) [Endline] broken down by households_...</v>
      </c>
      <c r="D1522" s="19" t="s">
        <v>52</v>
      </c>
      <c r="E1522" s="21">
        <v>1883</v>
      </c>
    </row>
    <row r="1523" spans="2:5" x14ac:dyDescent="0.3">
      <c r="B1523" s="19" t="s">
        <v>42</v>
      </c>
      <c r="C1523" s="20" t="str">
        <f>HYPERLINK("#'Data'!A9033", "Estimated percentage of total household expenditures spent on 'Safe water' (past month, excl. humanitarian aid) [Endline] broken down by households_wi...")</f>
        <v>Estimated percentage of total household expenditures spent on 'Safe water' (past month, excl. humanitarian aid) [Endline] broken down by households_wi...</v>
      </c>
      <c r="D1523" s="19" t="s">
        <v>52</v>
      </c>
      <c r="E1523" s="21">
        <v>1898</v>
      </c>
    </row>
    <row r="1524" spans="2:5" x14ac:dyDescent="0.3">
      <c r="B1524" s="19" t="s">
        <v>42</v>
      </c>
      <c r="C1524" s="20" t="str">
        <f>HYPERLINK("#'Data'!A9105", "Estimated percentage of total household expenditures spent on 'Utilities' (past month, excl. humanitarian aid) [Endline] broken down by households_wit...")</f>
        <v>Estimated percentage of total household expenditures spent on 'Utilities' (past month, excl. humanitarian aid) [Endline] broken down by households_wit...</v>
      </c>
      <c r="D1524" s="19" t="s">
        <v>52</v>
      </c>
      <c r="E1524" s="21">
        <v>1913</v>
      </c>
    </row>
    <row r="1525" spans="2:5" x14ac:dyDescent="0.3">
      <c r="B1525" s="19" t="s">
        <v>42</v>
      </c>
      <c r="C1525" s="20" t="str">
        <f>HYPERLINK("#'Data'!A9178", "Estimated percentage of total household expenditures spent on 'Water supply' (past month, excl. humanitarian aid) [Endline] broken down by households_...")</f>
        <v>Estimated percentage of total household expenditures spent on 'Water supply' (past month, excl. humanitarian aid) [Endline] broken down by households_...</v>
      </c>
      <c r="D1525" s="19" t="s">
        <v>52</v>
      </c>
      <c r="E1525" s="21">
        <v>1928</v>
      </c>
    </row>
    <row r="1526" spans="2:5" x14ac:dyDescent="0.3">
      <c r="B1526" s="19" t="s">
        <v>42</v>
      </c>
      <c r="C1526" s="20" t="str">
        <f>HYPERLINK("#'Data'!A9250", "Estimated percentage of total household expenditures spent on 'Rent' (past month, excl. humanitarian aid) [Endline] broken down by households_with_pre...")</f>
        <v>Estimated percentage of total household expenditures spent on 'Rent' (past month, excl. humanitarian aid) [Endline] broken down by households_with_pre...</v>
      </c>
      <c r="D1526" s="19" t="s">
        <v>52</v>
      </c>
      <c r="E1526" s="21">
        <v>1943</v>
      </c>
    </row>
    <row r="1527" spans="2:5" x14ac:dyDescent="0.3">
      <c r="B1527" s="19" t="s">
        <v>42</v>
      </c>
      <c r="C1527" s="20" t="str">
        <f>HYPERLINK("#'Data'!A9315", "Estimated percentage of total household expenditures spent on 'Assistive products' (past month, excl. humanitarian aid) [Endline] broken down by house...")</f>
        <v>Estimated percentage of total household expenditures spent on 'Assistive products' (past month, excl. humanitarian aid) [Endline] broken down by house...</v>
      </c>
      <c r="D1527" s="19" t="s">
        <v>52</v>
      </c>
      <c r="E1527" s="21">
        <v>1958</v>
      </c>
    </row>
    <row r="1528" spans="2:5" x14ac:dyDescent="0.3">
      <c r="B1528" s="19" t="s">
        <v>42</v>
      </c>
      <c r="C1528" s="20" t="str">
        <f>HYPERLINK("#'Data'!A9382", "Estimated percentage of total household expenditures spent on 'Medication' (past month, excl. humanitarian aid) [Endline] broken down by households_wi...")</f>
        <v>Estimated percentage of total household expenditures spent on 'Medication' (past month, excl. humanitarian aid) [Endline] broken down by households_wi...</v>
      </c>
      <c r="D1528" s="19" t="s">
        <v>52</v>
      </c>
      <c r="E1528" s="21">
        <v>1973</v>
      </c>
    </row>
    <row r="1529" spans="2:5" x14ac:dyDescent="0.3">
      <c r="B1529" s="19" t="s">
        <v>42</v>
      </c>
      <c r="C1529" s="20" t="str">
        <f>HYPERLINK("#'Data'!A9454", "Estimated percentage of total household expenditures spent on 'Agricultural inputs' (past month, excl. humanitarian aid) [Endline] broken down by hous...")</f>
        <v>Estimated percentage of total household expenditures spent on 'Agricultural inputs' (past month, excl. humanitarian aid) [Endline] broken down by hous...</v>
      </c>
      <c r="D1529" s="19" t="s">
        <v>52</v>
      </c>
      <c r="E1529" s="21">
        <v>1988</v>
      </c>
    </row>
    <row r="1530" spans="2:5" x14ac:dyDescent="0.3">
      <c r="B1530" s="19" t="s">
        <v>42</v>
      </c>
      <c r="C1530" s="20" t="str">
        <f>HYPERLINK("#'Data'!A9520", "Estimated percentage of total household expenditures spent on 'Shelter maintenance' (past month, excl. humanitarian aid) [Endline] broken down by hous...")</f>
        <v>Estimated percentage of total household expenditures spent on 'Shelter maintenance' (past month, excl. humanitarian aid) [Endline] broken down by hous...</v>
      </c>
      <c r="D1530" s="19" t="s">
        <v>52</v>
      </c>
      <c r="E1530" s="21">
        <v>2003</v>
      </c>
    </row>
    <row r="1531" spans="2:5" x14ac:dyDescent="0.3">
      <c r="B1531" s="19" t="s">
        <v>42</v>
      </c>
      <c r="C1531" s="20" t="str">
        <f>HYPERLINK("#'Data'!A9589", "Estimated percentage of total household expenditures spent on 'Future savings' (past month, excl. humanitarian aid) [Endline] broken down by household...")</f>
        <v>Estimated percentage of total household expenditures spent on 'Future savings' (past month, excl. humanitarian aid) [Endline] broken down by household...</v>
      </c>
      <c r="D1531" s="19" t="s">
        <v>52</v>
      </c>
      <c r="E1531" s="21">
        <v>2018</v>
      </c>
    </row>
    <row r="1532" spans="2:5" x14ac:dyDescent="0.3">
      <c r="B1532" s="19" t="s">
        <v>42</v>
      </c>
      <c r="C1532" s="20" t="str">
        <f>HYPERLINK("#'Data'!A9654", "Estimated percentage of total household expenditures spent on 'Shared with others' (past month, excl. humanitarian aid) [Endline] broken down by house...")</f>
        <v>Estimated percentage of total household expenditures spent on 'Shared with others' (past month, excl. humanitarian aid) [Endline] broken down by house...</v>
      </c>
      <c r="D1532" s="19" t="s">
        <v>52</v>
      </c>
      <c r="E1532" s="21">
        <v>2033</v>
      </c>
    </row>
    <row r="1533" spans="2:5" x14ac:dyDescent="0.3">
      <c r="B1533" s="19" t="s">
        <v>42</v>
      </c>
      <c r="C1533" s="20" t="str">
        <f>HYPERLINK("#'Data'!A9719", "Estimated percentage of total household expenditures spent on 'Transportation' (past month, excl. humanitarian aid) [Endline] broken down by household...")</f>
        <v>Estimated percentage of total household expenditures spent on 'Transportation' (past month, excl. humanitarian aid) [Endline] broken down by household...</v>
      </c>
      <c r="D1533" s="19" t="s">
        <v>52</v>
      </c>
      <c r="E1533" s="21">
        <v>2048</v>
      </c>
    </row>
    <row r="1534" spans="2:5" x14ac:dyDescent="0.3">
      <c r="B1534" s="19" t="s">
        <v>42</v>
      </c>
      <c r="C1534" s="20" t="str">
        <f>HYPERLINK("#'Data'!A9789", "Estimated percentage of total household expenditures spent on 'Communication' (past month, excl. humanitarian aid) [Endline] broken down by households...")</f>
        <v>Estimated percentage of total household expenditures spent on 'Communication' (past month, excl. humanitarian aid) [Endline] broken down by households...</v>
      </c>
      <c r="D1534" s="19" t="s">
        <v>52</v>
      </c>
      <c r="E1534" s="21">
        <v>2063</v>
      </c>
    </row>
    <row r="1535" spans="2:5" x14ac:dyDescent="0.3">
      <c r="B1535" s="19" t="s">
        <v>42</v>
      </c>
      <c r="C1535" s="20" t="str">
        <f>HYPERLINK("#'Data'!A9863", "Estimated percentage of total household expenditures spent on 'Education materials' (past month, excl. humanitarian aid) [Endline] broken down by hous...")</f>
        <v>Estimated percentage of total household expenditures spent on 'Education materials' (past month, excl. humanitarian aid) [Endline] broken down by hous...</v>
      </c>
      <c r="D1535" s="19" t="s">
        <v>52</v>
      </c>
      <c r="E1535" s="21">
        <v>2078</v>
      </c>
    </row>
    <row r="1536" spans="2:5" hidden="1" x14ac:dyDescent="0.3">
      <c r="B1536" s="19" t="s">
        <v>40</v>
      </c>
      <c r="C1536" s="20" t="str">
        <f>HYPERLINK("#'Data'!A2", "Total combined income of all members of a household (excluding any humanitarian monetary assistance) for the last month in UAH [Baseline] on the admin...")</f>
        <v>Total combined income of all members of a household (excluding any humanitarian monetary assistance) for the last month in UAH [Baseline] on the admin...</v>
      </c>
      <c r="D1536" s="19" t="s">
        <v>53</v>
      </c>
      <c r="E1536" s="21">
        <v>1</v>
      </c>
    </row>
    <row r="1537" spans="2:5" hidden="1" x14ac:dyDescent="0.3">
      <c r="B1537" s="19" t="s">
        <v>40</v>
      </c>
      <c r="C1537" s="20" t="str">
        <f>HYPERLINK("#'Data'!A76",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1537" s="19" t="s">
        <v>53</v>
      </c>
      <c r="E1537" s="21">
        <v>16</v>
      </c>
    </row>
    <row r="1538" spans="2:5" x14ac:dyDescent="0.3">
      <c r="B1538" s="19" t="s">
        <v>42</v>
      </c>
      <c r="C1538" s="20" t="str">
        <f>HYPERLINK("#'Data'!A150", "Total combined income of all members of a household (excluding any humanitarian monetary assistance) for the last month in UAH [Endline] on the admin ...")</f>
        <v>Total combined income of all members of a household (excluding any humanitarian monetary assistance) for the last month in UAH [Endline] on the admin ...</v>
      </c>
      <c r="D1538" s="19" t="s">
        <v>53</v>
      </c>
      <c r="E1538" s="21">
        <v>31</v>
      </c>
    </row>
    <row r="1539" spans="2:5" x14ac:dyDescent="0.3">
      <c r="B1539" s="19" t="s">
        <v>42</v>
      </c>
      <c r="C1539" s="20" t="str">
        <f>HYPERLINK("#'Data'!A224",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1539" s="19" t="s">
        <v>53</v>
      </c>
      <c r="E1539" s="21">
        <v>46</v>
      </c>
    </row>
    <row r="1540" spans="2:5" hidden="1" x14ac:dyDescent="0.3">
      <c r="B1540" s="19" t="s">
        <v>40</v>
      </c>
      <c r="C1540" s="20" t="str">
        <f>HYPERLINK("#'Data'!A298", "Sources of income or financial support  household received in the last month [Baseline] on the admin of Overall perc")</f>
        <v>Sources of income or financial support  household received in the last month [Baseline] on the admin of Overall perc</v>
      </c>
      <c r="D1540" s="19" t="s">
        <v>53</v>
      </c>
      <c r="E1540" s="21">
        <v>61</v>
      </c>
    </row>
    <row r="1541" spans="2:5" x14ac:dyDescent="0.3">
      <c r="B1541" s="19" t="s">
        <v>42</v>
      </c>
      <c r="C1541" s="20" t="str">
        <f>HYPERLINK("#'Data'!A372", "Sources of income or financial support  household received in the last month other than multi-purpose cash assistance [Endline] on the admin of Overal...")</f>
        <v>Sources of income or financial support  household received in the last month other than multi-purpose cash assistance [Endline] on the admin of Overal...</v>
      </c>
      <c r="D1541" s="19" t="s">
        <v>53</v>
      </c>
      <c r="E1541" s="21">
        <v>76</v>
      </c>
    </row>
    <row r="1542" spans="2:5" hidden="1" x14ac:dyDescent="0.3">
      <c r="B1542" s="19" t="s">
        <v>40</v>
      </c>
      <c r="C1542" s="20" t="str">
        <f>HYPERLINK("#'Data'!A446", "Total combined expenditures of all members of a household (excluding any humanitarian monetary assistance) for the last month in UAH [Baseline] on the...")</f>
        <v>Total combined expenditures of all members of a household (excluding any humanitarian monetary assistance) for the last month in UAH [Baseline] on the...</v>
      </c>
      <c r="D1542" s="19" t="s">
        <v>53</v>
      </c>
      <c r="E1542" s="21">
        <v>91</v>
      </c>
    </row>
    <row r="1543" spans="2:5" hidden="1" x14ac:dyDescent="0.3">
      <c r="B1543" s="19" t="s">
        <v>40</v>
      </c>
      <c r="C1543" s="20" t="str">
        <f>HYPERLINK("#'Data'!A520",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1543" s="19" t="s">
        <v>53</v>
      </c>
      <c r="E1543" s="21">
        <v>106</v>
      </c>
    </row>
    <row r="1544" spans="2:5" x14ac:dyDescent="0.3">
      <c r="B1544" s="19" t="s">
        <v>42</v>
      </c>
      <c r="C1544" s="20" t="str">
        <f>HYPERLINK("#'Data'!A594", "Total combined expenditures of all members of a household (excluding any humanitarian monetary assistance) for the last month in UAH [Endline] on the ...")</f>
        <v>Total combined expenditures of all members of a household (excluding any humanitarian monetary assistance) for the last month in UAH [Endline] on the ...</v>
      </c>
      <c r="D1544" s="19" t="s">
        <v>53</v>
      </c>
      <c r="E1544" s="21">
        <v>121</v>
      </c>
    </row>
    <row r="1545" spans="2:5" x14ac:dyDescent="0.3">
      <c r="B1545" s="19" t="s">
        <v>42</v>
      </c>
      <c r="C1545" s="20" t="str">
        <f>HYPERLINK("#'Data'!A668",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1545" s="19" t="s">
        <v>53</v>
      </c>
      <c r="E1545" s="21">
        <v>136</v>
      </c>
    </row>
    <row r="1546" spans="2:5" hidden="1" x14ac:dyDescent="0.3">
      <c r="B1546" s="19" t="s">
        <v>40</v>
      </c>
      <c r="C1546" s="20" t="str">
        <f>HYPERLINK("#'Data'!A742", "Household expenditures by category over the past 30 days [or month] in UAH [Baseline] on the admin of Overall perc")</f>
        <v>Household expenditures by category over the past 30 days [or month] in UAH [Baseline] on the admin of Overall perc</v>
      </c>
      <c r="D1546" s="19" t="s">
        <v>53</v>
      </c>
      <c r="E1546" s="21">
        <v>151</v>
      </c>
    </row>
    <row r="1547" spans="2:5" x14ac:dyDescent="0.3">
      <c r="B1547" s="19" t="s">
        <v>42</v>
      </c>
      <c r="C1547" s="20" t="str">
        <f>HYPERLINK("#'Data'!A816", "Household expenditures by category over the past 30 days [or month] in UAH [Endline] on the admin of Overall perc")</f>
        <v>Household expenditures by category over the past 30 days [or month] in UAH [Endline] on the admin of Overall perc</v>
      </c>
      <c r="D1547" s="19" t="s">
        <v>53</v>
      </c>
      <c r="E1547" s="21">
        <v>166</v>
      </c>
    </row>
    <row r="1548" spans="2:5" hidden="1" x14ac:dyDescent="0.3">
      <c r="B1548" s="19" t="s">
        <v>40</v>
      </c>
      <c r="C1548" s="20" t="str">
        <f>HYPERLINK("#'Data'!A890", "Household's ability to meet basic needs (self-defined and prioritized) [Baseline] on the admin of Overall perc")</f>
        <v>Household's ability to meet basic needs (self-defined and prioritized) [Baseline] on the admin of Overall perc</v>
      </c>
      <c r="D1548" s="19" t="s">
        <v>53</v>
      </c>
      <c r="E1548" s="21">
        <v>181</v>
      </c>
    </row>
    <row r="1549" spans="2:5" x14ac:dyDescent="0.3">
      <c r="B1549" s="19" t="s">
        <v>42</v>
      </c>
      <c r="C1549" s="20" t="str">
        <f>HYPERLINK("#'Data'!A964", "Household's ability to meet basic needs (self-defined and prioritized) [Endline] on the admin of Overall perc")</f>
        <v>Household's ability to meet basic needs (self-defined and prioritized) [Endline] on the admin of Overall perc</v>
      </c>
      <c r="D1549" s="19" t="s">
        <v>53</v>
      </c>
      <c r="E1549" s="21">
        <v>196</v>
      </c>
    </row>
    <row r="1550" spans="2:5" hidden="1" x14ac:dyDescent="0.3">
      <c r="B1550" s="19" t="s">
        <v>40</v>
      </c>
      <c r="C1550" s="20" t="str">
        <f>HYPERLINK("#'Data'!A1038", "Basic needs the household is currently unable to fulfill (if not all are met) [Baseline] on the admin of Overall perc")</f>
        <v>Basic needs the household is currently unable to fulfill (if not all are met) [Baseline] on the admin of Overall perc</v>
      </c>
      <c r="D1550" s="19" t="s">
        <v>53</v>
      </c>
      <c r="E1550" s="21">
        <v>211</v>
      </c>
    </row>
    <row r="1551" spans="2:5" x14ac:dyDescent="0.3">
      <c r="B1551" s="19" t="s">
        <v>42</v>
      </c>
      <c r="C1551" s="20" t="str">
        <f>HYPERLINK("#'Data'!A1112", "Basic needs the household is currently unable to fulfill (if not all are met) [Endline] on the admin of Overall perc")</f>
        <v>Basic needs the household is currently unable to fulfill (if not all are met) [Endline] on the admin of Overall perc</v>
      </c>
      <c r="D1551" s="19" t="s">
        <v>53</v>
      </c>
      <c r="E1551" s="21">
        <v>226</v>
      </c>
    </row>
    <row r="1552" spans="2:5" hidden="1" x14ac:dyDescent="0.3">
      <c r="B1552" s="19" t="s">
        <v>40</v>
      </c>
      <c r="C1552" s="20" t="str">
        <f>HYPERLINK("#'Data'!A1186", "Coping strategies used in the last 30 days due to insufficient resources to meet basic needs [Baseline] on the admin of Overall perc")</f>
        <v>Coping strategies used in the last 30 days due to insufficient resources to meet basic needs [Baseline] on the admin of Overall perc</v>
      </c>
      <c r="D1552" s="19" t="s">
        <v>53</v>
      </c>
      <c r="E1552" s="21">
        <v>241</v>
      </c>
    </row>
    <row r="1553" spans="2:5" x14ac:dyDescent="0.3">
      <c r="B1553" s="19" t="s">
        <v>42</v>
      </c>
      <c r="C1553" s="20" t="str">
        <f>HYPERLINK("#'Data'!A1260", "Coping strategies used in the last 30 days due to insufficient resources to meet basic needs [Endline] on the admin of Overall perc")</f>
        <v>Coping strategies used in the last 30 days due to insufficient resources to meet basic needs [Endline] on the admin of Overall perc</v>
      </c>
      <c r="D1553" s="19" t="s">
        <v>53</v>
      </c>
      <c r="E1553" s="21">
        <v>256</v>
      </c>
    </row>
    <row r="1554" spans="2:5" x14ac:dyDescent="0.3">
      <c r="B1554" s="19" t="s">
        <v>42</v>
      </c>
      <c r="C1554" s="20" t="str">
        <f>HYPERLINK("#'Data'!A1334", "Coping strategies avoided in the past 3 months due to receipt of MPCA [Endline] on the admin of Overall perc")</f>
        <v>Coping strategies avoided in the past 3 months due to receipt of MPCA [Endline] on the admin of Overall perc</v>
      </c>
      <c r="D1554" s="19" t="s">
        <v>53</v>
      </c>
      <c r="E1554" s="21">
        <v>271</v>
      </c>
    </row>
    <row r="1555" spans="2:5" hidden="1" x14ac:dyDescent="0.3">
      <c r="B1555" s="19" t="s">
        <v>40</v>
      </c>
      <c r="C1555" s="20" t="str">
        <f>HYPERLINK("#'Data'!A1408", "Household perception of relevance of forthcoming MPCA (3,600 UAH for 3 months per member) [Baseline] on the admin of Overall perc")</f>
        <v>Household perception of relevance of forthcoming MPCA (3,600 UAH for 3 months per member) [Baseline] on the admin of Overall perc</v>
      </c>
      <c r="D1555" s="19" t="s">
        <v>53</v>
      </c>
      <c r="E1555" s="21">
        <v>286</v>
      </c>
    </row>
    <row r="1556" spans="2:5" hidden="1" x14ac:dyDescent="0.3">
      <c r="B1556" s="19" t="s">
        <v>40</v>
      </c>
      <c r="C1556" s="20" t="str">
        <f>HYPERLINK("#'Data'!A1482", "Estimated percentage of household needs met by upcoming MPCA (if partially appropriate) [Baseline] on the admin of Overall mean")</f>
        <v>Estimated percentage of household needs met by upcoming MPCA (if partially appropriate) [Baseline] on the admin of Overall mean</v>
      </c>
      <c r="D1556" s="19" t="s">
        <v>53</v>
      </c>
      <c r="E1556" s="21">
        <v>301</v>
      </c>
    </row>
    <row r="1557" spans="2:5" x14ac:dyDescent="0.3">
      <c r="B1557" s="19" t="s">
        <v>42</v>
      </c>
      <c r="C1557" s="20" t="str">
        <f>HYPERLINK("#'Data'!A1556", "Household opinion on adequacy of received MPCA (3,600 UAH for 3 months per member) [Endline] on the admin of Overall perc")</f>
        <v>Household opinion on adequacy of received MPCA (3,600 UAH for 3 months per member) [Endline] on the admin of Overall perc</v>
      </c>
      <c r="D1557" s="19" t="s">
        <v>53</v>
      </c>
      <c r="E1557" s="21">
        <v>316</v>
      </c>
    </row>
    <row r="1558" spans="2:5" x14ac:dyDescent="0.3">
      <c r="B1558" s="19" t="s">
        <v>42</v>
      </c>
      <c r="C1558" s="20" t="str">
        <f>HYPERLINK("#'Data'!A1630", "Estimated percentage of household needs met by received MPCA (if partially appropriate) [Endline] on the admin of Overall mean")</f>
        <v>Estimated percentage of household needs met by received MPCA (if partially appropriate) [Endline] on the admin of Overall mean</v>
      </c>
      <c r="D1558" s="19" t="s">
        <v>53</v>
      </c>
      <c r="E1558" s="21">
        <v>331</v>
      </c>
    </row>
    <row r="1559" spans="2:5" x14ac:dyDescent="0.3">
      <c r="B1559" s="19" t="s">
        <v>42</v>
      </c>
      <c r="C1559" s="20" t="str">
        <f>HYPERLINK("#'Data'!A1704", "Household satisfaction level with cash payment amount [Endline] on the admin of Overall perc")</f>
        <v>Household satisfaction level with cash payment amount [Endline] on the admin of Overall perc</v>
      </c>
      <c r="D1559" s="19" t="s">
        <v>53</v>
      </c>
      <c r="E1559" s="21">
        <v>346</v>
      </c>
    </row>
    <row r="1560" spans="2:5" hidden="1" x14ac:dyDescent="0.3">
      <c r="B1560" s="19" t="s">
        <v>40</v>
      </c>
      <c r="C1560" s="20" t="str">
        <f>HYPERLINK("#'Data'!A1708", "Household opinion on whether MPCA will be delivered at the right time [Baseline] on the admin of Overall perc")</f>
        <v>Household opinion on whether MPCA will be delivered at the right time [Baseline] on the admin of Overall perc</v>
      </c>
      <c r="D1560" s="19" t="s">
        <v>53</v>
      </c>
      <c r="E1560" s="21">
        <v>347</v>
      </c>
    </row>
    <row r="1561" spans="2:5" x14ac:dyDescent="0.3">
      <c r="B1561" s="19" t="s">
        <v>42</v>
      </c>
      <c r="C1561" s="20" t="str">
        <f>HYPERLINK("#'Data'!A1712", "Household opinion on whether MPCA was delivered at the right time [Endline] on the admin of Overall perc")</f>
        <v>Household opinion on whether MPCA was delivered at the right time [Endline] on the admin of Overall perc</v>
      </c>
      <c r="D1561" s="19" t="s">
        <v>53</v>
      </c>
      <c r="E1561" s="21">
        <v>348</v>
      </c>
    </row>
    <row r="1562" spans="2:5" x14ac:dyDescent="0.3">
      <c r="B1562" s="19" t="s">
        <v>42</v>
      </c>
      <c r="C1562" s="20" t="str">
        <f>HYPERLINK("#'Data'!A1716", "Whether the household has already spent the received MPCA [Endline] on the admin of Overall perc")</f>
        <v>Whether the household has already spent the received MPCA [Endline] on the admin of Overall perc</v>
      </c>
      <c r="D1562" s="19" t="s">
        <v>53</v>
      </c>
      <c r="E1562" s="21">
        <v>349</v>
      </c>
    </row>
    <row r="1563" spans="2:5" x14ac:dyDescent="0.3">
      <c r="B1563" s="19" t="s">
        <v>42</v>
      </c>
      <c r="C1563" s="20" t="str">
        <f>HYPERLINK("#'Data'!A1790", "Number of weeks MPCA lasted if fully spent [Endline] on the admin of Overall mean")</f>
        <v>Number of weeks MPCA lasted if fully spent [Endline] on the admin of Overall mean</v>
      </c>
      <c r="D1563" s="19" t="s">
        <v>53</v>
      </c>
      <c r="E1563" s="21">
        <v>364</v>
      </c>
    </row>
    <row r="1564" spans="2:5" x14ac:dyDescent="0.3">
      <c r="B1564" s="19" t="s">
        <v>42</v>
      </c>
      <c r="C1564" s="20" t="str">
        <f>HYPERLINK("#'Data'!A1864", "Percentage of MPCA spent to date (if partially used) [Endline] on the admin of Overall mean")</f>
        <v>Percentage of MPCA spent to date (if partially used) [Endline] on the admin of Overall mean</v>
      </c>
      <c r="D1564" s="19" t="s">
        <v>53</v>
      </c>
      <c r="E1564" s="21">
        <v>379</v>
      </c>
    </row>
    <row r="1565" spans="2:5" x14ac:dyDescent="0.3">
      <c r="B1565" s="19" t="s">
        <v>42</v>
      </c>
      <c r="C1565" s="20" t="str">
        <f>HYPERLINK("#'Data'!A1938", "Extent to which received MPCA helped cover household needs during usage period [Endline] on the admin of Overall perc")</f>
        <v>Extent to which received MPCA helped cover household needs during usage period [Endline] on the admin of Overall perc</v>
      </c>
      <c r="D1565" s="19" t="s">
        <v>53</v>
      </c>
      <c r="E1565" s="21">
        <v>394</v>
      </c>
    </row>
    <row r="1566" spans="2:5" x14ac:dyDescent="0.3">
      <c r="B1566" s="19" t="s">
        <v>42</v>
      </c>
      <c r="C1566" s="20" t="str">
        <f>HYPERLINK("#'Data'!A2012", "Percentage of needs covered by MPCA (if partially met) [Endline] on the admin of Overall mean")</f>
        <v>Percentage of needs covered by MPCA (if partially met) [Endline] on the admin of Overall mean</v>
      </c>
      <c r="D1566" s="19" t="s">
        <v>53</v>
      </c>
      <c r="E1566" s="21">
        <v>409</v>
      </c>
    </row>
    <row r="1567" spans="2:5" hidden="1" x14ac:dyDescent="0.3">
      <c r="B1567" s="19" t="s">
        <v>40</v>
      </c>
      <c r="C1567" s="20" t="str">
        <f>HYPERLINK("#'Data'!A2086", "Priority needs requiring financial aid, with importance level [Baseline] on the admin of Overall perc")</f>
        <v>Priority needs requiring financial aid, with importance level [Baseline] on the admin of Overall perc</v>
      </c>
      <c r="D1567" s="19" t="s">
        <v>53</v>
      </c>
      <c r="E1567" s="21">
        <v>424</v>
      </c>
    </row>
    <row r="1568" spans="2:5" hidden="1" x14ac:dyDescent="0.3">
      <c r="B1568" s="19" t="s">
        <v>40</v>
      </c>
      <c r="C1568" s="20" t="str">
        <f>HYPERLINK("#'Data'!A2160", "Importance rating for 'Other' priority need requiring financial assistance [Baseline] on the admin of Overall perc")</f>
        <v>Importance rating for 'Other' priority need requiring financial assistance [Baseline] on the admin of Overall perc</v>
      </c>
      <c r="D1568" s="19" t="s">
        <v>53</v>
      </c>
      <c r="E1568" s="21">
        <v>439</v>
      </c>
    </row>
    <row r="1569" spans="2:5" hidden="1" x14ac:dyDescent="0.3">
      <c r="B1569" s="19" t="s">
        <v>40</v>
      </c>
      <c r="C1569" s="20" t="str">
        <f>HYPERLINK("#'Data'!A2232", "Importance rating for 'Food' priority need requiring financial assistance [Baseline] on the admin of Overall perc")</f>
        <v>Importance rating for 'Food' priority need requiring financial assistance [Baseline] on the admin of Overall perc</v>
      </c>
      <c r="D1569" s="19" t="s">
        <v>53</v>
      </c>
      <c r="E1569" s="21">
        <v>454</v>
      </c>
    </row>
    <row r="1570" spans="2:5" hidden="1" x14ac:dyDescent="0.3">
      <c r="B1570" s="19" t="s">
        <v>40</v>
      </c>
      <c r="C1570" s="20" t="str">
        <f>HYPERLINK("#'Data'!A2306", "Importance rating for 'Personal hygiene' priority need requiring financial assistance [Baseline] on the admin of Overall perc")</f>
        <v>Importance rating for 'Personal hygiene' priority need requiring financial assistance [Baseline] on the admin of Overall perc</v>
      </c>
      <c r="D1570" s="19" t="s">
        <v>53</v>
      </c>
      <c r="E1570" s="21">
        <v>469</v>
      </c>
    </row>
    <row r="1571" spans="2:5" hidden="1" x14ac:dyDescent="0.3">
      <c r="B1571" s="19" t="s">
        <v>40</v>
      </c>
      <c r="C1571" s="20" t="str">
        <f>HYPERLINK("#'Data'!A2378", "Importance rating for 'Cleaning items' priority need requiring financial assistance [Baseline] on the admin of Overall perc")</f>
        <v>Importance rating for 'Cleaning items' priority need requiring financial assistance [Baseline] on the admin of Overall perc</v>
      </c>
      <c r="D1571" s="19" t="s">
        <v>53</v>
      </c>
      <c r="E1571" s="21">
        <v>484</v>
      </c>
    </row>
    <row r="1572" spans="2:5" hidden="1" x14ac:dyDescent="0.3">
      <c r="B1572" s="19" t="s">
        <v>40</v>
      </c>
      <c r="C1572" s="20" t="str">
        <f>HYPERLINK("#'Data'!A2443", "Importance rating for 'Non-food items' priority need requiring financial assistance [Baseline] on the admin of Overall perc")</f>
        <v>Importance rating for 'Non-food items' priority need requiring financial assistance [Baseline] on the admin of Overall perc</v>
      </c>
      <c r="D1572" s="19" t="s">
        <v>53</v>
      </c>
      <c r="E1572" s="21">
        <v>499</v>
      </c>
    </row>
    <row r="1573" spans="2:5" hidden="1" x14ac:dyDescent="0.3">
      <c r="B1573" s="19" t="s">
        <v>40</v>
      </c>
      <c r="C1573" s="20" t="str">
        <f>HYPERLINK("#'Data'!A2508", "Importance rating for 'Clothing and shoes' priority need requiring financial assistance [Baseline] on the admin of Overall perc")</f>
        <v>Importance rating for 'Clothing and shoes' priority need requiring financial assistance [Baseline] on the admin of Overall perc</v>
      </c>
      <c r="D1573" s="19" t="s">
        <v>53</v>
      </c>
      <c r="E1573" s="21">
        <v>514</v>
      </c>
    </row>
    <row r="1574" spans="2:5" hidden="1" x14ac:dyDescent="0.3">
      <c r="B1574" s="19" t="s">
        <v>40</v>
      </c>
      <c r="C1574" s="20" t="str">
        <f>HYPERLINK("#'Data'!A2581", "Importance rating for 'Heating fuel' priority need requiring financial assistance [Baseline] on the admin of Overall perc")</f>
        <v>Importance rating for 'Heating fuel' priority need requiring financial assistance [Baseline] on the admin of Overall perc</v>
      </c>
      <c r="D1574" s="19" t="s">
        <v>53</v>
      </c>
      <c r="E1574" s="21">
        <v>529</v>
      </c>
    </row>
    <row r="1575" spans="2:5" hidden="1" x14ac:dyDescent="0.3">
      <c r="B1575" s="19" t="s">
        <v>40</v>
      </c>
      <c r="C1575" s="20" t="str">
        <f>HYPERLINK("#'Data'!A2654", "Importance rating for 'Safe water' priority need requiring financial assistance [Baseline] on the admin of Overall perc")</f>
        <v>Importance rating for 'Safe water' priority need requiring financial assistance [Baseline] on the admin of Overall perc</v>
      </c>
      <c r="D1575" s="19" t="s">
        <v>53</v>
      </c>
      <c r="E1575" s="21">
        <v>544</v>
      </c>
    </row>
    <row r="1576" spans="2:5" hidden="1" x14ac:dyDescent="0.3">
      <c r="B1576" s="19" t="s">
        <v>40</v>
      </c>
      <c r="C1576" s="20" t="str">
        <f>HYPERLINK("#'Data'!A2714", "Importance rating for 'Utilities' priority need requiring financial assistance [Baseline] on the admin of Overall perc")</f>
        <v>Importance rating for 'Utilities' priority need requiring financial assistance [Baseline] on the admin of Overall perc</v>
      </c>
      <c r="D1576" s="19" t="s">
        <v>53</v>
      </c>
      <c r="E1576" s="21">
        <v>559</v>
      </c>
    </row>
    <row r="1577" spans="2:5" hidden="1" x14ac:dyDescent="0.3">
      <c r="B1577" s="19" t="s">
        <v>40</v>
      </c>
      <c r="C1577" s="20" t="str">
        <f>HYPERLINK("#'Data'!A2788", "Importance rating for 'Water supply' priority need requiring financial assistance [Baseline] on the admin of Overall perc")</f>
        <v>Importance rating for 'Water supply' priority need requiring financial assistance [Baseline] on the admin of Overall perc</v>
      </c>
      <c r="D1577" s="19" t="s">
        <v>53</v>
      </c>
      <c r="E1577" s="21">
        <v>574</v>
      </c>
    </row>
    <row r="1578" spans="2:5" hidden="1" x14ac:dyDescent="0.3">
      <c r="B1578" s="19" t="s">
        <v>40</v>
      </c>
      <c r="C1578" s="20" t="str">
        <f>HYPERLINK("#'Data'!A2848", "Importance rating for 'Rent' priority need requiring financial assistance [Baseline] on the admin of Overall perc")</f>
        <v>Importance rating for 'Rent' priority need requiring financial assistance [Baseline] on the admin of Overall perc</v>
      </c>
      <c r="D1578" s="19" t="s">
        <v>53</v>
      </c>
      <c r="E1578" s="21">
        <v>589</v>
      </c>
    </row>
    <row r="1579" spans="2:5" hidden="1" x14ac:dyDescent="0.3">
      <c r="B1579" s="19" t="s">
        <v>40</v>
      </c>
      <c r="C1579" s="20" t="str">
        <f>HYPERLINK("#'Data'!A2914", "Importance rating for 'Medication' priority need requiring financial assistance [Baseline] on the admin of Overall perc")</f>
        <v>Importance rating for 'Medication' priority need requiring financial assistance [Baseline] on the admin of Overall perc</v>
      </c>
      <c r="D1579" s="19" t="s">
        <v>53</v>
      </c>
      <c r="E1579" s="21">
        <v>604</v>
      </c>
    </row>
    <row r="1580" spans="2:5" hidden="1" x14ac:dyDescent="0.3">
      <c r="B1580" s="19" t="s">
        <v>40</v>
      </c>
      <c r="C1580" s="20" t="str">
        <f>HYPERLINK("#'Data'!A2988", "Importance rating for 'Agricultural inputs' priority need requiring financial assistance [Baseline] on the admin of Overall perc")</f>
        <v>Importance rating for 'Agricultural inputs' priority need requiring financial assistance [Baseline] on the admin of Overall perc</v>
      </c>
      <c r="D1580" s="19" t="s">
        <v>53</v>
      </c>
      <c r="E1580" s="21">
        <v>619</v>
      </c>
    </row>
    <row r="1581" spans="2:5" hidden="1" x14ac:dyDescent="0.3">
      <c r="B1581" s="19" t="s">
        <v>40</v>
      </c>
      <c r="C1581" s="20" t="str">
        <f>HYPERLINK("#'Data'!A3056", "Importance rating for 'Shelter maintenance' priority need requiring financial assistance [Baseline] on the admin of Overall perc")</f>
        <v>Importance rating for 'Shelter maintenance' priority need requiring financial assistance [Baseline] on the admin of Overall perc</v>
      </c>
      <c r="D1581" s="19" t="s">
        <v>53</v>
      </c>
      <c r="E1581" s="21">
        <v>634</v>
      </c>
    </row>
    <row r="1582" spans="2:5" hidden="1" x14ac:dyDescent="0.3">
      <c r="B1582" s="19" t="s">
        <v>40</v>
      </c>
      <c r="C1582" s="20" t="str">
        <f>HYPERLINK("#'Data'!A3126", "Importance rating for 'Transportation' priority need requiring financial assistance [Baseline] on the admin of Overall perc")</f>
        <v>Importance rating for 'Transportation' priority need requiring financial assistance [Baseline] on the admin of Overall perc</v>
      </c>
      <c r="D1582" s="19" t="s">
        <v>53</v>
      </c>
      <c r="E1582" s="21">
        <v>649</v>
      </c>
    </row>
    <row r="1583" spans="2:5" hidden="1" x14ac:dyDescent="0.3">
      <c r="B1583" s="19" t="s">
        <v>40</v>
      </c>
      <c r="C1583" s="20" t="str">
        <f>HYPERLINK("#'Data'!A3190", "Importance rating for 'Communication' priority need requiring financial assistance [Baseline] on the admin of Overall perc")</f>
        <v>Importance rating for 'Communication' priority need requiring financial assistance [Baseline] on the admin of Overall perc</v>
      </c>
      <c r="D1583" s="19" t="s">
        <v>53</v>
      </c>
      <c r="E1583" s="21">
        <v>664</v>
      </c>
    </row>
    <row r="1584" spans="2:5" hidden="1" x14ac:dyDescent="0.3">
      <c r="B1584" s="19" t="s">
        <v>40</v>
      </c>
      <c r="C1584" s="20" t="str">
        <f>HYPERLINK("#'Data'!A3251", "Importance rating for 'Education materials' priority need requiring financial assistance [Baseline] on the admin of Overall perc")</f>
        <v>Importance rating for 'Education materials' priority need requiring financial assistance [Baseline] on the admin of Overall perc</v>
      </c>
      <c r="D1584" s="19" t="s">
        <v>53</v>
      </c>
      <c r="E1584" s="21">
        <v>679</v>
      </c>
    </row>
    <row r="1585" spans="2:5" hidden="1" x14ac:dyDescent="0.3">
      <c r="B1585" s="19" t="s">
        <v>40</v>
      </c>
      <c r="C1585" s="20" t="str">
        <f>HYPERLINK("#'Data'!A3320", "Household needs met exclusively due to MPCA and their fulfillment level [Endline] on the admin of Overall perc")</f>
        <v>Household needs met exclusively due to MPCA and their fulfillment level [Endline] on the admin of Overall perc</v>
      </c>
      <c r="D1585" s="19" t="s">
        <v>53</v>
      </c>
      <c r="E1585" s="21">
        <v>694</v>
      </c>
    </row>
    <row r="1586" spans="2:5" hidden="1" x14ac:dyDescent="0.3">
      <c r="B1586" s="19" t="s">
        <v>40</v>
      </c>
      <c r="C1586" s="20" t="str">
        <f>HYPERLINK("#'Data'!A3394", "Fulfillment level of 'Other' need met exclusively due to MPCA [Endline] on the admin of Overall perc")</f>
        <v>Fulfillment level of 'Other' need met exclusively due to MPCA [Endline] on the admin of Overall perc</v>
      </c>
      <c r="D1586" s="19" t="s">
        <v>53</v>
      </c>
      <c r="E1586" s="21">
        <v>709</v>
      </c>
    </row>
    <row r="1587" spans="2:5" hidden="1" x14ac:dyDescent="0.3">
      <c r="B1587" s="19" t="s">
        <v>40</v>
      </c>
      <c r="C1587" s="20" t="str">
        <f>HYPERLINK("#'Data'!A3466", "Fulfillment level of 'Food' need met exclusively due to MPCA [Endline] on the admin of Overall perc")</f>
        <v>Fulfillment level of 'Food' need met exclusively due to MPCA [Endline] on the admin of Overall perc</v>
      </c>
      <c r="D1587" s="19" t="s">
        <v>53</v>
      </c>
      <c r="E1587" s="21">
        <v>724</v>
      </c>
    </row>
    <row r="1588" spans="2:5" x14ac:dyDescent="0.3">
      <c r="B1588" s="19" t="s">
        <v>42</v>
      </c>
      <c r="C1588" s="20" t="str">
        <f>HYPERLINK("#'Data'!A3539", "Fulfillment level of 'Personal hygiene' need met exclusively due to MPCA [Endline] on the admin of Overall perc")</f>
        <v>Fulfillment level of 'Personal hygiene' need met exclusively due to MPCA [Endline] on the admin of Overall perc</v>
      </c>
      <c r="D1588" s="19" t="s">
        <v>53</v>
      </c>
      <c r="E1588" s="21">
        <v>739</v>
      </c>
    </row>
    <row r="1589" spans="2:5" x14ac:dyDescent="0.3">
      <c r="B1589" s="19" t="s">
        <v>42</v>
      </c>
      <c r="C1589" s="20" t="str">
        <f>HYPERLINK("#'Data'!A3610", "Fulfillment level of 'Cleaning items' need met exclusively due to MPCA [Endline] on the admin of Overall perc")</f>
        <v>Fulfillment level of 'Cleaning items' need met exclusively due to MPCA [Endline] on the admin of Overall perc</v>
      </c>
      <c r="D1589" s="19" t="s">
        <v>53</v>
      </c>
      <c r="E1589" s="21">
        <v>754</v>
      </c>
    </row>
    <row r="1590" spans="2:5" x14ac:dyDescent="0.3">
      <c r="B1590" s="19" t="s">
        <v>42</v>
      </c>
      <c r="C1590" s="20" t="str">
        <f>HYPERLINK("#'Data'!A3681", "Fulfillment level of 'Non-food items' need met exclusively due to MPCA [Endline] on the admin of Overall perc")</f>
        <v>Fulfillment level of 'Non-food items' need met exclusively due to MPCA [Endline] on the admin of Overall perc</v>
      </c>
      <c r="D1590" s="19" t="s">
        <v>53</v>
      </c>
      <c r="E1590" s="21">
        <v>769</v>
      </c>
    </row>
    <row r="1591" spans="2:5" x14ac:dyDescent="0.3">
      <c r="B1591" s="19" t="s">
        <v>42</v>
      </c>
      <c r="C1591" s="20" t="str">
        <f>HYPERLINK("#'Data'!A3751", "Fulfillment level of 'Clothing and shoes' need met exclusively due to MPCA [Endline] on the admin of Overall perc")</f>
        <v>Fulfillment level of 'Clothing and shoes' need met exclusively due to MPCA [Endline] on the admin of Overall perc</v>
      </c>
      <c r="D1591" s="19" t="s">
        <v>53</v>
      </c>
      <c r="E1591" s="21">
        <v>784</v>
      </c>
    </row>
    <row r="1592" spans="2:5" x14ac:dyDescent="0.3">
      <c r="B1592" s="19" t="s">
        <v>42</v>
      </c>
      <c r="C1592" s="20" t="str">
        <f>HYPERLINK("#'Data'!A3824", "Fulfillment level of 'Heating fuel' need met exclusively due to MPCA [Endline] on the admin of Overall perc")</f>
        <v>Fulfillment level of 'Heating fuel' need met exclusively due to MPCA [Endline] on the admin of Overall perc</v>
      </c>
      <c r="D1592" s="19" t="s">
        <v>53</v>
      </c>
      <c r="E1592" s="21">
        <v>799</v>
      </c>
    </row>
    <row r="1593" spans="2:5" x14ac:dyDescent="0.3">
      <c r="B1593" s="19" t="s">
        <v>42</v>
      </c>
      <c r="C1593" s="20" t="str">
        <f>HYPERLINK("#'Data'!A3898", "Fulfillment level of 'Safe water' need met exclusively due to MPCA [Endline] on the admin of Overall perc")</f>
        <v>Fulfillment level of 'Safe water' need met exclusively due to MPCA [Endline] on the admin of Overall perc</v>
      </c>
      <c r="D1593" s="19" t="s">
        <v>53</v>
      </c>
      <c r="E1593" s="21">
        <v>814</v>
      </c>
    </row>
    <row r="1594" spans="2:5" x14ac:dyDescent="0.3">
      <c r="B1594" s="19" t="s">
        <v>42</v>
      </c>
      <c r="C1594" s="20" t="str">
        <f>HYPERLINK("#'Data'!A3961", "Fulfillment level of 'Utilities' need met exclusively due to MPCA [Endline] on the admin of Overall perc")</f>
        <v>Fulfillment level of 'Utilities' need met exclusively due to MPCA [Endline] on the admin of Overall perc</v>
      </c>
      <c r="D1594" s="19" t="s">
        <v>53</v>
      </c>
      <c r="E1594" s="21">
        <v>829</v>
      </c>
    </row>
    <row r="1595" spans="2:5" x14ac:dyDescent="0.3">
      <c r="B1595" s="19" t="s">
        <v>42</v>
      </c>
      <c r="C1595" s="20" t="str">
        <f>HYPERLINK("#'Data'!A4035", "Fulfillment level of 'Water supply' need met exclusively due to MPCA [Endline] on the admin of Overall perc")</f>
        <v>Fulfillment level of 'Water supply' need met exclusively due to MPCA [Endline] on the admin of Overall perc</v>
      </c>
      <c r="D1595" s="19" t="s">
        <v>53</v>
      </c>
      <c r="E1595" s="21">
        <v>844</v>
      </c>
    </row>
    <row r="1596" spans="2:5" x14ac:dyDescent="0.3">
      <c r="B1596" s="19" t="s">
        <v>42</v>
      </c>
      <c r="C1596" s="20" t="str">
        <f>HYPERLINK("#'Data'!A4102", "Fulfillment level of 'Rent' need met exclusively due to MPCA [Endline] on the admin of Overall perc")</f>
        <v>Fulfillment level of 'Rent' need met exclusively due to MPCA [Endline] on the admin of Overall perc</v>
      </c>
      <c r="D1596" s="19" t="s">
        <v>53</v>
      </c>
      <c r="E1596" s="21">
        <v>859</v>
      </c>
    </row>
    <row r="1597" spans="2:5" x14ac:dyDescent="0.3">
      <c r="B1597" s="19" t="s">
        <v>42</v>
      </c>
      <c r="C1597" s="20" t="str">
        <f>HYPERLINK("#'Data'!A4173", "Fulfillment level of 'Assistive products' need met exclusively due to MPCA [Endline] on the admin of Overall perc")</f>
        <v>Fulfillment level of 'Assistive products' need met exclusively due to MPCA [Endline] on the admin of Overall perc</v>
      </c>
      <c r="D1597" s="19" t="s">
        <v>53</v>
      </c>
      <c r="E1597" s="21">
        <v>874</v>
      </c>
    </row>
    <row r="1598" spans="2:5" x14ac:dyDescent="0.3">
      <c r="B1598" s="19" t="s">
        <v>42</v>
      </c>
      <c r="C1598" s="20" t="str">
        <f>HYPERLINK("#'Data'!A4233", "Fulfillment level of 'Medication' need met exclusively due to MPCA [Endline] on the admin of Overall perc")</f>
        <v>Fulfillment level of 'Medication' need met exclusively due to MPCA [Endline] on the admin of Overall perc</v>
      </c>
      <c r="D1598" s="19" t="s">
        <v>53</v>
      </c>
      <c r="E1598" s="21">
        <v>889</v>
      </c>
    </row>
    <row r="1599" spans="2:5" x14ac:dyDescent="0.3">
      <c r="B1599" s="19" t="s">
        <v>42</v>
      </c>
      <c r="C1599" s="20" t="str">
        <f>HYPERLINK("#'Data'!A4307", "Fulfillment level of 'Agricultural inputs' need met exclusively due to MPCA [Endline] on the admin of Overall perc")</f>
        <v>Fulfillment level of 'Agricultural inputs' need met exclusively due to MPCA [Endline] on the admin of Overall perc</v>
      </c>
      <c r="D1599" s="19" t="s">
        <v>53</v>
      </c>
      <c r="E1599" s="21">
        <v>904</v>
      </c>
    </row>
    <row r="1600" spans="2:5" x14ac:dyDescent="0.3">
      <c r="B1600" s="19" t="s">
        <v>42</v>
      </c>
      <c r="C1600" s="20" t="str">
        <f>HYPERLINK("#'Data'!A4372", "Fulfillment level of 'Shelter maintenance' need met exclusively due to MPCA [Endline] on the admin of Overall perc")</f>
        <v>Fulfillment level of 'Shelter maintenance' need met exclusively due to MPCA [Endline] on the admin of Overall perc</v>
      </c>
      <c r="D1600" s="19" t="s">
        <v>53</v>
      </c>
      <c r="E1600" s="21">
        <v>919</v>
      </c>
    </row>
    <row r="1601" spans="2:5" x14ac:dyDescent="0.3">
      <c r="B1601" s="19" t="s">
        <v>42</v>
      </c>
      <c r="C1601" s="20" t="str">
        <f>HYPERLINK("#'Data'!A4445", "Fulfillment level of 'Future savings' need met exclusively due to MPCA [Endline] on the admin of Overall perc")</f>
        <v>Fulfillment level of 'Future savings' need met exclusively due to MPCA [Endline] on the admin of Overall perc</v>
      </c>
      <c r="D1601" s="19" t="s">
        <v>53</v>
      </c>
      <c r="E1601" s="21">
        <v>934</v>
      </c>
    </row>
    <row r="1602" spans="2:5" x14ac:dyDescent="0.3">
      <c r="B1602" s="19" t="s">
        <v>42</v>
      </c>
      <c r="C1602" s="20" t="str">
        <f>HYPERLINK("#'Data'!A4514", "Fulfillment level of 'Shared with others' need met exclusively due to MPCA [Endline] on the admin of Overall perc")</f>
        <v>Fulfillment level of 'Shared with others' need met exclusively due to MPCA [Endline] on the admin of Overall perc</v>
      </c>
      <c r="D1602" s="19" t="s">
        <v>53</v>
      </c>
      <c r="E1602" s="21">
        <v>949</v>
      </c>
    </row>
    <row r="1603" spans="2:5" x14ac:dyDescent="0.3">
      <c r="B1603" s="19" t="s">
        <v>42</v>
      </c>
      <c r="C1603" s="20" t="str">
        <f>HYPERLINK("#'Data'!A4580", "Fulfillment level of 'Transportation' need met exclusively due to MPCA [Endline] on the admin of Overall perc")</f>
        <v>Fulfillment level of 'Transportation' need met exclusively due to MPCA [Endline] on the admin of Overall perc</v>
      </c>
      <c r="D1603" s="19" t="s">
        <v>53</v>
      </c>
      <c r="E1603" s="21">
        <v>964</v>
      </c>
    </row>
    <row r="1604" spans="2:5" x14ac:dyDescent="0.3">
      <c r="B1604" s="19" t="s">
        <v>42</v>
      </c>
      <c r="C1604" s="20" t="str">
        <f>HYPERLINK("#'Data'!A4650", "Fulfillment level of 'Communication' need met exclusively due to MPCA [Endline] on the admin of Overall perc")</f>
        <v>Fulfillment level of 'Communication' need met exclusively due to MPCA [Endline] on the admin of Overall perc</v>
      </c>
      <c r="D1604" s="19" t="s">
        <v>53</v>
      </c>
      <c r="E1604" s="21">
        <v>979</v>
      </c>
    </row>
    <row r="1605" spans="2:5" x14ac:dyDescent="0.3">
      <c r="B1605" s="19" t="s">
        <v>42</v>
      </c>
      <c r="C1605" s="20" t="str">
        <f>HYPERLINK("#'Data'!A4722", "Fulfillment level of 'Education materials' need met exclusively due to MPCA [Endline] on the admin of Overall perc")</f>
        <v>Fulfillment level of 'Education materials' need met exclusively due to MPCA [Endline] on the admin of Overall perc</v>
      </c>
      <c r="D1605" s="19" t="s">
        <v>53</v>
      </c>
      <c r="E1605" s="21">
        <v>994</v>
      </c>
    </row>
    <row r="1606" spans="2:5" x14ac:dyDescent="0.3">
      <c r="B1606" s="19" t="s">
        <v>42</v>
      </c>
      <c r="C1606" s="20" t="str">
        <f>HYPERLINK("#'Data'!A4792", "Estimated percentage of MPCA spent on each category of goods and services [Endline] on the admin of Overall perc")</f>
        <v>Estimated percentage of MPCA spent on each category of goods and services [Endline] on the admin of Overall perc</v>
      </c>
      <c r="D1606" s="19" t="s">
        <v>53</v>
      </c>
      <c r="E1606" s="21">
        <v>1009</v>
      </c>
    </row>
    <row r="1607" spans="2:5" x14ac:dyDescent="0.3">
      <c r="B1607" s="19" t="s">
        <v>42</v>
      </c>
      <c r="C1607" s="20" t="str">
        <f>HYPERLINK("#'Data'!A4866", "Estimated percentage of MPCA spent on 'Other' category [Endline] on the admin of Overall mean")</f>
        <v>Estimated percentage of MPCA spent on 'Other' category [Endline] on the admin of Overall mean</v>
      </c>
      <c r="D1607" s="19" t="s">
        <v>53</v>
      </c>
      <c r="E1607" s="21">
        <v>1024</v>
      </c>
    </row>
    <row r="1608" spans="2:5" x14ac:dyDescent="0.3">
      <c r="B1608" s="19" t="s">
        <v>42</v>
      </c>
      <c r="C1608" s="20" t="str">
        <f>HYPERLINK("#'Data'!A4938", "Estimated percentage of MPCA spent on 'Food' category [Endline] on the admin of Overall mean")</f>
        <v>Estimated percentage of MPCA spent on 'Food' category [Endline] on the admin of Overall mean</v>
      </c>
      <c r="D1608" s="19" t="s">
        <v>53</v>
      </c>
      <c r="E1608" s="21">
        <v>1039</v>
      </c>
    </row>
    <row r="1609" spans="2:5" x14ac:dyDescent="0.3">
      <c r="B1609" s="19" t="s">
        <v>42</v>
      </c>
      <c r="C1609" s="20" t="str">
        <f>HYPERLINK("#'Data'!A5011", "Estimated percentage of MPCA spent on 'Personal hygiene' category [Endline] on the admin of Overall mean")</f>
        <v>Estimated percentage of MPCA spent on 'Personal hygiene' category [Endline] on the admin of Overall mean</v>
      </c>
      <c r="D1609" s="19" t="s">
        <v>53</v>
      </c>
      <c r="E1609" s="21">
        <v>1054</v>
      </c>
    </row>
    <row r="1610" spans="2:5" x14ac:dyDescent="0.3">
      <c r="B1610" s="19" t="s">
        <v>42</v>
      </c>
      <c r="C1610" s="20" t="str">
        <f>HYPERLINK("#'Data'!A5082", "Estimated percentage of MPCA spent on 'Cleaning items' category [Endline] on the admin of Overall mean")</f>
        <v>Estimated percentage of MPCA spent on 'Cleaning items' category [Endline] on the admin of Overall mean</v>
      </c>
      <c r="D1610" s="19" t="s">
        <v>53</v>
      </c>
      <c r="E1610" s="21">
        <v>1069</v>
      </c>
    </row>
    <row r="1611" spans="2:5" x14ac:dyDescent="0.3">
      <c r="B1611" s="19" t="s">
        <v>42</v>
      </c>
      <c r="C1611" s="20" t="str">
        <f>HYPERLINK("#'Data'!A5154", "Estimated percentage of MPCA spent on 'Non-food items' category [Endline] on the admin of Overall mean")</f>
        <v>Estimated percentage of MPCA spent on 'Non-food items' category [Endline] on the admin of Overall mean</v>
      </c>
      <c r="D1611" s="19" t="s">
        <v>53</v>
      </c>
      <c r="E1611" s="21">
        <v>1084</v>
      </c>
    </row>
    <row r="1612" spans="2:5" x14ac:dyDescent="0.3">
      <c r="B1612" s="19" t="s">
        <v>42</v>
      </c>
      <c r="C1612" s="20" t="str">
        <f>HYPERLINK("#'Data'!A5225", "Estimated percentage of MPCA spent on 'Clothing and shoes' category [Endline] on the admin of Overall mean")</f>
        <v>Estimated percentage of MPCA spent on 'Clothing and shoes' category [Endline] on the admin of Overall mean</v>
      </c>
      <c r="D1612" s="19" t="s">
        <v>53</v>
      </c>
      <c r="E1612" s="21">
        <v>1099</v>
      </c>
    </row>
    <row r="1613" spans="2:5" x14ac:dyDescent="0.3">
      <c r="B1613" s="19" t="s">
        <v>42</v>
      </c>
      <c r="C1613" s="20" t="str">
        <f>HYPERLINK("#'Data'!A5298", "Estimated percentage of MPCA spent on 'Heating fuel' category [Endline] on the admin of Overall mean")</f>
        <v>Estimated percentage of MPCA spent on 'Heating fuel' category [Endline] on the admin of Overall mean</v>
      </c>
      <c r="D1613" s="19" t="s">
        <v>53</v>
      </c>
      <c r="E1613" s="21">
        <v>1114</v>
      </c>
    </row>
    <row r="1614" spans="2:5" x14ac:dyDescent="0.3">
      <c r="B1614" s="19" t="s">
        <v>42</v>
      </c>
      <c r="C1614" s="20" t="str">
        <f>HYPERLINK("#'Data'!A5372", "Estimated percentage of MPCA spent on 'Safe water' category [Endline] on the admin of Overall mean")</f>
        <v>Estimated percentage of MPCA spent on 'Safe water' category [Endline] on the admin of Overall mean</v>
      </c>
      <c r="D1614" s="19" t="s">
        <v>53</v>
      </c>
      <c r="E1614" s="21">
        <v>1129</v>
      </c>
    </row>
    <row r="1615" spans="2:5" x14ac:dyDescent="0.3">
      <c r="B1615" s="19" t="s">
        <v>42</v>
      </c>
      <c r="C1615" s="20" t="str">
        <f>HYPERLINK("#'Data'!A5435", "Estimated percentage of MPCA spent on 'Utilities' category [Endline] on the admin of Overall mean")</f>
        <v>Estimated percentage of MPCA spent on 'Utilities' category [Endline] on the admin of Overall mean</v>
      </c>
      <c r="D1615" s="19" t="s">
        <v>53</v>
      </c>
      <c r="E1615" s="21">
        <v>1144</v>
      </c>
    </row>
    <row r="1616" spans="2:5" x14ac:dyDescent="0.3">
      <c r="B1616" s="19" t="s">
        <v>42</v>
      </c>
      <c r="C1616" s="20" t="str">
        <f>HYPERLINK("#'Data'!A5509", "Estimated percentage of MPCA spent on 'Water supply' category [Endline] on the admin of Overall mean")</f>
        <v>Estimated percentage of MPCA spent on 'Water supply' category [Endline] on the admin of Overall mean</v>
      </c>
      <c r="D1616" s="19" t="s">
        <v>53</v>
      </c>
      <c r="E1616" s="21">
        <v>1159</v>
      </c>
    </row>
    <row r="1617" spans="2:5" x14ac:dyDescent="0.3">
      <c r="B1617" s="19" t="s">
        <v>42</v>
      </c>
      <c r="C1617" s="20" t="str">
        <f>HYPERLINK("#'Data'!A5576", "Estimated percentage of MPCA spent on 'Rent' category [Endline] on the admin of Overall mean")</f>
        <v>Estimated percentage of MPCA spent on 'Rent' category [Endline] on the admin of Overall mean</v>
      </c>
      <c r="D1617" s="19" t="s">
        <v>53</v>
      </c>
      <c r="E1617" s="21">
        <v>1174</v>
      </c>
    </row>
    <row r="1618" spans="2:5" x14ac:dyDescent="0.3">
      <c r="B1618" s="19" t="s">
        <v>42</v>
      </c>
      <c r="C1618" s="20" t="str">
        <f>HYPERLINK("#'Data'!A5647", "Estimated percentage of MPCA spent on 'Assistive products' category [Endline] on the admin of Overall mean")</f>
        <v>Estimated percentage of MPCA spent on 'Assistive products' category [Endline] on the admin of Overall mean</v>
      </c>
      <c r="D1618" s="19" t="s">
        <v>53</v>
      </c>
      <c r="E1618" s="21">
        <v>1189</v>
      </c>
    </row>
    <row r="1619" spans="2:5" x14ac:dyDescent="0.3">
      <c r="B1619" s="19" t="s">
        <v>42</v>
      </c>
      <c r="C1619" s="20" t="str">
        <f>HYPERLINK("#'Data'!A5707", "Estimated percentage of MPCA spent on 'Medication' category [Endline] on the admin of Overall mean")</f>
        <v>Estimated percentage of MPCA spent on 'Medication' category [Endline] on the admin of Overall mean</v>
      </c>
      <c r="D1619" s="19" t="s">
        <v>53</v>
      </c>
      <c r="E1619" s="21">
        <v>1204</v>
      </c>
    </row>
    <row r="1620" spans="2:5" x14ac:dyDescent="0.3">
      <c r="B1620" s="19" t="s">
        <v>42</v>
      </c>
      <c r="C1620" s="20" t="str">
        <f>HYPERLINK("#'Data'!A5781", "Estimated percentage of MPCA spent on 'Agricultural inputs' category [Endline] on the admin of Overall mean")</f>
        <v>Estimated percentage of MPCA spent on 'Agricultural inputs' category [Endline] on the admin of Overall mean</v>
      </c>
      <c r="D1620" s="19" t="s">
        <v>53</v>
      </c>
      <c r="E1620" s="21">
        <v>1219</v>
      </c>
    </row>
    <row r="1621" spans="2:5" x14ac:dyDescent="0.3">
      <c r="B1621" s="19" t="s">
        <v>42</v>
      </c>
      <c r="C1621" s="20" t="str">
        <f>HYPERLINK("#'Data'!A5849", "Estimated percentage of MPCA spent on 'Shelter maintenance' category [Endline] on the admin of Overall mean")</f>
        <v>Estimated percentage of MPCA spent on 'Shelter maintenance' category [Endline] on the admin of Overall mean</v>
      </c>
      <c r="D1621" s="19" t="s">
        <v>53</v>
      </c>
      <c r="E1621" s="21">
        <v>1234</v>
      </c>
    </row>
    <row r="1622" spans="2:5" x14ac:dyDescent="0.3">
      <c r="B1622" s="19" t="s">
        <v>42</v>
      </c>
      <c r="C1622" s="20" t="str">
        <f>HYPERLINK("#'Data'!A5922", "Estimated percentage of MPCA spent on 'Future savings' category [Endline] on the admin of Overall mean")</f>
        <v>Estimated percentage of MPCA spent on 'Future savings' category [Endline] on the admin of Overall mean</v>
      </c>
      <c r="D1622" s="19" t="s">
        <v>53</v>
      </c>
      <c r="E1622" s="21">
        <v>1249</v>
      </c>
    </row>
    <row r="1623" spans="2:5" x14ac:dyDescent="0.3">
      <c r="B1623" s="19" t="s">
        <v>42</v>
      </c>
      <c r="C1623" s="20" t="str">
        <f>HYPERLINK("#'Data'!A5992", "Estimated percentage of MPCA spent on 'Shared with others' category [Endline] on the admin of Overall mean")</f>
        <v>Estimated percentage of MPCA spent on 'Shared with others' category [Endline] on the admin of Overall mean</v>
      </c>
      <c r="D1623" s="19" t="s">
        <v>53</v>
      </c>
      <c r="E1623" s="21">
        <v>1264</v>
      </c>
    </row>
    <row r="1624" spans="2:5" x14ac:dyDescent="0.3">
      <c r="B1624" s="19" t="s">
        <v>42</v>
      </c>
      <c r="C1624" s="20" t="str">
        <f>HYPERLINK("#'Data'!A6058", "Estimated percentage of MPCA spent on 'Transportation' category [Endline] on the admin of Overall mean")</f>
        <v>Estimated percentage of MPCA spent on 'Transportation' category [Endline] on the admin of Overall mean</v>
      </c>
      <c r="D1624" s="19" t="s">
        <v>53</v>
      </c>
      <c r="E1624" s="21">
        <v>1279</v>
      </c>
    </row>
    <row r="1625" spans="2:5" x14ac:dyDescent="0.3">
      <c r="B1625" s="19" t="s">
        <v>42</v>
      </c>
      <c r="C1625" s="20" t="str">
        <f>HYPERLINK("#'Data'!A6129", "Estimated percentage of MPCA spent on 'Communication' category [Endline] on the admin of Overall mean")</f>
        <v>Estimated percentage of MPCA spent on 'Communication' category [Endline] on the admin of Overall mean</v>
      </c>
      <c r="D1625" s="19" t="s">
        <v>53</v>
      </c>
      <c r="E1625" s="21">
        <v>1294</v>
      </c>
    </row>
    <row r="1626" spans="2:5" x14ac:dyDescent="0.3">
      <c r="B1626" s="19" t="s">
        <v>42</v>
      </c>
      <c r="C1626" s="20" t="str">
        <f>HYPERLINK("#'Data'!A6202", "Estimated percentage of MPCA spent on 'Education materials' category [Endline] on the admin of Overall mean")</f>
        <v>Estimated percentage of MPCA spent on 'Education materials' category [Endline] on the admin of Overall mean</v>
      </c>
      <c r="D1626" s="19" t="s">
        <v>53</v>
      </c>
      <c r="E1626" s="21">
        <v>1309</v>
      </c>
    </row>
    <row r="1627" spans="2:5" x14ac:dyDescent="0.3">
      <c r="B1627" s="19" t="s">
        <v>42</v>
      </c>
      <c r="C1627" s="20" t="str">
        <f>HYPERLINK("#'Data'!A6272", "Additional priority needs potentially met if MPCA duration extended to 6 months [Endline] on the admin of Overall perc")</f>
        <v>Additional priority needs potentially met if MPCA duration extended to 6 months [Endline] on the admin of Overall perc</v>
      </c>
      <c r="D1627" s="19" t="s">
        <v>53</v>
      </c>
      <c r="E1627" s="21">
        <v>1324</v>
      </c>
    </row>
    <row r="1628" spans="2:5" x14ac:dyDescent="0.3">
      <c r="B1628" s="19" t="s">
        <v>42</v>
      </c>
      <c r="C1628" s="20" t="str">
        <f>HYPERLINK("#'Data'!A6346", "Additional priority needs potentially met with doubled MPCA amount over past 3 months [Endline] on the admin of Overall perc")</f>
        <v>Additional priority needs potentially met with doubled MPCA amount over past 3 months [Endline] on the admin of Overall perc</v>
      </c>
      <c r="D1628" s="19" t="s">
        <v>53</v>
      </c>
      <c r="E1628" s="21">
        <v>1339</v>
      </c>
    </row>
    <row r="1629" spans="2:5" x14ac:dyDescent="0.3">
      <c r="B1629" s="19" t="s">
        <v>42</v>
      </c>
      <c r="C1629" s="20" t="str">
        <f>HYPERLINK("#'Data'!A6420", "Needs that MPCA is considered insufficient to address [Baseline] on the admin of Overall perc")</f>
        <v>Needs that MPCA is considered insufficient to address [Baseline] on the admin of Overall perc</v>
      </c>
      <c r="D1629" s="19" t="s">
        <v>53</v>
      </c>
      <c r="E1629" s="21">
        <v>1354</v>
      </c>
    </row>
    <row r="1630" spans="2:5" x14ac:dyDescent="0.3">
      <c r="B1630" s="19" t="s">
        <v>42</v>
      </c>
      <c r="C1630" s="20" t="str">
        <f>HYPERLINK("#'Data'!A6494", "Needs that MPCA is considered insufficient to address [Endline] on the admin of Overall perc")</f>
        <v>Needs that MPCA is considered insufficient to address [Endline] on the admin of Overall perc</v>
      </c>
      <c r="D1630" s="19" t="s">
        <v>53</v>
      </c>
      <c r="E1630" s="21">
        <v>1369</v>
      </c>
    </row>
    <row r="1631" spans="2:5" x14ac:dyDescent="0.3">
      <c r="B1631" s="19" t="s">
        <v>42</v>
      </c>
      <c r="C1631" s="20" t="str">
        <f>HYPERLINK("#'Data'!A6568", "Preferred type of assistance for meeting current household needs [Baseline] on the admin of Overall perc")</f>
        <v>Preferred type of assistance for meeting current household needs [Baseline] on the admin of Overall perc</v>
      </c>
      <c r="D1631" s="19" t="s">
        <v>53</v>
      </c>
      <c r="E1631" s="21">
        <v>1384</v>
      </c>
    </row>
    <row r="1632" spans="2:5" hidden="1" x14ac:dyDescent="0.3">
      <c r="B1632" s="19" t="s">
        <v>40</v>
      </c>
      <c r="C1632" s="20" t="str">
        <f>HYPERLINK("#'Data'!A6642", "Preferred type of assistance for meeting current household needs [Endline] on the admin of Overall perc")</f>
        <v>Preferred type of assistance for meeting current household needs [Endline] on the admin of Overall perc</v>
      </c>
      <c r="D1632" s="19" t="s">
        <v>53</v>
      </c>
      <c r="E1632" s="21">
        <v>1399</v>
      </c>
    </row>
    <row r="1633" spans="2:5" x14ac:dyDescent="0.3">
      <c r="B1633" s="19" t="s">
        <v>42</v>
      </c>
      <c r="C1633" s="20" t="str">
        <f>HYPERLINK("#'Data'!A6716", "Remaining needs after MPCA that require additional cash or in-kind assistance [Endline] on the admin of Overall perc")</f>
        <v>Remaining needs after MPCA that require additional cash or in-kind assistance [Endline] on the admin of Overall perc</v>
      </c>
      <c r="D1633" s="19" t="s">
        <v>53</v>
      </c>
      <c r="E1633" s="21">
        <v>1414</v>
      </c>
    </row>
    <row r="1634" spans="2:5" hidden="1" x14ac:dyDescent="0.3">
      <c r="B1634" s="19" t="s">
        <v>40</v>
      </c>
      <c r="C1634" s="20" t="str">
        <f>HYPERLINK("#'Data'!A6790", "Remaining needs after MPCA that require additional cash or in-kind assistance [Endline] on the admin of Overall perc")</f>
        <v>Remaining needs after MPCA that require additional cash or in-kind assistance [Endline] on the admin of Overall perc</v>
      </c>
      <c r="D1634" s="19" t="s">
        <v>53</v>
      </c>
      <c r="E1634" s="21">
        <v>1429</v>
      </c>
    </row>
    <row r="1635" spans="2:5" x14ac:dyDescent="0.3">
      <c r="B1635" s="19" t="s">
        <v>42</v>
      </c>
      <c r="C1635" s="20" t="str">
        <f>HYPERLINK("#'Data'!A6864", "Amount of multi-purpose cash assistance received over last 3 months in UAH [Endline] on the admin of Overall mean")</f>
        <v>Amount of multi-purpose cash assistance received over last 3 months in UAH [Endline] on the admin of Overall mean</v>
      </c>
      <c r="D1635" s="19" t="s">
        <v>53</v>
      </c>
      <c r="E1635" s="21">
        <v>1444</v>
      </c>
    </row>
    <row r="1636" spans="2:5" x14ac:dyDescent="0.3">
      <c r="B1636" s="19" t="s">
        <v>42</v>
      </c>
      <c r="C1636" s="20" t="str">
        <f>HYPERLINK("#'Data'!A6938", "Amount of multi-purpose cash assistance received over last 3 months per hh member in UAH [Endline] on the admin of Overall mean")</f>
        <v>Amount of multi-purpose cash assistance received over last 3 months per hh member in UAH [Endline] on the admin of Overall mean</v>
      </c>
      <c r="D1636" s="19" t="s">
        <v>53</v>
      </c>
      <c r="E1636" s="21">
        <v>1459</v>
      </c>
    </row>
    <row r="1637" spans="2:5" x14ac:dyDescent="0.3">
      <c r="B1637" s="19" t="s">
        <v>42</v>
      </c>
      <c r="C1637" s="20" t="str">
        <f>HYPERLINK("#'Data'!A7012", "Other types of humanitarian aid received in the previous three months [Endline] on the admin of Overall perc")</f>
        <v>Other types of humanitarian aid received in the previous three months [Endline] on the admin of Overall perc</v>
      </c>
      <c r="D1637" s="19" t="s">
        <v>53</v>
      </c>
      <c r="E1637" s="21">
        <v>1474</v>
      </c>
    </row>
    <row r="1638" spans="2:5" x14ac:dyDescent="0.3">
      <c r="B1638" s="19" t="s">
        <v>42</v>
      </c>
      <c r="C1638" s="20" t="str">
        <f>HYPERLINK("#'Data'!A7086", "Estimated percentage of total household expenditures spent on 'Other' (past month, excl. humanitarian aid) [Baseline] on the admin of Overall mean")</f>
        <v>Estimated percentage of total household expenditures spent on 'Other' (past month, excl. humanitarian aid) [Baseline] on the admin of Overall mean</v>
      </c>
      <c r="D1638" s="19" t="s">
        <v>53</v>
      </c>
      <c r="E1638" s="21">
        <v>1489</v>
      </c>
    </row>
    <row r="1639" spans="2:5" x14ac:dyDescent="0.3">
      <c r="B1639" s="19" t="s">
        <v>42</v>
      </c>
      <c r="C1639" s="20" t="str">
        <f>HYPERLINK("#'Data'!A7152", "Estimated percentage of total household expenditures spent on 'Food' (past month, excl. humanitarian aid) [Baseline] on the admin of Overall mean")</f>
        <v>Estimated percentage of total household expenditures spent on 'Food' (past month, excl. humanitarian aid) [Baseline] on the admin of Overall mean</v>
      </c>
      <c r="D1639" s="19" t="s">
        <v>53</v>
      </c>
      <c r="E1639" s="21">
        <v>1504</v>
      </c>
    </row>
    <row r="1640" spans="2:5" x14ac:dyDescent="0.3">
      <c r="B1640" s="19" t="s">
        <v>42</v>
      </c>
      <c r="C1640" s="20" t="str">
        <f>HYPERLINK("#'Data'!A7226", "Estimated percentage of total household expenditures spent on 'Personal hygiene' (past month, excl. humanitarian aid) [Baseline] on the admin of Overa...")</f>
        <v>Estimated percentage of total household expenditures spent on 'Personal hygiene' (past month, excl. humanitarian aid) [Baseline] on the admin of Overa...</v>
      </c>
      <c r="D1640" s="19" t="s">
        <v>53</v>
      </c>
      <c r="E1640" s="21">
        <v>1519</v>
      </c>
    </row>
    <row r="1641" spans="2:5" hidden="1" x14ac:dyDescent="0.3">
      <c r="B1641" s="19" t="s">
        <v>40</v>
      </c>
      <c r="C1641" s="20" t="str">
        <f>HYPERLINK("#'Data'!A7299", "Estimated percentage of total household expenditures spent on 'Cleaning items' (past month, excl. humanitarian aid) [Baseline] on the admin of Overall...")</f>
        <v>Estimated percentage of total household expenditures spent on 'Cleaning items' (past month, excl. humanitarian aid) [Baseline] on the admin of Overall...</v>
      </c>
      <c r="D1641" s="19" t="s">
        <v>53</v>
      </c>
      <c r="E1641" s="21">
        <v>1534</v>
      </c>
    </row>
    <row r="1642" spans="2:5" hidden="1" x14ac:dyDescent="0.3">
      <c r="B1642" s="19" t="s">
        <v>40</v>
      </c>
      <c r="C1642" s="20" t="str">
        <f>HYPERLINK("#'Data'!A7372", "Estimated percentage of total household expenditures spent on 'Non-food items' (past month, excl. humanitarian aid) [Baseline] on the admin of Overall...")</f>
        <v>Estimated percentage of total household expenditures spent on 'Non-food items' (past month, excl. humanitarian aid) [Baseline] on the admin of Overall...</v>
      </c>
      <c r="D1642" s="19" t="s">
        <v>53</v>
      </c>
      <c r="E1642" s="21">
        <v>1549</v>
      </c>
    </row>
    <row r="1643" spans="2:5" hidden="1" x14ac:dyDescent="0.3">
      <c r="B1643" s="19" t="s">
        <v>40</v>
      </c>
      <c r="C1643" s="20" t="str">
        <f>HYPERLINK("#'Data'!A7442", "Estimated percentage of total household expenditures spent on 'Clothing and shoes' (past month, excl. humanitarian aid) [Baseline] on the admin of Ove...")</f>
        <v>Estimated percentage of total household expenditures spent on 'Clothing and shoes' (past month, excl. humanitarian aid) [Baseline] on the admin of Ove...</v>
      </c>
      <c r="D1643" s="19" t="s">
        <v>53</v>
      </c>
      <c r="E1643" s="21">
        <v>1564</v>
      </c>
    </row>
    <row r="1644" spans="2:5" hidden="1" x14ac:dyDescent="0.3">
      <c r="B1644" s="19" t="s">
        <v>40</v>
      </c>
      <c r="C1644" s="20" t="str">
        <f>HYPERLINK("#'Data'!A7515", "Estimated percentage of total household expenditures spent on 'Heating fuel' (past month, excl. humanitarian aid) [Baseline] on the admin of Overall m...")</f>
        <v>Estimated percentage of total household expenditures spent on 'Heating fuel' (past month, excl. humanitarian aid) [Baseline] on the admin of Overall m...</v>
      </c>
      <c r="D1644" s="19" t="s">
        <v>53</v>
      </c>
      <c r="E1644" s="21">
        <v>1579</v>
      </c>
    </row>
    <row r="1645" spans="2:5" hidden="1" x14ac:dyDescent="0.3">
      <c r="B1645" s="19" t="s">
        <v>40</v>
      </c>
      <c r="C1645" s="20" t="str">
        <f>HYPERLINK("#'Data'!A7586", "Estimated percentage of total household expenditures spent on 'Safe water' (past month, excl. humanitarian aid) [Baseline] on the admin of Overall mea...")</f>
        <v>Estimated percentage of total household expenditures spent on 'Safe water' (past month, excl. humanitarian aid) [Baseline] on the admin of Overall mea...</v>
      </c>
      <c r="D1645" s="19" t="s">
        <v>53</v>
      </c>
      <c r="E1645" s="21">
        <v>1594</v>
      </c>
    </row>
    <row r="1646" spans="2:5" hidden="1" x14ac:dyDescent="0.3">
      <c r="B1646" s="19" t="s">
        <v>40</v>
      </c>
      <c r="C1646" s="20" t="str">
        <f>HYPERLINK("#'Data'!A7658", "Estimated percentage of total household expenditures spent on 'Utilities' (past month, excl. humanitarian aid) [Baseline] on the admin of Overall mean")</f>
        <v>Estimated percentage of total household expenditures spent on 'Utilities' (past month, excl. humanitarian aid) [Baseline] on the admin of Overall mean</v>
      </c>
      <c r="D1646" s="19" t="s">
        <v>53</v>
      </c>
      <c r="E1646" s="21">
        <v>1609</v>
      </c>
    </row>
    <row r="1647" spans="2:5" hidden="1" x14ac:dyDescent="0.3">
      <c r="B1647" s="19" t="s">
        <v>40</v>
      </c>
      <c r="C1647" s="20" t="str">
        <f>HYPERLINK("#'Data'!A7732", "Estimated percentage of total household expenditures spent on 'Water supply' (past month, excl. humanitarian aid) [Baseline] on the admin of Overall m...")</f>
        <v>Estimated percentage of total household expenditures spent on 'Water supply' (past month, excl. humanitarian aid) [Baseline] on the admin of Overall m...</v>
      </c>
      <c r="D1647" s="19" t="s">
        <v>53</v>
      </c>
      <c r="E1647" s="21">
        <v>1624</v>
      </c>
    </row>
    <row r="1648" spans="2:5" hidden="1" x14ac:dyDescent="0.3">
      <c r="B1648" s="19" t="s">
        <v>40</v>
      </c>
      <c r="C1648" s="20" t="str">
        <f>HYPERLINK("#'Data'!A7803", "Estimated percentage of total household expenditures spent on 'Rent' (past month, excl. humanitarian aid) [Baseline] on the admin of Overall mean")</f>
        <v>Estimated percentage of total household expenditures spent on 'Rent' (past month, excl. humanitarian aid) [Baseline] on the admin of Overall mean</v>
      </c>
      <c r="D1648" s="19" t="s">
        <v>53</v>
      </c>
      <c r="E1648" s="21">
        <v>1639</v>
      </c>
    </row>
    <row r="1649" spans="2:5" hidden="1" x14ac:dyDescent="0.3">
      <c r="B1649" s="19" t="s">
        <v>40</v>
      </c>
      <c r="C1649" s="20" t="str">
        <f>HYPERLINK("#'Data'!A7873", "Estimated percentage of total household expenditures spent on 'Assistive products' (past month, excl. humanitarian aid) [Baseline] on the admin of Ove...")</f>
        <v>Estimated percentage of total household expenditures spent on 'Assistive products' (past month, excl. humanitarian aid) [Baseline] on the admin of Ove...</v>
      </c>
      <c r="D1649" s="19" t="s">
        <v>53</v>
      </c>
      <c r="E1649" s="21">
        <v>1654</v>
      </c>
    </row>
    <row r="1650" spans="2:5" hidden="1" x14ac:dyDescent="0.3">
      <c r="B1650" s="19" t="s">
        <v>40</v>
      </c>
      <c r="C1650" s="20" t="str">
        <f>HYPERLINK("#'Data'!A7943", "Estimated percentage of total household expenditures spent on 'Medication' (past month, excl. humanitarian aid) [Baseline] on the admin of Overall mea...")</f>
        <v>Estimated percentage of total household expenditures spent on 'Medication' (past month, excl. humanitarian aid) [Baseline] on the admin of Overall mea...</v>
      </c>
      <c r="D1650" s="19" t="s">
        <v>53</v>
      </c>
      <c r="E1650" s="21">
        <v>1669</v>
      </c>
    </row>
    <row r="1651" spans="2:5" hidden="1" x14ac:dyDescent="0.3">
      <c r="B1651" s="19" t="s">
        <v>40</v>
      </c>
      <c r="C1651" s="20" t="str">
        <f>HYPERLINK("#'Data'!A8016", "Estimated percentage of total household expenditures spent on 'Agricultural inputs' (past month, excl. humanitarian aid) [Baseline] on the admin of Ov...")</f>
        <v>Estimated percentage of total household expenditures spent on 'Agricultural inputs' (past month, excl. humanitarian aid) [Baseline] on the admin of Ov...</v>
      </c>
      <c r="D1651" s="19" t="s">
        <v>53</v>
      </c>
      <c r="E1651" s="21">
        <v>1684</v>
      </c>
    </row>
    <row r="1652" spans="2:5" hidden="1" x14ac:dyDescent="0.3">
      <c r="B1652" s="19" t="s">
        <v>40</v>
      </c>
      <c r="C1652" s="20" t="str">
        <f>HYPERLINK("#'Data'!A8085", "Estimated percentage of total household expenditures spent on 'Shelter maintenance' (past month, excl. humanitarian aid) [Baseline] on the admin of Ov...")</f>
        <v>Estimated percentage of total household expenditures spent on 'Shelter maintenance' (past month, excl. humanitarian aid) [Baseline] on the admin of Ov...</v>
      </c>
      <c r="D1652" s="19" t="s">
        <v>53</v>
      </c>
      <c r="E1652" s="21">
        <v>1699</v>
      </c>
    </row>
    <row r="1653" spans="2:5" hidden="1" x14ac:dyDescent="0.3">
      <c r="B1653" s="19" t="s">
        <v>40</v>
      </c>
      <c r="C1653" s="20" t="str">
        <f>HYPERLINK("#'Data'!A8156", "Estimated percentage of total household expenditures spent on 'Future savings' (past month, excl. humanitarian aid) [Baseline] on the admin of Overall...")</f>
        <v>Estimated percentage of total household expenditures spent on 'Future savings' (past month, excl. humanitarian aid) [Baseline] on the admin of Overall...</v>
      </c>
      <c r="D1653" s="19" t="s">
        <v>53</v>
      </c>
      <c r="E1653" s="21">
        <v>1714</v>
      </c>
    </row>
    <row r="1654" spans="2:5" hidden="1" x14ac:dyDescent="0.3">
      <c r="B1654" s="19" t="s">
        <v>40</v>
      </c>
      <c r="C1654" s="20" t="str">
        <f>HYPERLINK("#'Data'!A8222", "Estimated percentage of total household expenditures spent on 'Shared with others' (past month, excl. humanitarian aid) [Baseline] on the admin of Ove...")</f>
        <v>Estimated percentage of total household expenditures spent on 'Shared with others' (past month, excl. humanitarian aid) [Baseline] on the admin of Ove...</v>
      </c>
      <c r="D1654" s="19" t="s">
        <v>53</v>
      </c>
      <c r="E1654" s="21">
        <v>1729</v>
      </c>
    </row>
    <row r="1655" spans="2:5" hidden="1" x14ac:dyDescent="0.3">
      <c r="B1655" s="19" t="s">
        <v>40</v>
      </c>
      <c r="C1655" s="20" t="str">
        <f>HYPERLINK("#'Data'!A8293", "Estimated percentage of total household expenditures spent on 'Transportation' (past month, excl. humanitarian aid) [Baseline] on the admin of Overall...")</f>
        <v>Estimated percentage of total household expenditures spent on 'Transportation' (past month, excl. humanitarian aid) [Baseline] on the admin of Overall...</v>
      </c>
      <c r="D1655" s="19" t="s">
        <v>53</v>
      </c>
      <c r="E1655" s="21">
        <v>1744</v>
      </c>
    </row>
    <row r="1656" spans="2:5" hidden="1" x14ac:dyDescent="0.3">
      <c r="B1656" s="19" t="s">
        <v>40</v>
      </c>
      <c r="C1656" s="20" t="str">
        <f>HYPERLINK("#'Data'!A8365", "Estimated percentage of total household expenditures spent on 'Communication' (past month, excl. humanitarian aid) [Baseline] on the admin of Overall ...")</f>
        <v>Estimated percentage of total household expenditures spent on 'Communication' (past month, excl. humanitarian aid) [Baseline] on the admin of Overall ...</v>
      </c>
      <c r="D1656" s="19" t="s">
        <v>53</v>
      </c>
      <c r="E1656" s="21">
        <v>1759</v>
      </c>
    </row>
    <row r="1657" spans="2:5" hidden="1" x14ac:dyDescent="0.3">
      <c r="B1657" s="19" t="s">
        <v>40</v>
      </c>
      <c r="C1657" s="20" t="str">
        <f>HYPERLINK("#'Data'!A8439", "Estimated percentage of total household expenditures spent on 'Education materials' (past month, excl. humanitarian aid) [Baseline] on the admin of Ov...")</f>
        <v>Estimated percentage of total household expenditures spent on 'Education materials' (past month, excl. humanitarian aid) [Baseline] on the admin of Ov...</v>
      </c>
      <c r="D1657" s="19" t="s">
        <v>53</v>
      </c>
      <c r="E1657" s="21">
        <v>1774</v>
      </c>
    </row>
    <row r="1658" spans="2:5" hidden="1" x14ac:dyDescent="0.3">
      <c r="B1658" s="19" t="s">
        <v>40</v>
      </c>
      <c r="C1658" s="20" t="str">
        <f>HYPERLINK("#'Data'!A8510", "Estimated percentage of total household expenditures spent on 'Other' (past month, excl. humanitarian aid) [Endline] on the admin of Overall mean")</f>
        <v>Estimated percentage of total household expenditures spent on 'Other' (past month, excl. humanitarian aid) [Endline] on the admin of Overall mean</v>
      </c>
      <c r="D1658" s="19" t="s">
        <v>53</v>
      </c>
      <c r="E1658" s="21">
        <v>1789</v>
      </c>
    </row>
    <row r="1659" spans="2:5" hidden="1" x14ac:dyDescent="0.3">
      <c r="B1659" s="19" t="s">
        <v>40</v>
      </c>
      <c r="C1659" s="20" t="str">
        <f>HYPERLINK("#'Data'!A8576", "Estimated percentage of total household expenditures spent on 'Food' (past month, excl. humanitarian aid) [Endline] on the admin of Overall mean")</f>
        <v>Estimated percentage of total household expenditures spent on 'Food' (past month, excl. humanitarian aid) [Endline] on the admin of Overall mean</v>
      </c>
      <c r="D1659" s="19" t="s">
        <v>53</v>
      </c>
      <c r="E1659" s="21">
        <v>1804</v>
      </c>
    </row>
    <row r="1660" spans="2:5" hidden="1" x14ac:dyDescent="0.3">
      <c r="B1660" s="19" t="s">
        <v>40</v>
      </c>
      <c r="C1660" s="20" t="str">
        <f>HYPERLINK("#'Data'!A8650", "Estimated percentage of total household expenditures spent on 'Personal hygiene' (past month, excl. humanitarian aid) [Endline] on the admin of Overal...")</f>
        <v>Estimated percentage of total household expenditures spent on 'Personal hygiene' (past month, excl. humanitarian aid) [Endline] on the admin of Overal...</v>
      </c>
      <c r="D1660" s="19" t="s">
        <v>53</v>
      </c>
      <c r="E1660" s="21">
        <v>1819</v>
      </c>
    </row>
    <row r="1661" spans="2:5" x14ac:dyDescent="0.3">
      <c r="B1661" s="19" t="s">
        <v>42</v>
      </c>
      <c r="C1661" s="20" t="str">
        <f>HYPERLINK("#'Data'!A8723", "Estimated percentage of total household expenditures spent on 'Cleaning items' (past month, excl. humanitarian aid) [Endline] on the admin of Overall ...")</f>
        <v>Estimated percentage of total household expenditures spent on 'Cleaning items' (past month, excl. humanitarian aid) [Endline] on the admin of Overall ...</v>
      </c>
      <c r="D1661" s="19" t="s">
        <v>53</v>
      </c>
      <c r="E1661" s="21">
        <v>1834</v>
      </c>
    </row>
    <row r="1662" spans="2:5" x14ac:dyDescent="0.3">
      <c r="B1662" s="19" t="s">
        <v>42</v>
      </c>
      <c r="C1662" s="20" t="str">
        <f>HYPERLINK("#'Data'!A8796", "Estimated percentage of total household expenditures spent on 'Non-food items' (past month, excl. humanitarian aid) [Endline] on the admin of Overall ...")</f>
        <v>Estimated percentage of total household expenditures spent on 'Non-food items' (past month, excl. humanitarian aid) [Endline] on the admin of Overall ...</v>
      </c>
      <c r="D1662" s="19" t="s">
        <v>53</v>
      </c>
      <c r="E1662" s="21">
        <v>1849</v>
      </c>
    </row>
    <row r="1663" spans="2:5" x14ac:dyDescent="0.3">
      <c r="B1663" s="19" t="s">
        <v>42</v>
      </c>
      <c r="C1663" s="20" t="str">
        <f>HYPERLINK("#'Data'!A8868", "Estimated percentage of total household expenditures spent on 'Clothing and shoes' (past month, excl. humanitarian aid) [Endline] on the admin of Over...")</f>
        <v>Estimated percentage of total household expenditures spent on 'Clothing and shoes' (past month, excl. humanitarian aid) [Endline] on the admin of Over...</v>
      </c>
      <c r="D1663" s="19" t="s">
        <v>53</v>
      </c>
      <c r="E1663" s="21">
        <v>1864</v>
      </c>
    </row>
    <row r="1664" spans="2:5" x14ac:dyDescent="0.3">
      <c r="B1664" s="19" t="s">
        <v>42</v>
      </c>
      <c r="C1664" s="20" t="str">
        <f>HYPERLINK("#'Data'!A8941", "Estimated percentage of total household expenditures spent on 'Heating fuel' (past month, excl. humanitarian aid) [Endline] on the admin of Overall me...")</f>
        <v>Estimated percentage of total household expenditures spent on 'Heating fuel' (past month, excl. humanitarian aid) [Endline] on the admin of Overall me...</v>
      </c>
      <c r="D1664" s="19" t="s">
        <v>53</v>
      </c>
      <c r="E1664" s="21">
        <v>1879</v>
      </c>
    </row>
    <row r="1665" spans="2:5" x14ac:dyDescent="0.3">
      <c r="B1665" s="19" t="s">
        <v>42</v>
      </c>
      <c r="C1665" s="20" t="str">
        <f>HYPERLINK("#'Data'!A9015", "Estimated percentage of total household expenditures spent on 'Safe water' (past month, excl. humanitarian aid) [Endline] on the admin of Overall mean")</f>
        <v>Estimated percentage of total household expenditures spent on 'Safe water' (past month, excl. humanitarian aid) [Endline] on the admin of Overall mean</v>
      </c>
      <c r="D1665" s="19" t="s">
        <v>53</v>
      </c>
      <c r="E1665" s="21">
        <v>1894</v>
      </c>
    </row>
    <row r="1666" spans="2:5" x14ac:dyDescent="0.3">
      <c r="B1666" s="19" t="s">
        <v>42</v>
      </c>
      <c r="C1666" s="20" t="str">
        <f>HYPERLINK("#'Data'!A9087", "Estimated percentage of total household expenditures spent on 'Utilities' (past month, excl. humanitarian aid) [Endline] on the admin of Overall mean")</f>
        <v>Estimated percentage of total household expenditures spent on 'Utilities' (past month, excl. humanitarian aid) [Endline] on the admin of Overall mean</v>
      </c>
      <c r="D1666" s="19" t="s">
        <v>53</v>
      </c>
      <c r="E1666" s="21">
        <v>1909</v>
      </c>
    </row>
    <row r="1667" spans="2:5" x14ac:dyDescent="0.3">
      <c r="B1667" s="19" t="s">
        <v>42</v>
      </c>
      <c r="C1667" s="20" t="str">
        <f>HYPERLINK("#'Data'!A9161", "Estimated percentage of total household expenditures spent on 'Water supply' (past month, excl. humanitarian aid) [Endline] on the admin of Overall me...")</f>
        <v>Estimated percentage of total household expenditures spent on 'Water supply' (past month, excl. humanitarian aid) [Endline] on the admin of Overall me...</v>
      </c>
      <c r="D1667" s="19" t="s">
        <v>53</v>
      </c>
      <c r="E1667" s="21">
        <v>1924</v>
      </c>
    </row>
    <row r="1668" spans="2:5" x14ac:dyDescent="0.3">
      <c r="B1668" s="19" t="s">
        <v>42</v>
      </c>
      <c r="C1668" s="20" t="str">
        <f>HYPERLINK("#'Data'!A9232", "Estimated percentage of total household expenditures spent on 'Rent' (past month, excl. humanitarian aid) [Endline] on the admin of Overall mean")</f>
        <v>Estimated percentage of total household expenditures spent on 'Rent' (past month, excl. humanitarian aid) [Endline] on the admin of Overall mean</v>
      </c>
      <c r="D1668" s="19" t="s">
        <v>53</v>
      </c>
      <c r="E1668" s="21">
        <v>1939</v>
      </c>
    </row>
    <row r="1669" spans="2:5" x14ac:dyDescent="0.3">
      <c r="B1669" s="19" t="s">
        <v>42</v>
      </c>
      <c r="C1669" s="20" t="str">
        <f>HYPERLINK("#'Data'!A9299", "Estimated percentage of total household expenditures spent on 'Assistive products' (past month, excl. humanitarian aid) [Endline] on the admin of Over...")</f>
        <v>Estimated percentage of total household expenditures spent on 'Assistive products' (past month, excl. humanitarian aid) [Endline] on the admin of Over...</v>
      </c>
      <c r="D1669" s="19" t="s">
        <v>53</v>
      </c>
      <c r="E1669" s="21">
        <v>1954</v>
      </c>
    </row>
    <row r="1670" spans="2:5" x14ac:dyDescent="0.3">
      <c r="B1670" s="19" t="s">
        <v>42</v>
      </c>
      <c r="C1670" s="20" t="str">
        <f>HYPERLINK("#'Data'!A9364", "Estimated percentage of total household expenditures spent on 'Medication' (past month, excl. humanitarian aid) [Endline] on the admin of Overall mean")</f>
        <v>Estimated percentage of total household expenditures spent on 'Medication' (past month, excl. humanitarian aid) [Endline] on the admin of Overall mean</v>
      </c>
      <c r="D1670" s="19" t="s">
        <v>53</v>
      </c>
      <c r="E1670" s="21">
        <v>1969</v>
      </c>
    </row>
    <row r="1671" spans="2:5" x14ac:dyDescent="0.3">
      <c r="B1671" s="19" t="s">
        <v>42</v>
      </c>
      <c r="C1671" s="20" t="str">
        <f>HYPERLINK("#'Data'!A9438", "Estimated percentage of total household expenditures spent on 'Agricultural inputs' (past month, excl. humanitarian aid) [Endline] on the admin of Ove...")</f>
        <v>Estimated percentage of total household expenditures spent on 'Agricultural inputs' (past month, excl. humanitarian aid) [Endline] on the admin of Ove...</v>
      </c>
      <c r="D1671" s="19" t="s">
        <v>53</v>
      </c>
      <c r="E1671" s="21">
        <v>1984</v>
      </c>
    </row>
    <row r="1672" spans="2:5" x14ac:dyDescent="0.3">
      <c r="B1672" s="19" t="s">
        <v>42</v>
      </c>
      <c r="C1672" s="20" t="str">
        <f>HYPERLINK("#'Data'!A9503", "Estimated percentage of total household expenditures spent on 'Shelter maintenance' (past month, excl. humanitarian aid) [Endline] on the admin of Ove...")</f>
        <v>Estimated percentage of total household expenditures spent on 'Shelter maintenance' (past month, excl. humanitarian aid) [Endline] on the admin of Ove...</v>
      </c>
      <c r="D1672" s="19" t="s">
        <v>53</v>
      </c>
      <c r="E1672" s="21">
        <v>1999</v>
      </c>
    </row>
    <row r="1673" spans="2:5" x14ac:dyDescent="0.3">
      <c r="B1673" s="19" t="s">
        <v>42</v>
      </c>
      <c r="C1673" s="20" t="str">
        <f>HYPERLINK("#'Data'!A9572", "Estimated percentage of total household expenditures spent on 'Future savings' (past month, excl. humanitarian aid) [Endline] on the admin of Overall ...")</f>
        <v>Estimated percentage of total household expenditures spent on 'Future savings' (past month, excl. humanitarian aid) [Endline] on the admin of Overall ...</v>
      </c>
      <c r="D1673" s="19" t="s">
        <v>53</v>
      </c>
      <c r="E1673" s="21">
        <v>2014</v>
      </c>
    </row>
    <row r="1674" spans="2:5" x14ac:dyDescent="0.3">
      <c r="B1674" s="19" t="s">
        <v>42</v>
      </c>
      <c r="C1674" s="20" t="str">
        <f>HYPERLINK("#'Data'!A9638", "Estimated percentage of total household expenditures spent on 'Shared with others' (past month, excl. humanitarian aid) [Endline] on the admin of Over...")</f>
        <v>Estimated percentage of total household expenditures spent on 'Shared with others' (past month, excl. humanitarian aid) [Endline] on the admin of Over...</v>
      </c>
      <c r="D1674" s="19" t="s">
        <v>53</v>
      </c>
      <c r="E1674" s="21">
        <v>2029</v>
      </c>
    </row>
    <row r="1675" spans="2:5" x14ac:dyDescent="0.3">
      <c r="B1675" s="19" t="s">
        <v>42</v>
      </c>
      <c r="C1675" s="20" t="str">
        <f>HYPERLINK("#'Data'!A9701", "Estimated percentage of total household expenditures spent on 'Transportation' (past month, excl. humanitarian aid) [Endline] on the admin of Overall ...")</f>
        <v>Estimated percentage of total household expenditures spent on 'Transportation' (past month, excl. humanitarian aid) [Endline] on the admin of Overall ...</v>
      </c>
      <c r="D1675" s="19" t="s">
        <v>53</v>
      </c>
      <c r="E1675" s="21">
        <v>2044</v>
      </c>
    </row>
    <row r="1676" spans="2:5" x14ac:dyDescent="0.3">
      <c r="B1676" s="19" t="s">
        <v>42</v>
      </c>
      <c r="C1676" s="20" t="str">
        <f>HYPERLINK("#'Data'!A9771", "Estimated percentage of total household expenditures spent on 'Communication' (past month, excl. humanitarian aid) [Endline] on the admin of Overall m...")</f>
        <v>Estimated percentage of total household expenditures spent on 'Communication' (past month, excl. humanitarian aid) [Endline] on the admin of Overall m...</v>
      </c>
      <c r="D1676" s="19" t="s">
        <v>53</v>
      </c>
      <c r="E1676" s="21">
        <v>2059</v>
      </c>
    </row>
    <row r="1677" spans="2:5" x14ac:dyDescent="0.3">
      <c r="B1677" s="19" t="s">
        <v>42</v>
      </c>
      <c r="C1677" s="20" t="str">
        <f>HYPERLINK("#'Data'!A9845", "Estimated percentage of total household expenditures spent on 'Education materials' (past month, excl. humanitarian aid) [Endline] on the admin of Ove...")</f>
        <v>Estimated percentage of total household expenditures spent on 'Education materials' (past month, excl. humanitarian aid) [Endline] on the admin of Ove...</v>
      </c>
      <c r="D1677" s="19" t="s">
        <v>53</v>
      </c>
      <c r="E1677" s="21">
        <v>2074</v>
      </c>
    </row>
    <row r="1678" spans="2:5" hidden="1" x14ac:dyDescent="0.3">
      <c r="B1678" s="19" t="s">
        <v>40</v>
      </c>
      <c r="C1678" s="20" t="str">
        <f>HYPERLINK("#'Data'!A45",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1678" s="19" t="s">
        <v>54</v>
      </c>
      <c r="E1678" s="21">
        <v>10</v>
      </c>
    </row>
    <row r="1679" spans="2:5" hidden="1" x14ac:dyDescent="0.3">
      <c r="B1679" s="19" t="s">
        <v>40</v>
      </c>
      <c r="C1679" s="20" t="str">
        <f>HYPERLINK("#'Data'!A119",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1679" s="19" t="s">
        <v>54</v>
      </c>
      <c r="E1679" s="21">
        <v>25</v>
      </c>
    </row>
    <row r="1680" spans="2:5" x14ac:dyDescent="0.3">
      <c r="B1680" s="19" t="s">
        <v>42</v>
      </c>
      <c r="C1680" s="20" t="str">
        <f>HYPERLINK("#'Data'!A193",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1680" s="19" t="s">
        <v>54</v>
      </c>
      <c r="E1680" s="21">
        <v>40</v>
      </c>
    </row>
    <row r="1681" spans="2:5" x14ac:dyDescent="0.3">
      <c r="B1681" s="19" t="s">
        <v>42</v>
      </c>
      <c r="C1681" s="20" t="str">
        <f>HYPERLINK("#'Data'!A267",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1681" s="19" t="s">
        <v>54</v>
      </c>
      <c r="E1681" s="21">
        <v>55</v>
      </c>
    </row>
    <row r="1682" spans="2:5" hidden="1" x14ac:dyDescent="0.3">
      <c r="B1682" s="19" t="s">
        <v>40</v>
      </c>
      <c r="C1682" s="20" t="str">
        <f>HYPERLINK("#'Data'!A341", "Sources of income or financial support  household received in the last month [Baseline] broken down by single_ho_hh_child_or_60 on the admin of Overal...")</f>
        <v>Sources of income or financial support  household received in the last month [Baseline] broken down by single_ho_hh_child_or_60 on the admin of Overal...</v>
      </c>
      <c r="D1682" s="19" t="s">
        <v>54</v>
      </c>
      <c r="E1682" s="21">
        <v>70</v>
      </c>
    </row>
    <row r="1683" spans="2:5" x14ac:dyDescent="0.3">
      <c r="B1683" s="19" t="s">
        <v>42</v>
      </c>
      <c r="C1683" s="20" t="str">
        <f>HYPERLINK("#'Data'!A415", "Sources of income or financial support  household received in the last month other than multi-purpose cash assistance [Endline] broken down by single_...")</f>
        <v>Sources of income or financial support  household received in the last month other than multi-purpose cash assistance [Endline] broken down by single_...</v>
      </c>
      <c r="D1683" s="19" t="s">
        <v>54</v>
      </c>
      <c r="E1683" s="21">
        <v>85</v>
      </c>
    </row>
    <row r="1684" spans="2:5" hidden="1" x14ac:dyDescent="0.3">
      <c r="B1684" s="19" t="s">
        <v>40</v>
      </c>
      <c r="C1684" s="20" t="str">
        <f>HYPERLINK("#'Data'!A489",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1684" s="19" t="s">
        <v>54</v>
      </c>
      <c r="E1684" s="21">
        <v>100</v>
      </c>
    </row>
    <row r="1685" spans="2:5" hidden="1" x14ac:dyDescent="0.3">
      <c r="B1685" s="19" t="s">
        <v>40</v>
      </c>
      <c r="C1685" s="20" t="str">
        <f>HYPERLINK("#'Data'!A563",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1685" s="19" t="s">
        <v>54</v>
      </c>
      <c r="E1685" s="21">
        <v>115</v>
      </c>
    </row>
    <row r="1686" spans="2:5" x14ac:dyDescent="0.3">
      <c r="B1686" s="19" t="s">
        <v>42</v>
      </c>
      <c r="C1686" s="20" t="str">
        <f>HYPERLINK("#'Data'!A637",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1686" s="19" t="s">
        <v>54</v>
      </c>
      <c r="E1686" s="21">
        <v>130</v>
      </c>
    </row>
    <row r="1687" spans="2:5" x14ac:dyDescent="0.3">
      <c r="B1687" s="19" t="s">
        <v>42</v>
      </c>
      <c r="C1687" s="20" t="str">
        <f>HYPERLINK("#'Data'!A711",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1687" s="19" t="s">
        <v>54</v>
      </c>
      <c r="E1687" s="21">
        <v>145</v>
      </c>
    </row>
    <row r="1688" spans="2:5" hidden="1" x14ac:dyDescent="0.3">
      <c r="B1688" s="19" t="s">
        <v>40</v>
      </c>
      <c r="C1688" s="20" t="str">
        <f>HYPERLINK("#'Data'!A785", "Household expenditures by category over the past 30 days [or month] in UAH [Baseline] broken down by single_ho_hh_child_or_60 on the admin of Overall ...")</f>
        <v>Household expenditures by category over the past 30 days [or month] in UAH [Baseline] broken down by single_ho_hh_child_or_60 on the admin of Overall ...</v>
      </c>
      <c r="D1688" s="19" t="s">
        <v>54</v>
      </c>
      <c r="E1688" s="21">
        <v>160</v>
      </c>
    </row>
    <row r="1689" spans="2:5" x14ac:dyDescent="0.3">
      <c r="B1689" s="19" t="s">
        <v>42</v>
      </c>
      <c r="C1689" s="20" t="str">
        <f>HYPERLINK("#'Data'!A859", "Household expenditures by category over the past 30 days [or month] in UAH [Endline] broken down by single_ho_hh_child_or_60 on the admin of Overall p...")</f>
        <v>Household expenditures by category over the past 30 days [or month] in UAH [Endline] broken down by single_ho_hh_child_or_60 on the admin of Overall p...</v>
      </c>
      <c r="D1689" s="19" t="s">
        <v>54</v>
      </c>
      <c r="E1689" s="21">
        <v>175</v>
      </c>
    </row>
    <row r="1690" spans="2:5" hidden="1" x14ac:dyDescent="0.3">
      <c r="B1690" s="19" t="s">
        <v>40</v>
      </c>
      <c r="C1690" s="20" t="str">
        <f>HYPERLINK("#'Data'!A933", "Household's ability to meet basic needs (self-defined and prioritized) [Baseline] broken down by single_ho_hh_child_or_60 on the admin of Overall perc")</f>
        <v>Household's ability to meet basic needs (self-defined and prioritized) [Baseline] broken down by single_ho_hh_child_or_60 on the admin of Overall perc</v>
      </c>
      <c r="D1690" s="19" t="s">
        <v>54</v>
      </c>
      <c r="E1690" s="21">
        <v>190</v>
      </c>
    </row>
    <row r="1691" spans="2:5" x14ac:dyDescent="0.3">
      <c r="B1691" s="19" t="s">
        <v>42</v>
      </c>
      <c r="C1691" s="20" t="str">
        <f>HYPERLINK("#'Data'!A1007", "Household's ability to meet basic needs (self-defined and prioritized) [Endline] broken down by single_ho_hh_child_or_60 on the admin of Overall perc")</f>
        <v>Household's ability to meet basic needs (self-defined and prioritized) [Endline] broken down by single_ho_hh_child_or_60 on the admin of Overall perc</v>
      </c>
      <c r="D1691" s="19" t="s">
        <v>54</v>
      </c>
      <c r="E1691" s="21">
        <v>205</v>
      </c>
    </row>
    <row r="1692" spans="2:5" hidden="1" x14ac:dyDescent="0.3">
      <c r="B1692" s="19" t="s">
        <v>40</v>
      </c>
      <c r="C1692" s="20" t="str">
        <f>HYPERLINK("#'Data'!A1081", "Basic needs the household is currently unable to fulfill (if not all are met) [Baseline] broken down by single_ho_hh_child_or_60 on the admin of Overa...")</f>
        <v>Basic needs the household is currently unable to fulfill (if not all are met) [Baseline] broken down by single_ho_hh_child_or_60 on the admin of Overa...</v>
      </c>
      <c r="D1692" s="19" t="s">
        <v>54</v>
      </c>
      <c r="E1692" s="21">
        <v>220</v>
      </c>
    </row>
    <row r="1693" spans="2:5" x14ac:dyDescent="0.3">
      <c r="B1693" s="19" t="s">
        <v>42</v>
      </c>
      <c r="C1693" s="20" t="str">
        <f>HYPERLINK("#'Data'!A1155", "Basic needs the household is currently unable to fulfill (if not all are met) [Endline] broken down by single_ho_hh_child_or_60 on the admin of Overal...")</f>
        <v>Basic needs the household is currently unable to fulfill (if not all are met) [Endline] broken down by single_ho_hh_child_or_60 on the admin of Overal...</v>
      </c>
      <c r="D1693" s="19" t="s">
        <v>54</v>
      </c>
      <c r="E1693" s="21">
        <v>235</v>
      </c>
    </row>
    <row r="1694" spans="2:5" hidden="1" x14ac:dyDescent="0.3">
      <c r="B1694" s="19" t="s">
        <v>40</v>
      </c>
      <c r="C1694" s="20" t="str">
        <f>HYPERLINK("#'Data'!A1229", "Coping strategies used in the last 30 days due to insufficient resources to meet basic needs [Baseline] broken down by single_ho_hh_child_or_60 on the...")</f>
        <v>Coping strategies used in the last 30 days due to insufficient resources to meet basic needs [Baseline] broken down by single_ho_hh_child_or_60 on the...</v>
      </c>
      <c r="D1694" s="19" t="s">
        <v>54</v>
      </c>
      <c r="E1694" s="21">
        <v>250</v>
      </c>
    </row>
    <row r="1695" spans="2:5" x14ac:dyDescent="0.3">
      <c r="B1695" s="19" t="s">
        <v>42</v>
      </c>
      <c r="C1695" s="20" t="str">
        <f>HYPERLINK("#'Data'!A1303", "Coping strategies used in the last 30 days due to insufficient resources to meet basic needs [Endline] broken down by single_ho_hh_child_or_60 on the ...")</f>
        <v>Coping strategies used in the last 30 days due to insufficient resources to meet basic needs [Endline] broken down by single_ho_hh_child_or_60 on the ...</v>
      </c>
      <c r="D1695" s="19" t="s">
        <v>54</v>
      </c>
      <c r="E1695" s="21">
        <v>265</v>
      </c>
    </row>
    <row r="1696" spans="2:5" x14ac:dyDescent="0.3">
      <c r="B1696" s="19" t="s">
        <v>42</v>
      </c>
      <c r="C1696" s="20" t="str">
        <f>HYPERLINK("#'Data'!A1377", "Coping strategies avoided in the past 3 months due to receipt of MPCA [Endline] broken down by single_ho_hh_child_or_60 on the admin of Overall perc")</f>
        <v>Coping strategies avoided in the past 3 months due to receipt of MPCA [Endline] broken down by single_ho_hh_child_or_60 on the admin of Overall perc</v>
      </c>
      <c r="D1696" s="19" t="s">
        <v>54</v>
      </c>
      <c r="E1696" s="21">
        <v>280</v>
      </c>
    </row>
    <row r="1697" spans="2:5" hidden="1" x14ac:dyDescent="0.3">
      <c r="B1697" s="19" t="s">
        <v>40</v>
      </c>
      <c r="C1697" s="20" t="str">
        <f>HYPERLINK("#'Data'!A1451", "Household perception of relevance of forthcoming MPCA (3,600 UAH for 3 months per member) [Baseline] broken down by single_ho_hh_child_or_60 on the ad...")</f>
        <v>Household perception of relevance of forthcoming MPCA (3,600 UAH for 3 months per member) [Baseline] broken down by single_ho_hh_child_or_60 on the ad...</v>
      </c>
      <c r="D1697" s="19" t="s">
        <v>54</v>
      </c>
      <c r="E1697" s="21">
        <v>295</v>
      </c>
    </row>
    <row r="1698" spans="2:5" hidden="1" x14ac:dyDescent="0.3">
      <c r="B1698" s="19" t="s">
        <v>40</v>
      </c>
      <c r="C1698" s="20" t="str">
        <f>HYPERLINK("#'Data'!A1525", "Estimated percentage of household needs met by upcoming MPCA (if partially appropriate) [Baseline] broken down by single_ho_hh_child_or_60 on the admi...")</f>
        <v>Estimated percentage of household needs met by upcoming MPCA (if partially appropriate) [Baseline] broken down by single_ho_hh_child_or_60 on the admi...</v>
      </c>
      <c r="D1698" s="19" t="s">
        <v>54</v>
      </c>
      <c r="E1698" s="21">
        <v>310</v>
      </c>
    </row>
    <row r="1699" spans="2:5" x14ac:dyDescent="0.3">
      <c r="B1699" s="19" t="s">
        <v>42</v>
      </c>
      <c r="C1699" s="20" t="str">
        <f>HYPERLINK("#'Data'!A1599", "Household opinion on adequacy of received MPCA (3,600 UAH for 3 months per member) [Endline] broken down by single_ho_hh_child_or_60 on the admin of O...")</f>
        <v>Household opinion on adequacy of received MPCA (3,600 UAH for 3 months per member) [Endline] broken down by single_ho_hh_child_or_60 on the admin of O...</v>
      </c>
      <c r="D1699" s="19" t="s">
        <v>54</v>
      </c>
      <c r="E1699" s="21">
        <v>325</v>
      </c>
    </row>
    <row r="1700" spans="2:5" x14ac:dyDescent="0.3">
      <c r="B1700" s="19" t="s">
        <v>42</v>
      </c>
      <c r="C1700" s="20" t="str">
        <f>HYPERLINK("#'Data'!A1673", "Estimated percentage of household needs met by received MPCA (if partially appropriate) [Endline] broken down by single_ho_hh_child_or_60 on the admin...")</f>
        <v>Estimated percentage of household needs met by received MPCA (if partially appropriate) [Endline] broken down by single_ho_hh_child_or_60 on the admin...</v>
      </c>
      <c r="D1700" s="19" t="s">
        <v>54</v>
      </c>
      <c r="E1700" s="21">
        <v>340</v>
      </c>
    </row>
    <row r="1701" spans="2:5" x14ac:dyDescent="0.3">
      <c r="B1701" s="19" t="s">
        <v>42</v>
      </c>
      <c r="C1701" s="20" t="str">
        <f>HYPERLINK("#'Data'!A1759", "Whether the household has already spent the received MPCA [Endline] broken down by single_ho_hh_child_or_60 on the admin of Overall perc")</f>
        <v>Whether the household has already spent the received MPCA [Endline] broken down by single_ho_hh_child_or_60 on the admin of Overall perc</v>
      </c>
      <c r="D1701" s="19" t="s">
        <v>54</v>
      </c>
      <c r="E1701" s="21">
        <v>358</v>
      </c>
    </row>
    <row r="1702" spans="2:5" x14ac:dyDescent="0.3">
      <c r="B1702" s="19" t="s">
        <v>42</v>
      </c>
      <c r="C1702" s="20" t="str">
        <f>HYPERLINK("#'Data'!A1833", "Number of weeks MPCA lasted if fully spent [Endline] broken down by single_ho_hh_child_or_60 on the admin of Overall mean")</f>
        <v>Number of weeks MPCA lasted if fully spent [Endline] broken down by single_ho_hh_child_or_60 on the admin of Overall mean</v>
      </c>
      <c r="D1702" s="19" t="s">
        <v>54</v>
      </c>
      <c r="E1702" s="21">
        <v>373</v>
      </c>
    </row>
    <row r="1703" spans="2:5" x14ac:dyDescent="0.3">
      <c r="B1703" s="19" t="s">
        <v>42</v>
      </c>
      <c r="C1703" s="20" t="str">
        <f>HYPERLINK("#'Data'!A1907", "Percentage of MPCA spent to date (if partially used) [Endline] broken down by single_ho_hh_child_or_60 on the admin of Overall mean")</f>
        <v>Percentage of MPCA spent to date (if partially used) [Endline] broken down by single_ho_hh_child_or_60 on the admin of Overall mean</v>
      </c>
      <c r="D1703" s="19" t="s">
        <v>54</v>
      </c>
      <c r="E1703" s="21">
        <v>388</v>
      </c>
    </row>
    <row r="1704" spans="2:5" x14ac:dyDescent="0.3">
      <c r="B1704" s="19" t="s">
        <v>42</v>
      </c>
      <c r="C1704" s="20" t="str">
        <f>HYPERLINK("#'Data'!A1981", "Extent to which received MPCA helped cover household needs during usage period [Endline] broken down by single_ho_hh_child_or_60 on the admin of Overa...")</f>
        <v>Extent to which received MPCA helped cover household needs during usage period [Endline] broken down by single_ho_hh_child_or_60 on the admin of Overa...</v>
      </c>
      <c r="D1704" s="19" t="s">
        <v>54</v>
      </c>
      <c r="E1704" s="21">
        <v>403</v>
      </c>
    </row>
    <row r="1705" spans="2:5" x14ac:dyDescent="0.3">
      <c r="B1705" s="19" t="s">
        <v>42</v>
      </c>
      <c r="C1705" s="20" t="str">
        <f>HYPERLINK("#'Data'!A2055", "Percentage of needs covered by MPCA (if partially met) [Endline] broken down by single_ho_hh_child_or_60 on the admin of Overall mean")</f>
        <v>Percentage of needs covered by MPCA (if partially met) [Endline] broken down by single_ho_hh_child_or_60 on the admin of Overall mean</v>
      </c>
      <c r="D1705" s="19" t="s">
        <v>54</v>
      </c>
      <c r="E1705" s="21">
        <v>418</v>
      </c>
    </row>
    <row r="1706" spans="2:5" hidden="1" x14ac:dyDescent="0.3">
      <c r="B1706" s="19" t="s">
        <v>40</v>
      </c>
      <c r="C1706" s="20" t="str">
        <f>HYPERLINK("#'Data'!A2129", "Priority needs requiring financial aid, with importance level [Baseline] broken down by single_ho_hh_child_or_60 on the admin of Overall perc")</f>
        <v>Priority needs requiring financial aid, with importance level [Baseline] broken down by single_ho_hh_child_or_60 on the admin of Overall perc</v>
      </c>
      <c r="D1706" s="19" t="s">
        <v>54</v>
      </c>
      <c r="E1706" s="21">
        <v>433</v>
      </c>
    </row>
    <row r="1707" spans="2:5" hidden="1" x14ac:dyDescent="0.3">
      <c r="B1707" s="19" t="s">
        <v>40</v>
      </c>
      <c r="C1707" s="20" t="str">
        <f>HYPERLINK("#'Data'!A2201", "Importance rating for 'Other' priority need requiring financial assistance [Baseline] broken down by single_ho_hh_child_or_60 on the admin of Overall ...")</f>
        <v>Importance rating for 'Other' priority need requiring financial assistance [Baseline] broken down by single_ho_hh_child_or_60 on the admin of Overall ...</v>
      </c>
      <c r="D1707" s="19" t="s">
        <v>54</v>
      </c>
      <c r="E1707" s="21">
        <v>448</v>
      </c>
    </row>
    <row r="1708" spans="2:5" hidden="1" x14ac:dyDescent="0.3">
      <c r="B1708" s="19" t="s">
        <v>40</v>
      </c>
      <c r="C1708" s="20" t="str">
        <f>HYPERLINK("#'Data'!A2275", "Importance rating for 'Food' priority need requiring financial assistance [Baseline] broken down by single_ho_hh_child_or_60 on the admin of Overall p...")</f>
        <v>Importance rating for 'Food' priority need requiring financial assistance [Baseline] broken down by single_ho_hh_child_or_60 on the admin of Overall p...</v>
      </c>
      <c r="D1708" s="19" t="s">
        <v>54</v>
      </c>
      <c r="E1708" s="21">
        <v>463</v>
      </c>
    </row>
    <row r="1709" spans="2:5" hidden="1" x14ac:dyDescent="0.3">
      <c r="B1709" s="19" t="s">
        <v>40</v>
      </c>
      <c r="C1709" s="20" t="str">
        <f>HYPERLINK("#'Data'!A2347", "Importance rating for 'Personal hygiene' priority need requiring financial assistance [Baseline] broken down by single_ho_hh_child_or_60 on the admin ...")</f>
        <v>Importance rating for 'Personal hygiene' priority need requiring financial assistance [Baseline] broken down by single_ho_hh_child_or_60 on the admin ...</v>
      </c>
      <c r="D1709" s="19" t="s">
        <v>54</v>
      </c>
      <c r="E1709" s="21">
        <v>478</v>
      </c>
    </row>
    <row r="1710" spans="2:5" hidden="1" x14ac:dyDescent="0.3">
      <c r="B1710" s="19" t="s">
        <v>40</v>
      </c>
      <c r="C1710" s="20" t="str">
        <f>HYPERLINK("#'Data'!A2415", "Importance rating for 'Cleaning items' priority need requiring financial assistance [Baseline] broken down by single_ho_hh_child_or_60 on the admin of...")</f>
        <v>Importance rating for 'Cleaning items' priority need requiring financial assistance [Baseline] broken down by single_ho_hh_child_or_60 on the admin of...</v>
      </c>
      <c r="D1710" s="19" t="s">
        <v>54</v>
      </c>
      <c r="E1710" s="21">
        <v>493</v>
      </c>
    </row>
    <row r="1711" spans="2:5" hidden="1" x14ac:dyDescent="0.3">
      <c r="B1711" s="19" t="s">
        <v>40</v>
      </c>
      <c r="C1711" s="20" t="str">
        <f>HYPERLINK("#'Data'!A2480", "Importance rating for 'Non-food items' priority need requiring financial assistance [Baseline] broken down by single_ho_hh_child_or_60 on the admin of...")</f>
        <v>Importance rating for 'Non-food items' priority need requiring financial assistance [Baseline] broken down by single_ho_hh_child_or_60 on the admin of...</v>
      </c>
      <c r="D1711" s="19" t="s">
        <v>54</v>
      </c>
      <c r="E1711" s="21">
        <v>508</v>
      </c>
    </row>
    <row r="1712" spans="2:5" hidden="1" x14ac:dyDescent="0.3">
      <c r="B1712" s="19" t="s">
        <v>40</v>
      </c>
      <c r="C1712" s="20" t="str">
        <f>HYPERLINK("#'Data'!A2550", "Importance rating for 'Clothing and shoes' priority need requiring financial assistance [Baseline] broken down by single_ho_hh_child_or_60 on the admi...")</f>
        <v>Importance rating for 'Clothing and shoes' priority need requiring financial assistance [Baseline] broken down by single_ho_hh_child_or_60 on the admi...</v>
      </c>
      <c r="D1712" s="19" t="s">
        <v>54</v>
      </c>
      <c r="E1712" s="21">
        <v>523</v>
      </c>
    </row>
    <row r="1713" spans="2:5" hidden="1" x14ac:dyDescent="0.3">
      <c r="B1713" s="19" t="s">
        <v>40</v>
      </c>
      <c r="C1713" s="20" t="str">
        <f>HYPERLINK("#'Data'!A2623", "Importance rating for 'Heating fuel' priority need requiring financial assistance [Baseline] broken down by single_ho_hh_child_or_60 on the admin of O...")</f>
        <v>Importance rating for 'Heating fuel' priority need requiring financial assistance [Baseline] broken down by single_ho_hh_child_or_60 on the admin of O...</v>
      </c>
      <c r="D1713" s="19" t="s">
        <v>54</v>
      </c>
      <c r="E1713" s="21">
        <v>538</v>
      </c>
    </row>
    <row r="1714" spans="2:5" hidden="1" x14ac:dyDescent="0.3">
      <c r="B1714" s="19" t="s">
        <v>40</v>
      </c>
      <c r="C1714" s="20" t="str">
        <f>HYPERLINK("#'Data'!A2690", "Importance rating for 'Safe water' priority need requiring financial assistance [Baseline] broken down by single_ho_hh_child_or_60 on the admin of Ove...")</f>
        <v>Importance rating for 'Safe water' priority need requiring financial assistance [Baseline] broken down by single_ho_hh_child_or_60 on the admin of Ove...</v>
      </c>
      <c r="D1714" s="19" t="s">
        <v>54</v>
      </c>
      <c r="E1714" s="21">
        <v>553</v>
      </c>
    </row>
    <row r="1715" spans="2:5" hidden="1" x14ac:dyDescent="0.3">
      <c r="B1715" s="19" t="s">
        <v>40</v>
      </c>
      <c r="C1715" s="20" t="str">
        <f>HYPERLINK("#'Data'!A2757", "Importance rating for 'Utilities' priority need requiring financial assistance [Baseline] broken down by single_ho_hh_child_or_60 on the admin of Over...")</f>
        <v>Importance rating for 'Utilities' priority need requiring financial assistance [Baseline] broken down by single_ho_hh_child_or_60 on the admin of Over...</v>
      </c>
      <c r="D1715" s="19" t="s">
        <v>54</v>
      </c>
      <c r="E1715" s="21">
        <v>568</v>
      </c>
    </row>
    <row r="1716" spans="2:5" hidden="1" x14ac:dyDescent="0.3">
      <c r="B1716" s="19" t="s">
        <v>40</v>
      </c>
      <c r="C1716" s="20" t="str">
        <f>HYPERLINK("#'Data'!A2824", "Importance rating for 'Water supply' priority need requiring financial assistance [Baseline] broken down by single_ho_hh_child_or_60 on the admin of O...")</f>
        <v>Importance rating for 'Water supply' priority need requiring financial assistance [Baseline] broken down by single_ho_hh_child_or_60 on the admin of O...</v>
      </c>
      <c r="D1716" s="19" t="s">
        <v>54</v>
      </c>
      <c r="E1716" s="21">
        <v>583</v>
      </c>
    </row>
    <row r="1717" spans="2:5" hidden="1" x14ac:dyDescent="0.3">
      <c r="B1717" s="19" t="s">
        <v>40</v>
      </c>
      <c r="C1717" s="20" t="str">
        <f>HYPERLINK("#'Data'!A2885", "Importance rating for 'Rent' priority need requiring financial assistance [Baseline] broken down by single_ho_hh_child_or_60 on the admin of Overall p...")</f>
        <v>Importance rating for 'Rent' priority need requiring financial assistance [Baseline] broken down by single_ho_hh_child_or_60 on the admin of Overall p...</v>
      </c>
      <c r="D1717" s="19" t="s">
        <v>54</v>
      </c>
      <c r="E1717" s="21">
        <v>598</v>
      </c>
    </row>
    <row r="1718" spans="2:5" hidden="1" x14ac:dyDescent="0.3">
      <c r="B1718" s="19" t="s">
        <v>40</v>
      </c>
      <c r="C1718" s="20" t="str">
        <f>HYPERLINK("#'Data'!A2957", "Importance rating for 'Medication' priority need requiring financial assistance [Baseline] broken down by single_ho_hh_child_or_60 on the admin of Ove...")</f>
        <v>Importance rating for 'Medication' priority need requiring financial assistance [Baseline] broken down by single_ho_hh_child_or_60 on the admin of Ove...</v>
      </c>
      <c r="D1718" s="19" t="s">
        <v>54</v>
      </c>
      <c r="E1718" s="21">
        <v>613</v>
      </c>
    </row>
    <row r="1719" spans="2:5" hidden="1" x14ac:dyDescent="0.3">
      <c r="B1719" s="19" t="s">
        <v>40</v>
      </c>
      <c r="C1719" s="20" t="str">
        <f>HYPERLINK("#'Data'!A3027", "Importance rating for 'Agricultural inputs' priority need requiring financial assistance [Baseline] broken down by single_ho_hh_child_or_60 on the adm...")</f>
        <v>Importance rating for 'Agricultural inputs' priority need requiring financial assistance [Baseline] broken down by single_ho_hh_child_or_60 on the adm...</v>
      </c>
      <c r="D1719" s="19" t="s">
        <v>54</v>
      </c>
      <c r="E1719" s="21">
        <v>628</v>
      </c>
    </row>
    <row r="1720" spans="2:5" hidden="1" x14ac:dyDescent="0.3">
      <c r="B1720" s="19" t="s">
        <v>40</v>
      </c>
      <c r="C1720" s="20" t="str">
        <f>HYPERLINK("#'Data'!A3096", "Importance rating for 'Shelter maintenance' priority need requiring financial assistance [Baseline] broken down by single_ho_hh_child_or_60 on the adm...")</f>
        <v>Importance rating for 'Shelter maintenance' priority need requiring financial assistance [Baseline] broken down by single_ho_hh_child_or_60 on the adm...</v>
      </c>
      <c r="D1720" s="19" t="s">
        <v>54</v>
      </c>
      <c r="E1720" s="21">
        <v>643</v>
      </c>
    </row>
    <row r="1721" spans="2:5" hidden="1" x14ac:dyDescent="0.3">
      <c r="B1721" s="19" t="s">
        <v>40</v>
      </c>
      <c r="C1721" s="20" t="str">
        <f>HYPERLINK("#'Data'!A3163", "Importance rating for 'Transportation' priority need requiring financial assistance [Baseline] broken down by single_ho_hh_child_or_60 on the admin of...")</f>
        <v>Importance rating for 'Transportation' priority need requiring financial assistance [Baseline] broken down by single_ho_hh_child_or_60 on the admin of...</v>
      </c>
      <c r="D1721" s="19" t="s">
        <v>54</v>
      </c>
      <c r="E1721" s="21">
        <v>658</v>
      </c>
    </row>
    <row r="1722" spans="2:5" hidden="1" x14ac:dyDescent="0.3">
      <c r="B1722" s="19" t="s">
        <v>40</v>
      </c>
      <c r="C1722" s="20" t="str">
        <f>HYPERLINK("#'Data'!A3226", "Importance rating for 'Communication' priority need requiring financial assistance [Baseline] broken down by single_ho_hh_child_or_60 on the admin of ...")</f>
        <v>Importance rating for 'Communication' priority need requiring financial assistance [Baseline] broken down by single_ho_hh_child_or_60 on the admin of ...</v>
      </c>
      <c r="D1722" s="19" t="s">
        <v>54</v>
      </c>
      <c r="E1722" s="21">
        <v>673</v>
      </c>
    </row>
    <row r="1723" spans="2:5" hidden="1" x14ac:dyDescent="0.3">
      <c r="B1723" s="19" t="s">
        <v>40</v>
      </c>
      <c r="C1723" s="20" t="str">
        <f>HYPERLINK("#'Data'!A3290", "Importance rating for 'Education materials' priority need requiring financial assistance [Baseline] broken down by single_ho_hh_child_or_60 on the adm...")</f>
        <v>Importance rating for 'Education materials' priority need requiring financial assistance [Baseline] broken down by single_ho_hh_child_or_60 on the adm...</v>
      </c>
      <c r="D1723" s="19" t="s">
        <v>54</v>
      </c>
      <c r="E1723" s="21">
        <v>688</v>
      </c>
    </row>
    <row r="1724" spans="2:5" hidden="1" x14ac:dyDescent="0.3">
      <c r="B1724" s="19" t="s">
        <v>40</v>
      </c>
      <c r="C1724" s="20" t="str">
        <f>HYPERLINK("#'Data'!A3363", "Household needs met exclusively due to MPCA and their fulfillment level [Endline] broken down by single_ho_hh_child_or_60 on the admin of Overall perc")</f>
        <v>Household needs met exclusively due to MPCA and their fulfillment level [Endline] broken down by single_ho_hh_child_or_60 on the admin of Overall perc</v>
      </c>
      <c r="D1724" s="19" t="s">
        <v>54</v>
      </c>
      <c r="E1724" s="21">
        <v>703</v>
      </c>
    </row>
    <row r="1725" spans="2:5" hidden="1" x14ac:dyDescent="0.3">
      <c r="B1725" s="19" t="s">
        <v>40</v>
      </c>
      <c r="C1725" s="20" t="str">
        <f>HYPERLINK("#'Data'!A3435", "Fulfillment level of 'Other' need met exclusively due to MPCA [Endline] broken down by single_ho_hh_child_or_60 on the admin of Overall perc")</f>
        <v>Fulfillment level of 'Other' need met exclusively due to MPCA [Endline] broken down by single_ho_hh_child_or_60 on the admin of Overall perc</v>
      </c>
      <c r="D1725" s="19" t="s">
        <v>54</v>
      </c>
      <c r="E1725" s="21">
        <v>718</v>
      </c>
    </row>
    <row r="1726" spans="2:5" hidden="1" x14ac:dyDescent="0.3">
      <c r="B1726" s="19" t="s">
        <v>40</v>
      </c>
      <c r="C1726" s="20" t="str">
        <f>HYPERLINK("#'Data'!A3508", "Fulfillment level of 'Food' need met exclusively due to MPCA [Endline] broken down by single_ho_hh_child_or_60 on the admin of Overall perc")</f>
        <v>Fulfillment level of 'Food' need met exclusively due to MPCA [Endline] broken down by single_ho_hh_child_or_60 on the admin of Overall perc</v>
      </c>
      <c r="D1726" s="19" t="s">
        <v>54</v>
      </c>
      <c r="E1726" s="21">
        <v>733</v>
      </c>
    </row>
    <row r="1727" spans="2:5" x14ac:dyDescent="0.3">
      <c r="B1727" s="19" t="s">
        <v>42</v>
      </c>
      <c r="C1727" s="20" t="str">
        <f>HYPERLINK("#'Data'!A3579", "Fulfillment level of 'Personal hygiene' need met exclusively due to MPCA [Endline] broken down by single_ho_hh_child_or_60 on the admin of Overall per...")</f>
        <v>Fulfillment level of 'Personal hygiene' need met exclusively due to MPCA [Endline] broken down by single_ho_hh_child_or_60 on the admin of Overall per...</v>
      </c>
      <c r="D1727" s="19" t="s">
        <v>54</v>
      </c>
      <c r="E1727" s="21">
        <v>748</v>
      </c>
    </row>
    <row r="1728" spans="2:5" x14ac:dyDescent="0.3">
      <c r="B1728" s="19" t="s">
        <v>42</v>
      </c>
      <c r="C1728" s="20" t="str">
        <f>HYPERLINK("#'Data'!A3650", "Fulfillment level of 'Cleaning items' need met exclusively due to MPCA [Endline] broken down by single_ho_hh_child_or_60 on the admin of Overall perc")</f>
        <v>Fulfillment level of 'Cleaning items' need met exclusively due to MPCA [Endline] broken down by single_ho_hh_child_or_60 on the admin of Overall perc</v>
      </c>
      <c r="D1728" s="19" t="s">
        <v>54</v>
      </c>
      <c r="E1728" s="21">
        <v>763</v>
      </c>
    </row>
    <row r="1729" spans="2:5" x14ac:dyDescent="0.3">
      <c r="B1729" s="19" t="s">
        <v>42</v>
      </c>
      <c r="C1729" s="20" t="str">
        <f>HYPERLINK("#'Data'!A3720", "Fulfillment level of 'Non-food items' need met exclusively due to MPCA [Endline] broken down by single_ho_hh_child_or_60 on the admin of Overall perc")</f>
        <v>Fulfillment level of 'Non-food items' need met exclusively due to MPCA [Endline] broken down by single_ho_hh_child_or_60 on the admin of Overall perc</v>
      </c>
      <c r="D1729" s="19" t="s">
        <v>54</v>
      </c>
      <c r="E1729" s="21">
        <v>778</v>
      </c>
    </row>
    <row r="1730" spans="2:5" x14ac:dyDescent="0.3">
      <c r="B1730" s="19" t="s">
        <v>42</v>
      </c>
      <c r="C1730" s="20" t="str">
        <f>HYPERLINK("#'Data'!A3793", "Fulfillment level of 'Clothing and shoes' need met exclusively due to MPCA [Endline] broken down by single_ho_hh_child_or_60 on the admin of Overall p...")</f>
        <v>Fulfillment level of 'Clothing and shoes' need met exclusively due to MPCA [Endline] broken down by single_ho_hh_child_or_60 on the admin of Overall p...</v>
      </c>
      <c r="D1730" s="19" t="s">
        <v>54</v>
      </c>
      <c r="E1730" s="21">
        <v>793</v>
      </c>
    </row>
    <row r="1731" spans="2:5" x14ac:dyDescent="0.3">
      <c r="B1731" s="19" t="s">
        <v>42</v>
      </c>
      <c r="C1731" s="20" t="str">
        <f>HYPERLINK("#'Data'!A3867", "Fulfillment level of 'Heating fuel' need met exclusively due to MPCA [Endline] broken down by single_ho_hh_child_or_60 on the admin of Overall perc")</f>
        <v>Fulfillment level of 'Heating fuel' need met exclusively due to MPCA [Endline] broken down by single_ho_hh_child_or_60 on the admin of Overall perc</v>
      </c>
      <c r="D1731" s="19" t="s">
        <v>54</v>
      </c>
      <c r="E1731" s="21">
        <v>808</v>
      </c>
    </row>
    <row r="1732" spans="2:5" x14ac:dyDescent="0.3">
      <c r="B1732" s="19" t="s">
        <v>42</v>
      </c>
      <c r="C1732" s="20" t="str">
        <f>HYPERLINK("#'Data'!A3935", "Fulfillment level of 'Safe water' need met exclusively due to MPCA [Endline] broken down by single_ho_hh_child_or_60 on the admin of Overall perc")</f>
        <v>Fulfillment level of 'Safe water' need met exclusively due to MPCA [Endline] broken down by single_ho_hh_child_or_60 on the admin of Overall perc</v>
      </c>
      <c r="D1732" s="19" t="s">
        <v>54</v>
      </c>
      <c r="E1732" s="21">
        <v>823</v>
      </c>
    </row>
    <row r="1733" spans="2:5" x14ac:dyDescent="0.3">
      <c r="B1733" s="19" t="s">
        <v>42</v>
      </c>
      <c r="C1733" s="20" t="str">
        <f>HYPERLINK("#'Data'!A4004", "Fulfillment level of 'Utilities' need met exclusively due to MPCA [Endline] broken down by single_ho_hh_child_or_60 on the admin of Overall perc")</f>
        <v>Fulfillment level of 'Utilities' need met exclusively due to MPCA [Endline] broken down by single_ho_hh_child_or_60 on the admin of Overall perc</v>
      </c>
      <c r="D1733" s="19" t="s">
        <v>54</v>
      </c>
      <c r="E1733" s="21">
        <v>838</v>
      </c>
    </row>
    <row r="1734" spans="2:5" x14ac:dyDescent="0.3">
      <c r="B1734" s="19" t="s">
        <v>42</v>
      </c>
      <c r="C1734" s="20" t="str">
        <f>HYPERLINK("#'Data'!A4073", "Fulfillment level of 'Water supply' need met exclusively due to MPCA [Endline] broken down by single_ho_hh_child_or_60 on the admin of Overall perc")</f>
        <v>Fulfillment level of 'Water supply' need met exclusively due to MPCA [Endline] broken down by single_ho_hh_child_or_60 on the admin of Overall perc</v>
      </c>
      <c r="D1734" s="19" t="s">
        <v>54</v>
      </c>
      <c r="E1734" s="21">
        <v>853</v>
      </c>
    </row>
    <row r="1735" spans="2:5" x14ac:dyDescent="0.3">
      <c r="B1735" s="19" t="s">
        <v>42</v>
      </c>
      <c r="C1735" s="20" t="str">
        <f>HYPERLINK("#'Data'!A4144", "Fulfillment level of 'Rent' need met exclusively due to MPCA [Endline] broken down by single_ho_hh_child_or_60 on the admin of Overall perc")</f>
        <v>Fulfillment level of 'Rent' need met exclusively due to MPCA [Endline] broken down by single_ho_hh_child_or_60 on the admin of Overall perc</v>
      </c>
      <c r="D1735" s="19" t="s">
        <v>54</v>
      </c>
      <c r="E1735" s="21">
        <v>868</v>
      </c>
    </row>
    <row r="1736" spans="2:5" x14ac:dyDescent="0.3">
      <c r="B1736" s="19" t="s">
        <v>42</v>
      </c>
      <c r="C1736" s="20" t="str">
        <f>HYPERLINK("#'Data'!A4209", "Fulfillment level of 'Assistive products' need met exclusively due to MPCA [Endline] broken down by single_ho_hh_child_or_60 on the admin of Overall p...")</f>
        <v>Fulfillment level of 'Assistive products' need met exclusively due to MPCA [Endline] broken down by single_ho_hh_child_or_60 on the admin of Overall p...</v>
      </c>
      <c r="D1736" s="19" t="s">
        <v>54</v>
      </c>
      <c r="E1736" s="21">
        <v>883</v>
      </c>
    </row>
    <row r="1737" spans="2:5" x14ac:dyDescent="0.3">
      <c r="B1737" s="19" t="s">
        <v>42</v>
      </c>
      <c r="C1737" s="20" t="str">
        <f>HYPERLINK("#'Data'!A4276", "Fulfillment level of 'Medication' need met exclusively due to MPCA [Endline] broken down by single_ho_hh_child_or_60 on the admin of Overall perc")</f>
        <v>Fulfillment level of 'Medication' need met exclusively due to MPCA [Endline] broken down by single_ho_hh_child_or_60 on the admin of Overall perc</v>
      </c>
      <c r="D1737" s="19" t="s">
        <v>54</v>
      </c>
      <c r="E1737" s="21">
        <v>898</v>
      </c>
    </row>
    <row r="1738" spans="2:5" x14ac:dyDescent="0.3">
      <c r="B1738" s="19" t="s">
        <v>42</v>
      </c>
      <c r="C1738" s="20" t="str">
        <f>HYPERLINK("#'Data'!A4344", "Fulfillment level of 'Agricultural inputs' need met exclusively due to MPCA [Endline] broken down by single_ho_hh_child_or_60 on the admin of Overall ...")</f>
        <v>Fulfillment level of 'Agricultural inputs' need met exclusively due to MPCA [Endline] broken down by single_ho_hh_child_or_60 on the admin of Overall ...</v>
      </c>
      <c r="D1738" s="19" t="s">
        <v>54</v>
      </c>
      <c r="E1738" s="21">
        <v>913</v>
      </c>
    </row>
    <row r="1739" spans="2:5" x14ac:dyDescent="0.3">
      <c r="B1739" s="19" t="s">
        <v>42</v>
      </c>
      <c r="C1739" s="20" t="str">
        <f>HYPERLINK("#'Data'!A4414", "Fulfillment level of 'Shelter maintenance' need met exclusively due to MPCA [Endline] broken down by single_ho_hh_child_or_60 on the admin of Overall ...")</f>
        <v>Fulfillment level of 'Shelter maintenance' need met exclusively due to MPCA [Endline] broken down by single_ho_hh_child_or_60 on the admin of Overall ...</v>
      </c>
      <c r="D1739" s="19" t="s">
        <v>54</v>
      </c>
      <c r="E1739" s="21">
        <v>928</v>
      </c>
    </row>
    <row r="1740" spans="2:5" x14ac:dyDescent="0.3">
      <c r="B1740" s="19" t="s">
        <v>42</v>
      </c>
      <c r="C1740" s="20" t="str">
        <f>HYPERLINK("#'Data'!A4484", "Fulfillment level of 'Future savings' need met exclusively due to MPCA [Endline] broken down by single_ho_hh_child_or_60 on the admin of Overall perc")</f>
        <v>Fulfillment level of 'Future savings' need met exclusively due to MPCA [Endline] broken down by single_ho_hh_child_or_60 on the admin of Overall perc</v>
      </c>
      <c r="D1740" s="19" t="s">
        <v>54</v>
      </c>
      <c r="E1740" s="21">
        <v>943</v>
      </c>
    </row>
    <row r="1741" spans="2:5" x14ac:dyDescent="0.3">
      <c r="B1741" s="19" t="s">
        <v>42</v>
      </c>
      <c r="C1741" s="20" t="str">
        <f>HYPERLINK("#'Data'!A4551", "Fulfillment level of 'Shared with others' need met exclusively due to MPCA [Endline] broken down by single_ho_hh_child_or_60 on the admin of Overall p...")</f>
        <v>Fulfillment level of 'Shared with others' need met exclusively due to MPCA [Endline] broken down by single_ho_hh_child_or_60 on the admin of Overall p...</v>
      </c>
      <c r="D1741" s="19" t="s">
        <v>54</v>
      </c>
      <c r="E1741" s="21">
        <v>958</v>
      </c>
    </row>
    <row r="1742" spans="2:5" x14ac:dyDescent="0.3">
      <c r="B1742" s="19" t="s">
        <v>42</v>
      </c>
      <c r="C1742" s="20" t="str">
        <f>HYPERLINK("#'Data'!A4621", "Fulfillment level of 'Transportation' need met exclusively due to MPCA [Endline] broken down by single_ho_hh_child_or_60 on the admin of Overall perc")</f>
        <v>Fulfillment level of 'Transportation' need met exclusively due to MPCA [Endline] broken down by single_ho_hh_child_or_60 on the admin of Overall perc</v>
      </c>
      <c r="D1742" s="19" t="s">
        <v>54</v>
      </c>
      <c r="E1742" s="21">
        <v>973</v>
      </c>
    </row>
    <row r="1743" spans="2:5" x14ac:dyDescent="0.3">
      <c r="B1743" s="19" t="s">
        <v>42</v>
      </c>
      <c r="C1743" s="20" t="str">
        <f>HYPERLINK("#'Data'!A4691", "Fulfillment level of 'Communication' need met exclusively due to MPCA [Endline] broken down by single_ho_hh_child_or_60 on the admin of Overall perc")</f>
        <v>Fulfillment level of 'Communication' need met exclusively due to MPCA [Endline] broken down by single_ho_hh_child_or_60 on the admin of Overall perc</v>
      </c>
      <c r="D1743" s="19" t="s">
        <v>54</v>
      </c>
      <c r="E1743" s="21">
        <v>988</v>
      </c>
    </row>
    <row r="1744" spans="2:5" x14ac:dyDescent="0.3">
      <c r="B1744" s="19" t="s">
        <v>42</v>
      </c>
      <c r="C1744" s="20" t="str">
        <f>HYPERLINK("#'Data'!A4761", "Fulfillment level of 'Education materials' need met exclusively due to MPCA [Endline] broken down by single_ho_hh_child_or_60 on the admin of Overall ...")</f>
        <v>Fulfillment level of 'Education materials' need met exclusively due to MPCA [Endline] broken down by single_ho_hh_child_or_60 on the admin of Overall ...</v>
      </c>
      <c r="D1744" s="19" t="s">
        <v>54</v>
      </c>
      <c r="E1744" s="21">
        <v>1003</v>
      </c>
    </row>
    <row r="1745" spans="2:5" x14ac:dyDescent="0.3">
      <c r="B1745" s="19" t="s">
        <v>42</v>
      </c>
      <c r="C1745" s="20" t="str">
        <f>HYPERLINK("#'Data'!A4835", "Estimated percentage of MPCA spent on each category of goods and services [Endline] broken down by single_ho_hh_child_or_60 on the admin of Overall pe...")</f>
        <v>Estimated percentage of MPCA spent on each category of goods and services [Endline] broken down by single_ho_hh_child_or_60 on the admin of Overall pe...</v>
      </c>
      <c r="D1745" s="19" t="s">
        <v>54</v>
      </c>
      <c r="E1745" s="21">
        <v>1018</v>
      </c>
    </row>
    <row r="1746" spans="2:5" x14ac:dyDescent="0.3">
      <c r="B1746" s="19" t="s">
        <v>42</v>
      </c>
      <c r="C1746" s="20" t="str">
        <f>HYPERLINK("#'Data'!A4907", "Estimated percentage of MPCA spent on 'Other' category [Endline] broken down by single_ho_hh_child_or_60 on the admin of Overall mean")</f>
        <v>Estimated percentage of MPCA spent on 'Other' category [Endline] broken down by single_ho_hh_child_or_60 on the admin of Overall mean</v>
      </c>
      <c r="D1746" s="19" t="s">
        <v>54</v>
      </c>
      <c r="E1746" s="21">
        <v>1033</v>
      </c>
    </row>
    <row r="1747" spans="2:5" x14ac:dyDescent="0.3">
      <c r="B1747" s="19" t="s">
        <v>42</v>
      </c>
      <c r="C1747" s="20" t="str">
        <f>HYPERLINK("#'Data'!A4980", "Estimated percentage of MPCA spent on 'Food' category [Endline] broken down by single_ho_hh_child_or_60 on the admin of Overall mean")</f>
        <v>Estimated percentage of MPCA spent on 'Food' category [Endline] broken down by single_ho_hh_child_or_60 on the admin of Overall mean</v>
      </c>
      <c r="D1747" s="19" t="s">
        <v>54</v>
      </c>
      <c r="E1747" s="21">
        <v>1048</v>
      </c>
    </row>
    <row r="1748" spans="2:5" x14ac:dyDescent="0.3">
      <c r="B1748" s="19" t="s">
        <v>42</v>
      </c>
      <c r="C1748" s="20" t="str">
        <f>HYPERLINK("#'Data'!A5051", "Estimated percentage of MPCA spent on 'Personal hygiene' category [Endline] broken down by single_ho_hh_child_or_60 on the admin of Overall mean")</f>
        <v>Estimated percentage of MPCA spent on 'Personal hygiene' category [Endline] broken down by single_ho_hh_child_or_60 on the admin of Overall mean</v>
      </c>
      <c r="D1748" s="19" t="s">
        <v>54</v>
      </c>
      <c r="E1748" s="21">
        <v>1063</v>
      </c>
    </row>
    <row r="1749" spans="2:5" x14ac:dyDescent="0.3">
      <c r="B1749" s="19" t="s">
        <v>42</v>
      </c>
      <c r="C1749" s="20" t="str">
        <f>HYPERLINK("#'Data'!A5123", "Estimated percentage of MPCA spent on 'Cleaning items' category [Endline] broken down by single_ho_hh_child_or_60 on the admin of Overall mean")</f>
        <v>Estimated percentage of MPCA spent on 'Cleaning items' category [Endline] broken down by single_ho_hh_child_or_60 on the admin of Overall mean</v>
      </c>
      <c r="D1749" s="19" t="s">
        <v>54</v>
      </c>
      <c r="E1749" s="21">
        <v>1078</v>
      </c>
    </row>
    <row r="1750" spans="2:5" x14ac:dyDescent="0.3">
      <c r="B1750" s="19" t="s">
        <v>42</v>
      </c>
      <c r="C1750" s="20" t="str">
        <f>HYPERLINK("#'Data'!A5194", "Estimated percentage of MPCA spent on 'Non-food items' category [Endline] broken down by single_ho_hh_child_or_60 on the admin of Overall mean")</f>
        <v>Estimated percentage of MPCA spent on 'Non-food items' category [Endline] broken down by single_ho_hh_child_or_60 on the admin of Overall mean</v>
      </c>
      <c r="D1750" s="19" t="s">
        <v>54</v>
      </c>
      <c r="E1750" s="21">
        <v>1093</v>
      </c>
    </row>
    <row r="1751" spans="2:5" x14ac:dyDescent="0.3">
      <c r="B1751" s="19" t="s">
        <v>42</v>
      </c>
      <c r="C1751" s="20" t="str">
        <f>HYPERLINK("#'Data'!A5267", "Estimated percentage of MPCA spent on 'Clothing and shoes' category [Endline] broken down by single_ho_hh_child_or_60 on the admin of Overall mean")</f>
        <v>Estimated percentage of MPCA spent on 'Clothing and shoes' category [Endline] broken down by single_ho_hh_child_or_60 on the admin of Overall mean</v>
      </c>
      <c r="D1751" s="19" t="s">
        <v>54</v>
      </c>
      <c r="E1751" s="21">
        <v>1108</v>
      </c>
    </row>
    <row r="1752" spans="2:5" x14ac:dyDescent="0.3">
      <c r="B1752" s="19" t="s">
        <v>42</v>
      </c>
      <c r="C1752" s="20" t="str">
        <f>HYPERLINK("#'Data'!A5341", "Estimated percentage of MPCA spent on 'Heating fuel' category [Endline] broken down by single_ho_hh_child_or_60 on the admin of Overall mean")</f>
        <v>Estimated percentage of MPCA spent on 'Heating fuel' category [Endline] broken down by single_ho_hh_child_or_60 on the admin of Overall mean</v>
      </c>
      <c r="D1752" s="19" t="s">
        <v>54</v>
      </c>
      <c r="E1752" s="21">
        <v>1123</v>
      </c>
    </row>
    <row r="1753" spans="2:5" x14ac:dyDescent="0.3">
      <c r="B1753" s="19" t="s">
        <v>42</v>
      </c>
      <c r="C1753" s="20" t="str">
        <f>HYPERLINK("#'Data'!A5409", "Estimated percentage of MPCA spent on 'Safe water' category [Endline] broken down by single_ho_hh_child_or_60 on the admin of Overall mean")</f>
        <v>Estimated percentage of MPCA spent on 'Safe water' category [Endline] broken down by single_ho_hh_child_or_60 on the admin of Overall mean</v>
      </c>
      <c r="D1753" s="19" t="s">
        <v>54</v>
      </c>
      <c r="E1753" s="21">
        <v>1138</v>
      </c>
    </row>
    <row r="1754" spans="2:5" x14ac:dyDescent="0.3">
      <c r="B1754" s="19" t="s">
        <v>42</v>
      </c>
      <c r="C1754" s="20" t="str">
        <f>HYPERLINK("#'Data'!A5478", "Estimated percentage of MPCA spent on 'Utilities' category [Endline] broken down by single_ho_hh_child_or_60 on the admin of Overall mean")</f>
        <v>Estimated percentage of MPCA spent on 'Utilities' category [Endline] broken down by single_ho_hh_child_or_60 on the admin of Overall mean</v>
      </c>
      <c r="D1754" s="19" t="s">
        <v>54</v>
      </c>
      <c r="E1754" s="21">
        <v>1153</v>
      </c>
    </row>
    <row r="1755" spans="2:5" x14ac:dyDescent="0.3">
      <c r="B1755" s="19" t="s">
        <v>42</v>
      </c>
      <c r="C1755" s="20" t="str">
        <f>HYPERLINK("#'Data'!A5547", "Estimated percentage of MPCA spent on 'Water supply' category [Endline] broken down by single_ho_hh_child_or_60 on the admin of Overall mean")</f>
        <v>Estimated percentage of MPCA spent on 'Water supply' category [Endline] broken down by single_ho_hh_child_or_60 on the admin of Overall mean</v>
      </c>
      <c r="D1755" s="19" t="s">
        <v>54</v>
      </c>
      <c r="E1755" s="21">
        <v>1168</v>
      </c>
    </row>
    <row r="1756" spans="2:5" x14ac:dyDescent="0.3">
      <c r="B1756" s="19" t="s">
        <v>42</v>
      </c>
      <c r="C1756" s="20" t="str">
        <f>HYPERLINK("#'Data'!A5618", "Estimated percentage of MPCA spent on 'Rent' category [Endline] broken down by single_ho_hh_child_or_60 on the admin of Overall mean")</f>
        <v>Estimated percentage of MPCA spent on 'Rent' category [Endline] broken down by single_ho_hh_child_or_60 on the admin of Overall mean</v>
      </c>
      <c r="D1756" s="19" t="s">
        <v>54</v>
      </c>
      <c r="E1756" s="21">
        <v>1183</v>
      </c>
    </row>
    <row r="1757" spans="2:5" x14ac:dyDescent="0.3">
      <c r="B1757" s="19" t="s">
        <v>42</v>
      </c>
      <c r="C1757" s="20" t="str">
        <f>HYPERLINK("#'Data'!A5683", "Estimated percentage of MPCA spent on 'Assistive products' category [Endline] broken down by single_ho_hh_child_or_60 on the admin of Overall mean")</f>
        <v>Estimated percentage of MPCA spent on 'Assistive products' category [Endline] broken down by single_ho_hh_child_or_60 on the admin of Overall mean</v>
      </c>
      <c r="D1757" s="19" t="s">
        <v>54</v>
      </c>
      <c r="E1757" s="21">
        <v>1198</v>
      </c>
    </row>
    <row r="1758" spans="2:5" x14ac:dyDescent="0.3">
      <c r="B1758" s="19" t="s">
        <v>42</v>
      </c>
      <c r="C1758" s="20" t="str">
        <f>HYPERLINK("#'Data'!A5750", "Estimated percentage of MPCA spent on 'Medication' category [Endline] broken down by single_ho_hh_child_or_60 on the admin of Overall mean")</f>
        <v>Estimated percentage of MPCA spent on 'Medication' category [Endline] broken down by single_ho_hh_child_or_60 on the admin of Overall mean</v>
      </c>
      <c r="D1758" s="19" t="s">
        <v>54</v>
      </c>
      <c r="E1758" s="21">
        <v>1213</v>
      </c>
    </row>
    <row r="1759" spans="2:5" x14ac:dyDescent="0.3">
      <c r="B1759" s="19" t="s">
        <v>42</v>
      </c>
      <c r="C1759" s="20" t="str">
        <f>HYPERLINK("#'Data'!A5820", "Estimated percentage of MPCA spent on 'Agricultural inputs' category [Endline] broken down by single_ho_hh_child_or_60 on the admin of Overall mean")</f>
        <v>Estimated percentage of MPCA spent on 'Agricultural inputs' category [Endline] broken down by single_ho_hh_child_or_60 on the admin of Overall mean</v>
      </c>
      <c r="D1759" s="19" t="s">
        <v>54</v>
      </c>
      <c r="E1759" s="21">
        <v>1228</v>
      </c>
    </row>
    <row r="1760" spans="2:5" x14ac:dyDescent="0.3">
      <c r="B1760" s="19" t="s">
        <v>42</v>
      </c>
      <c r="C1760" s="20" t="str">
        <f>HYPERLINK("#'Data'!A5891", "Estimated percentage of MPCA spent on 'Shelter maintenance' category [Endline] broken down by single_ho_hh_child_or_60 on the admin of Overall mean")</f>
        <v>Estimated percentage of MPCA spent on 'Shelter maintenance' category [Endline] broken down by single_ho_hh_child_or_60 on the admin of Overall mean</v>
      </c>
      <c r="D1760" s="19" t="s">
        <v>54</v>
      </c>
      <c r="E1760" s="21">
        <v>1243</v>
      </c>
    </row>
    <row r="1761" spans="2:5" x14ac:dyDescent="0.3">
      <c r="B1761" s="19" t="s">
        <v>42</v>
      </c>
      <c r="C1761" s="20" t="str">
        <f>HYPERLINK("#'Data'!A5961", "Estimated percentage of MPCA spent on 'Future savings' category [Endline] broken down by single_ho_hh_child_or_60 on the admin of Overall mean")</f>
        <v>Estimated percentage of MPCA spent on 'Future savings' category [Endline] broken down by single_ho_hh_child_or_60 on the admin of Overall mean</v>
      </c>
      <c r="D1761" s="19" t="s">
        <v>54</v>
      </c>
      <c r="E1761" s="21">
        <v>1258</v>
      </c>
    </row>
    <row r="1762" spans="2:5" x14ac:dyDescent="0.3">
      <c r="B1762" s="19" t="s">
        <v>42</v>
      </c>
      <c r="C1762" s="20" t="str">
        <f>HYPERLINK("#'Data'!A6029", "Estimated percentage of MPCA spent on 'Shared with others' category [Endline] broken down by single_ho_hh_child_or_60 on the admin of Overall mean")</f>
        <v>Estimated percentage of MPCA spent on 'Shared with others' category [Endline] broken down by single_ho_hh_child_or_60 on the admin of Overall mean</v>
      </c>
      <c r="D1762" s="19" t="s">
        <v>54</v>
      </c>
      <c r="E1762" s="21">
        <v>1273</v>
      </c>
    </row>
    <row r="1763" spans="2:5" x14ac:dyDescent="0.3">
      <c r="B1763" s="19" t="s">
        <v>42</v>
      </c>
      <c r="C1763" s="20" t="str">
        <f>HYPERLINK("#'Data'!A6099", "Estimated percentage of MPCA spent on 'Transportation' category [Endline] broken down by single_ho_hh_child_or_60 on the admin of Overall mean")</f>
        <v>Estimated percentage of MPCA spent on 'Transportation' category [Endline] broken down by single_ho_hh_child_or_60 on the admin of Overall mean</v>
      </c>
      <c r="D1763" s="19" t="s">
        <v>54</v>
      </c>
      <c r="E1763" s="21">
        <v>1288</v>
      </c>
    </row>
    <row r="1764" spans="2:5" x14ac:dyDescent="0.3">
      <c r="B1764" s="19" t="s">
        <v>42</v>
      </c>
      <c r="C1764" s="20" t="str">
        <f>HYPERLINK("#'Data'!A6171", "Estimated percentage of MPCA spent on 'Communication' category [Endline] broken down by single_ho_hh_child_or_60 on the admin of Overall mean")</f>
        <v>Estimated percentage of MPCA spent on 'Communication' category [Endline] broken down by single_ho_hh_child_or_60 on the admin of Overall mean</v>
      </c>
      <c r="D1764" s="19" t="s">
        <v>54</v>
      </c>
      <c r="E1764" s="21">
        <v>1303</v>
      </c>
    </row>
    <row r="1765" spans="2:5" x14ac:dyDescent="0.3">
      <c r="B1765" s="19" t="s">
        <v>42</v>
      </c>
      <c r="C1765" s="20" t="str">
        <f>HYPERLINK("#'Data'!A6241", "Estimated percentage of MPCA spent on 'Education materials' category [Endline] broken down by single_ho_hh_child_or_60 on the admin of Overall mean")</f>
        <v>Estimated percentage of MPCA spent on 'Education materials' category [Endline] broken down by single_ho_hh_child_or_60 on the admin of Overall mean</v>
      </c>
      <c r="D1765" s="19" t="s">
        <v>54</v>
      </c>
      <c r="E1765" s="21">
        <v>1318</v>
      </c>
    </row>
    <row r="1766" spans="2:5" x14ac:dyDescent="0.3">
      <c r="B1766" s="19" t="s">
        <v>42</v>
      </c>
      <c r="C1766" s="20" t="str">
        <f>HYPERLINK("#'Data'!A6315", "Additional priority needs potentially met if MPCA duration extended to 6 months [Endline] broken down by single_ho_hh_child_or_60 on the admin of Over...")</f>
        <v>Additional priority needs potentially met if MPCA duration extended to 6 months [Endline] broken down by single_ho_hh_child_or_60 on the admin of Over...</v>
      </c>
      <c r="D1766" s="19" t="s">
        <v>54</v>
      </c>
      <c r="E1766" s="21">
        <v>1333</v>
      </c>
    </row>
    <row r="1767" spans="2:5" x14ac:dyDescent="0.3">
      <c r="B1767" s="19" t="s">
        <v>42</v>
      </c>
      <c r="C1767" s="20" t="str">
        <f>HYPERLINK("#'Data'!A6389", "Additional priority needs potentially met with doubled MPCA amount over past 3 months [Endline] broken down by single_ho_hh_child_or_60 on the admin o...")</f>
        <v>Additional priority needs potentially met with doubled MPCA amount over past 3 months [Endline] broken down by single_ho_hh_child_or_60 on the admin o...</v>
      </c>
      <c r="D1767" s="19" t="s">
        <v>54</v>
      </c>
      <c r="E1767" s="21">
        <v>1348</v>
      </c>
    </row>
    <row r="1768" spans="2:5" x14ac:dyDescent="0.3">
      <c r="B1768" s="19" t="s">
        <v>42</v>
      </c>
      <c r="C1768" s="20" t="str">
        <f>HYPERLINK("#'Data'!A6463", "Needs that MPCA is considered insufficient to address [Baseline] broken down by single_ho_hh_child_or_60 on the admin of Overall perc")</f>
        <v>Needs that MPCA is considered insufficient to address [Baseline] broken down by single_ho_hh_child_or_60 on the admin of Overall perc</v>
      </c>
      <c r="D1768" s="19" t="s">
        <v>54</v>
      </c>
      <c r="E1768" s="21">
        <v>1363</v>
      </c>
    </row>
    <row r="1769" spans="2:5" x14ac:dyDescent="0.3">
      <c r="B1769" s="19" t="s">
        <v>42</v>
      </c>
      <c r="C1769" s="20" t="str">
        <f>HYPERLINK("#'Data'!A6537", "Needs that MPCA is considered insufficient to address [Endline] broken down by single_ho_hh_child_or_60 on the admin of Overall perc")</f>
        <v>Needs that MPCA is considered insufficient to address [Endline] broken down by single_ho_hh_child_or_60 on the admin of Overall perc</v>
      </c>
      <c r="D1769" s="19" t="s">
        <v>54</v>
      </c>
      <c r="E1769" s="21">
        <v>1378</v>
      </c>
    </row>
    <row r="1770" spans="2:5" x14ac:dyDescent="0.3">
      <c r="B1770" s="19" t="s">
        <v>42</v>
      </c>
      <c r="C1770" s="20" t="str">
        <f>HYPERLINK("#'Data'!A6611", "Preferred type of assistance for meeting current household needs [Baseline] broken down by single_ho_hh_child_or_60 on the admin of Overall perc")</f>
        <v>Preferred type of assistance for meeting current household needs [Baseline] broken down by single_ho_hh_child_or_60 on the admin of Overall perc</v>
      </c>
      <c r="D1770" s="19" t="s">
        <v>54</v>
      </c>
      <c r="E1770" s="21">
        <v>1393</v>
      </c>
    </row>
    <row r="1771" spans="2:5" hidden="1" x14ac:dyDescent="0.3">
      <c r="B1771" s="19" t="s">
        <v>40</v>
      </c>
      <c r="C1771" s="20" t="str">
        <f>HYPERLINK("#'Data'!A6685", "Preferred type of assistance for meeting current household needs [Endline] broken down by single_ho_hh_child_or_60 on the admin of Overall perc")</f>
        <v>Preferred type of assistance for meeting current household needs [Endline] broken down by single_ho_hh_child_or_60 on the admin of Overall perc</v>
      </c>
      <c r="D1771" s="19" t="s">
        <v>54</v>
      </c>
      <c r="E1771" s="21">
        <v>1408</v>
      </c>
    </row>
    <row r="1772" spans="2:5" x14ac:dyDescent="0.3">
      <c r="B1772" s="19" t="s">
        <v>42</v>
      </c>
      <c r="C1772" s="20" t="str">
        <f>HYPERLINK("#'Data'!A6759", "Remaining needs after MPCA that require additional cash or in-kind assistance [Endline] broken down by single_ho_hh_child_or_60 on the admin of Overal...")</f>
        <v>Remaining needs after MPCA that require additional cash or in-kind assistance [Endline] broken down by single_ho_hh_child_or_60 on the admin of Overal...</v>
      </c>
      <c r="D1772" s="19" t="s">
        <v>54</v>
      </c>
      <c r="E1772" s="21">
        <v>1423</v>
      </c>
    </row>
    <row r="1773" spans="2:5" hidden="1" x14ac:dyDescent="0.3">
      <c r="B1773" s="19" t="s">
        <v>40</v>
      </c>
      <c r="C1773" s="20" t="str">
        <f>HYPERLINK("#'Data'!A6833", "Remaining needs after MPCA that require additional cash or in-kind assistance [Endline] broken down by single_ho_hh_child_or_60 on the admin of Overal...")</f>
        <v>Remaining needs after MPCA that require additional cash or in-kind assistance [Endline] broken down by single_ho_hh_child_or_60 on the admin of Overal...</v>
      </c>
      <c r="D1773" s="19" t="s">
        <v>54</v>
      </c>
      <c r="E1773" s="21">
        <v>1438</v>
      </c>
    </row>
    <row r="1774" spans="2:5" x14ac:dyDescent="0.3">
      <c r="B1774" s="19" t="s">
        <v>42</v>
      </c>
      <c r="C1774" s="20" t="str">
        <f>HYPERLINK("#'Data'!A6907", "Amount of multi-purpose cash assistance received over last 3 months in UAH [Endline] broken down by single_ho_hh_child_or_60 on the admin of Overall m...")</f>
        <v>Amount of multi-purpose cash assistance received over last 3 months in UAH [Endline] broken down by single_ho_hh_child_or_60 on the admin of Overall m...</v>
      </c>
      <c r="D1774" s="19" t="s">
        <v>54</v>
      </c>
      <c r="E1774" s="21">
        <v>1453</v>
      </c>
    </row>
    <row r="1775" spans="2:5" x14ac:dyDescent="0.3">
      <c r="B1775" s="19" t="s">
        <v>42</v>
      </c>
      <c r="C1775" s="20" t="str">
        <f>HYPERLINK("#'Data'!A6981", "Amount of multi-purpose cash assistance received over last 3 months per hh member in UAH [Endline] broken down by single_ho_hh_child_or_60 on the admi...")</f>
        <v>Amount of multi-purpose cash assistance received over last 3 months per hh member in UAH [Endline] broken down by single_ho_hh_child_or_60 on the admi...</v>
      </c>
      <c r="D1775" s="19" t="s">
        <v>54</v>
      </c>
      <c r="E1775" s="21">
        <v>1468</v>
      </c>
    </row>
    <row r="1776" spans="2:5" x14ac:dyDescent="0.3">
      <c r="B1776" s="19" t="s">
        <v>42</v>
      </c>
      <c r="C1776" s="20" t="str">
        <f>HYPERLINK("#'Data'!A7055", "Other types of humanitarian aid received in the previous three months [Endline] broken down by single_ho_hh_child_or_60 on the admin of Overall perc")</f>
        <v>Other types of humanitarian aid received in the previous three months [Endline] broken down by single_ho_hh_child_or_60 on the admin of Overall perc</v>
      </c>
      <c r="D1776" s="19" t="s">
        <v>54</v>
      </c>
      <c r="E1776" s="21">
        <v>1483</v>
      </c>
    </row>
    <row r="1777" spans="2:5" x14ac:dyDescent="0.3">
      <c r="B1777" s="19" t="s">
        <v>42</v>
      </c>
      <c r="C1777" s="20" t="str">
        <f>HYPERLINK("#'Data'!A7124", "Estimated percentage of total household expenditures spent on 'Other' (past month, excl. humanitarian aid) [Baseline] broken down by single_ho_hh_chil...")</f>
        <v>Estimated percentage of total household expenditures spent on 'Other' (past month, excl. humanitarian aid) [Baseline] broken down by single_ho_hh_chil...</v>
      </c>
      <c r="D1777" s="19" t="s">
        <v>54</v>
      </c>
      <c r="E1777" s="21">
        <v>1498</v>
      </c>
    </row>
    <row r="1778" spans="2:5" x14ac:dyDescent="0.3">
      <c r="B1778" s="19" t="s">
        <v>42</v>
      </c>
      <c r="C1778" s="20" t="str">
        <f>HYPERLINK("#'Data'!A7195", "Estimated percentage of total household expenditures spent on 'Food' (past month, excl. humanitarian aid) [Baseline] broken down by single_ho_hh_child...")</f>
        <v>Estimated percentage of total household expenditures spent on 'Food' (past month, excl. humanitarian aid) [Baseline] broken down by single_ho_hh_child...</v>
      </c>
      <c r="D1778" s="19" t="s">
        <v>54</v>
      </c>
      <c r="E1778" s="21">
        <v>1513</v>
      </c>
    </row>
    <row r="1779" spans="2:5" x14ac:dyDescent="0.3">
      <c r="B1779" s="19" t="s">
        <v>42</v>
      </c>
      <c r="C1779" s="20" t="str">
        <f>HYPERLINK("#'Data'!A7268", "Estimated percentage of total household expenditures spent on 'Personal hygiene' (past month, excl. humanitarian aid) [Baseline] broken down by single...")</f>
        <v>Estimated percentage of total household expenditures spent on 'Personal hygiene' (past month, excl. humanitarian aid) [Baseline] broken down by single...</v>
      </c>
      <c r="D1779" s="19" t="s">
        <v>54</v>
      </c>
      <c r="E1779" s="21">
        <v>1528</v>
      </c>
    </row>
    <row r="1780" spans="2:5" hidden="1" x14ac:dyDescent="0.3">
      <c r="B1780" s="19" t="s">
        <v>40</v>
      </c>
      <c r="C1780" s="20" t="str">
        <f>HYPERLINK("#'Data'!A7341", "Estimated percentage of total household expenditures spent on 'Cleaning items' (past month, excl. humanitarian aid) [Baseline] broken down by single_h...")</f>
        <v>Estimated percentage of total household expenditures spent on 'Cleaning items' (past month, excl. humanitarian aid) [Baseline] broken down by single_h...</v>
      </c>
      <c r="D1780" s="19" t="s">
        <v>54</v>
      </c>
      <c r="E1780" s="21">
        <v>1543</v>
      </c>
    </row>
    <row r="1781" spans="2:5" hidden="1" x14ac:dyDescent="0.3">
      <c r="B1781" s="19" t="s">
        <v>40</v>
      </c>
      <c r="C1781" s="20" t="str">
        <f>HYPERLINK("#'Data'!A7411", "Estimated percentage of total household expenditures spent on 'Non-food items' (past month, excl. humanitarian aid) [Baseline] broken down by single_h...")</f>
        <v>Estimated percentage of total household expenditures spent on 'Non-food items' (past month, excl. humanitarian aid) [Baseline] broken down by single_h...</v>
      </c>
      <c r="D1781" s="19" t="s">
        <v>54</v>
      </c>
      <c r="E1781" s="21">
        <v>1558</v>
      </c>
    </row>
    <row r="1782" spans="2:5" hidden="1" x14ac:dyDescent="0.3">
      <c r="B1782" s="19" t="s">
        <v>40</v>
      </c>
      <c r="C1782" s="20" t="str">
        <f>HYPERLINK("#'Data'!A7484", "Estimated percentage of total household expenditures spent on 'Clothing and shoes' (past month, excl. humanitarian aid) [Baseline] broken down by sing...")</f>
        <v>Estimated percentage of total household expenditures spent on 'Clothing and shoes' (past month, excl. humanitarian aid) [Baseline] broken down by sing...</v>
      </c>
      <c r="D1782" s="19" t="s">
        <v>54</v>
      </c>
      <c r="E1782" s="21">
        <v>1573</v>
      </c>
    </row>
    <row r="1783" spans="2:5" hidden="1" x14ac:dyDescent="0.3">
      <c r="B1783" s="19" t="s">
        <v>40</v>
      </c>
      <c r="C1783" s="20" t="str">
        <f>HYPERLINK("#'Data'!A7555", "Estimated percentage of total household expenditures spent on 'Heating fuel' (past month, excl. humanitarian aid) [Baseline] broken down by single_ho_...")</f>
        <v>Estimated percentage of total household expenditures spent on 'Heating fuel' (past month, excl. humanitarian aid) [Baseline] broken down by single_ho_...</v>
      </c>
      <c r="D1783" s="19" t="s">
        <v>54</v>
      </c>
      <c r="E1783" s="21">
        <v>1588</v>
      </c>
    </row>
    <row r="1784" spans="2:5" hidden="1" x14ac:dyDescent="0.3">
      <c r="B1784" s="19" t="s">
        <v>40</v>
      </c>
      <c r="C1784" s="20" t="str">
        <f>HYPERLINK("#'Data'!A7627", "Estimated percentage of total household expenditures spent on 'Safe water' (past month, excl. humanitarian aid) [Baseline] broken down by single_ho_hh...")</f>
        <v>Estimated percentage of total household expenditures spent on 'Safe water' (past month, excl. humanitarian aid) [Baseline] broken down by single_ho_hh...</v>
      </c>
      <c r="D1784" s="19" t="s">
        <v>54</v>
      </c>
      <c r="E1784" s="21">
        <v>1603</v>
      </c>
    </row>
    <row r="1785" spans="2:5" hidden="1" x14ac:dyDescent="0.3">
      <c r="B1785" s="19" t="s">
        <v>40</v>
      </c>
      <c r="C1785" s="20" t="str">
        <f>HYPERLINK("#'Data'!A7701", "Estimated percentage of total household expenditures spent on 'Utilities' (past month, excl. humanitarian aid) [Baseline] broken down by single_ho_hh_...")</f>
        <v>Estimated percentage of total household expenditures spent on 'Utilities' (past month, excl. humanitarian aid) [Baseline] broken down by single_ho_hh_...</v>
      </c>
      <c r="D1785" s="19" t="s">
        <v>54</v>
      </c>
      <c r="E1785" s="21">
        <v>1618</v>
      </c>
    </row>
    <row r="1786" spans="2:5" hidden="1" x14ac:dyDescent="0.3">
      <c r="B1786" s="19" t="s">
        <v>40</v>
      </c>
      <c r="C1786" s="20" t="str">
        <f>HYPERLINK("#'Data'!A7772", "Estimated percentage of total household expenditures spent on 'Water supply' (past month, excl. humanitarian aid) [Baseline] broken down by single_ho_...")</f>
        <v>Estimated percentage of total household expenditures spent on 'Water supply' (past month, excl. humanitarian aid) [Baseline] broken down by single_ho_...</v>
      </c>
      <c r="D1786" s="19" t="s">
        <v>54</v>
      </c>
      <c r="E1786" s="21">
        <v>1633</v>
      </c>
    </row>
    <row r="1787" spans="2:5" hidden="1" x14ac:dyDescent="0.3">
      <c r="B1787" s="19" t="s">
        <v>40</v>
      </c>
      <c r="C1787" s="20" t="str">
        <f>HYPERLINK("#'Data'!A7843", "Estimated percentage of total household expenditures spent on 'Rent' (past month, excl. humanitarian aid) [Baseline] broken down by single_ho_hh_child...")</f>
        <v>Estimated percentage of total household expenditures spent on 'Rent' (past month, excl. humanitarian aid) [Baseline] broken down by single_ho_hh_child...</v>
      </c>
      <c r="D1787" s="19" t="s">
        <v>54</v>
      </c>
      <c r="E1787" s="21">
        <v>1648</v>
      </c>
    </row>
    <row r="1788" spans="2:5" hidden="1" x14ac:dyDescent="0.3">
      <c r="B1788" s="19" t="s">
        <v>40</v>
      </c>
      <c r="C1788" s="20" t="str">
        <f>HYPERLINK("#'Data'!A7912", "Estimated percentage of total household expenditures spent on 'Assistive products' (past month, excl. humanitarian aid) [Baseline] broken down by sing...")</f>
        <v>Estimated percentage of total household expenditures spent on 'Assistive products' (past month, excl. humanitarian aid) [Baseline] broken down by sing...</v>
      </c>
      <c r="D1788" s="19" t="s">
        <v>54</v>
      </c>
      <c r="E1788" s="21">
        <v>1663</v>
      </c>
    </row>
    <row r="1789" spans="2:5" hidden="1" x14ac:dyDescent="0.3">
      <c r="B1789" s="19" t="s">
        <v>40</v>
      </c>
      <c r="C1789" s="20" t="str">
        <f>HYPERLINK("#'Data'!A7985", "Estimated percentage of total household expenditures spent on 'Medication' (past month, excl. humanitarian aid) [Baseline] broken down by single_ho_hh...")</f>
        <v>Estimated percentage of total household expenditures spent on 'Medication' (past month, excl. humanitarian aid) [Baseline] broken down by single_ho_hh...</v>
      </c>
      <c r="D1789" s="19" t="s">
        <v>54</v>
      </c>
      <c r="E1789" s="21">
        <v>1678</v>
      </c>
    </row>
    <row r="1790" spans="2:5" hidden="1" x14ac:dyDescent="0.3">
      <c r="B1790" s="19" t="s">
        <v>40</v>
      </c>
      <c r="C1790" s="20" t="str">
        <f>HYPERLINK("#'Data'!A8055", "Estimated percentage of total household expenditures spent on 'Agricultural inputs' (past month, excl. humanitarian aid) [Baseline] broken down by sin...")</f>
        <v>Estimated percentage of total household expenditures spent on 'Agricultural inputs' (past month, excl. humanitarian aid) [Baseline] broken down by sin...</v>
      </c>
      <c r="D1790" s="19" t="s">
        <v>54</v>
      </c>
      <c r="E1790" s="21">
        <v>1693</v>
      </c>
    </row>
    <row r="1791" spans="2:5" hidden="1" x14ac:dyDescent="0.3">
      <c r="B1791" s="19" t="s">
        <v>40</v>
      </c>
      <c r="C1791" s="20" t="str">
        <f>HYPERLINK("#'Data'!A8125", "Estimated percentage of total household expenditures spent on 'Shelter maintenance' (past month, excl. humanitarian aid) [Baseline] broken down by sin...")</f>
        <v>Estimated percentage of total household expenditures spent on 'Shelter maintenance' (past month, excl. humanitarian aid) [Baseline] broken down by sin...</v>
      </c>
      <c r="D1791" s="19" t="s">
        <v>54</v>
      </c>
      <c r="E1791" s="21">
        <v>1708</v>
      </c>
    </row>
    <row r="1792" spans="2:5" hidden="1" x14ac:dyDescent="0.3">
      <c r="B1792" s="19" t="s">
        <v>40</v>
      </c>
      <c r="C1792" s="20" t="str">
        <f>HYPERLINK("#'Data'!A8194", "Estimated percentage of total household expenditures spent on 'Future savings' (past month, excl. humanitarian aid) [Baseline] broken down by single_h...")</f>
        <v>Estimated percentage of total household expenditures spent on 'Future savings' (past month, excl. humanitarian aid) [Baseline] broken down by single_h...</v>
      </c>
      <c r="D1792" s="19" t="s">
        <v>54</v>
      </c>
      <c r="E1792" s="21">
        <v>1723</v>
      </c>
    </row>
    <row r="1793" spans="2:5" hidden="1" x14ac:dyDescent="0.3">
      <c r="B1793" s="19" t="s">
        <v>40</v>
      </c>
      <c r="C1793" s="20" t="str">
        <f>HYPERLINK("#'Data'!A8263", "Estimated percentage of total household expenditures spent on 'Shared with others' (past month, excl. humanitarian aid) [Baseline] broken down by sing...")</f>
        <v>Estimated percentage of total household expenditures spent on 'Shared with others' (past month, excl. humanitarian aid) [Baseline] broken down by sing...</v>
      </c>
      <c r="D1793" s="19" t="s">
        <v>54</v>
      </c>
      <c r="E1793" s="21">
        <v>1738</v>
      </c>
    </row>
    <row r="1794" spans="2:5" hidden="1" x14ac:dyDescent="0.3">
      <c r="B1794" s="19" t="s">
        <v>40</v>
      </c>
      <c r="C1794" s="20" t="str">
        <f>HYPERLINK("#'Data'!A8334", "Estimated percentage of total household expenditures spent on 'Transportation' (past month, excl. humanitarian aid) [Baseline] broken down by single_h...")</f>
        <v>Estimated percentage of total household expenditures spent on 'Transportation' (past month, excl. humanitarian aid) [Baseline] broken down by single_h...</v>
      </c>
      <c r="D1794" s="19" t="s">
        <v>54</v>
      </c>
      <c r="E1794" s="21">
        <v>1753</v>
      </c>
    </row>
    <row r="1795" spans="2:5" hidden="1" x14ac:dyDescent="0.3">
      <c r="B1795" s="19" t="s">
        <v>40</v>
      </c>
      <c r="C1795" s="20" t="str">
        <f>HYPERLINK("#'Data'!A8408", "Estimated percentage of total household expenditures spent on 'Communication' (past month, excl. humanitarian aid) [Baseline] broken down by single_ho...")</f>
        <v>Estimated percentage of total household expenditures spent on 'Communication' (past month, excl. humanitarian aid) [Baseline] broken down by single_ho...</v>
      </c>
      <c r="D1795" s="19" t="s">
        <v>54</v>
      </c>
      <c r="E1795" s="21">
        <v>1768</v>
      </c>
    </row>
    <row r="1796" spans="2:5" hidden="1" x14ac:dyDescent="0.3">
      <c r="B1796" s="19" t="s">
        <v>40</v>
      </c>
      <c r="C1796" s="20" t="str">
        <f>HYPERLINK("#'Data'!A8479", "Estimated percentage of total household expenditures spent on 'Education materials' (past month, excl. humanitarian aid) [Baseline] broken down by sin...")</f>
        <v>Estimated percentage of total household expenditures spent on 'Education materials' (past month, excl. humanitarian aid) [Baseline] broken down by sin...</v>
      </c>
      <c r="D1796" s="19" t="s">
        <v>54</v>
      </c>
      <c r="E1796" s="21">
        <v>1783</v>
      </c>
    </row>
    <row r="1797" spans="2:5" hidden="1" x14ac:dyDescent="0.3">
      <c r="B1797" s="19" t="s">
        <v>40</v>
      </c>
      <c r="C1797" s="20" t="str">
        <f>HYPERLINK("#'Data'!A8547", "Estimated percentage of total household expenditures spent on 'Other' (past month, excl. humanitarian aid) [Endline] broken down by single_ho_hh_child...")</f>
        <v>Estimated percentage of total household expenditures spent on 'Other' (past month, excl. humanitarian aid) [Endline] broken down by single_ho_hh_child...</v>
      </c>
      <c r="D1797" s="19" t="s">
        <v>54</v>
      </c>
      <c r="E1797" s="21">
        <v>1798</v>
      </c>
    </row>
    <row r="1798" spans="2:5" hidden="1" x14ac:dyDescent="0.3">
      <c r="B1798" s="19" t="s">
        <v>40</v>
      </c>
      <c r="C1798" s="20" t="str">
        <f>HYPERLINK("#'Data'!A8619", "Estimated percentage of total household expenditures spent on 'Food' (past month, excl. humanitarian aid) [Endline] broken down by single_ho_hh_child_...")</f>
        <v>Estimated percentage of total household expenditures spent on 'Food' (past month, excl. humanitarian aid) [Endline] broken down by single_ho_hh_child_...</v>
      </c>
      <c r="D1798" s="19" t="s">
        <v>54</v>
      </c>
      <c r="E1798" s="21">
        <v>1813</v>
      </c>
    </row>
    <row r="1799" spans="2:5" hidden="1" x14ac:dyDescent="0.3">
      <c r="B1799" s="19" t="s">
        <v>40</v>
      </c>
      <c r="C1799" s="20" t="str">
        <f>HYPERLINK("#'Data'!A8692", "Estimated percentage of total household expenditures spent on 'Personal hygiene' (past month, excl. humanitarian aid) [Endline] broken down by single_...")</f>
        <v>Estimated percentage of total household expenditures spent on 'Personal hygiene' (past month, excl. humanitarian aid) [Endline] broken down by single_...</v>
      </c>
      <c r="D1799" s="19" t="s">
        <v>54</v>
      </c>
      <c r="E1799" s="21">
        <v>1828</v>
      </c>
    </row>
    <row r="1800" spans="2:5" x14ac:dyDescent="0.3">
      <c r="B1800" s="19" t="s">
        <v>42</v>
      </c>
      <c r="C1800" s="20" t="str">
        <f>HYPERLINK("#'Data'!A8765", "Estimated percentage of total household expenditures spent on 'Cleaning items' (past month, excl. humanitarian aid) [Endline] broken down by single_ho...")</f>
        <v>Estimated percentage of total household expenditures spent on 'Cleaning items' (past month, excl. humanitarian aid) [Endline] broken down by single_ho...</v>
      </c>
      <c r="D1800" s="19" t="s">
        <v>54</v>
      </c>
      <c r="E1800" s="21">
        <v>1843</v>
      </c>
    </row>
    <row r="1801" spans="2:5" x14ac:dyDescent="0.3">
      <c r="B1801" s="19" t="s">
        <v>42</v>
      </c>
      <c r="C1801" s="20" t="str">
        <f>HYPERLINK("#'Data'!A8837", "Estimated percentage of total household expenditures spent on 'Non-food items' (past month, excl. humanitarian aid) [Endline] broken down by single_ho...")</f>
        <v>Estimated percentage of total household expenditures spent on 'Non-food items' (past month, excl. humanitarian aid) [Endline] broken down by single_ho...</v>
      </c>
      <c r="D1801" s="19" t="s">
        <v>54</v>
      </c>
      <c r="E1801" s="21">
        <v>1858</v>
      </c>
    </row>
    <row r="1802" spans="2:5" x14ac:dyDescent="0.3">
      <c r="B1802" s="19" t="s">
        <v>42</v>
      </c>
      <c r="C1802" s="20" t="str">
        <f>HYPERLINK("#'Data'!A8910", "Estimated percentage of total household expenditures spent on 'Clothing and shoes' (past month, excl. humanitarian aid) [Endline] broken down by singl...")</f>
        <v>Estimated percentage of total household expenditures spent on 'Clothing and shoes' (past month, excl. humanitarian aid) [Endline] broken down by singl...</v>
      </c>
      <c r="D1802" s="19" t="s">
        <v>54</v>
      </c>
      <c r="E1802" s="21">
        <v>1873</v>
      </c>
    </row>
    <row r="1803" spans="2:5" x14ac:dyDescent="0.3">
      <c r="B1803" s="19" t="s">
        <v>42</v>
      </c>
      <c r="C1803" s="20" t="str">
        <f>HYPERLINK("#'Data'!A8984", "Estimated percentage of total household expenditures spent on 'Heating fuel' (past month, excl. humanitarian aid) [Endline] broken down by single_ho_h...")</f>
        <v>Estimated percentage of total household expenditures spent on 'Heating fuel' (past month, excl. humanitarian aid) [Endline] broken down by single_ho_h...</v>
      </c>
      <c r="D1803" s="19" t="s">
        <v>54</v>
      </c>
      <c r="E1803" s="21">
        <v>1888</v>
      </c>
    </row>
    <row r="1804" spans="2:5" x14ac:dyDescent="0.3">
      <c r="B1804" s="19" t="s">
        <v>42</v>
      </c>
      <c r="C1804" s="20" t="str">
        <f>HYPERLINK("#'Data'!A9056", "Estimated percentage of total household expenditures spent on 'Safe water' (past month, excl. humanitarian aid) [Endline] broken down by single_ho_hh_...")</f>
        <v>Estimated percentage of total household expenditures spent on 'Safe water' (past month, excl. humanitarian aid) [Endline] broken down by single_ho_hh_...</v>
      </c>
      <c r="D1804" s="19" t="s">
        <v>54</v>
      </c>
      <c r="E1804" s="21">
        <v>1903</v>
      </c>
    </row>
    <row r="1805" spans="2:5" x14ac:dyDescent="0.3">
      <c r="B1805" s="19" t="s">
        <v>42</v>
      </c>
      <c r="C1805" s="20" t="str">
        <f>HYPERLINK("#'Data'!A9130", "Estimated percentage of total household expenditures spent on 'Utilities' (past month, excl. humanitarian aid) [Endline] broken down by single_ho_hh_c...")</f>
        <v>Estimated percentage of total household expenditures spent on 'Utilities' (past month, excl. humanitarian aid) [Endline] broken down by single_ho_hh_c...</v>
      </c>
      <c r="D1805" s="19" t="s">
        <v>54</v>
      </c>
      <c r="E1805" s="21">
        <v>1918</v>
      </c>
    </row>
    <row r="1806" spans="2:5" x14ac:dyDescent="0.3">
      <c r="B1806" s="19" t="s">
        <v>42</v>
      </c>
      <c r="C1806" s="20" t="str">
        <f>HYPERLINK("#'Data'!A9201", "Estimated percentage of total household expenditures spent on 'Water supply' (past month, excl. humanitarian aid) [Endline] broken down by single_ho_h...")</f>
        <v>Estimated percentage of total household expenditures spent on 'Water supply' (past month, excl. humanitarian aid) [Endline] broken down by single_ho_h...</v>
      </c>
      <c r="D1806" s="19" t="s">
        <v>54</v>
      </c>
      <c r="E1806" s="21">
        <v>1933</v>
      </c>
    </row>
    <row r="1807" spans="2:5" x14ac:dyDescent="0.3">
      <c r="B1807" s="19" t="s">
        <v>42</v>
      </c>
      <c r="C1807" s="20" t="str">
        <f>HYPERLINK("#'Data'!A9271", "Estimated percentage of total household expenditures spent on 'Rent' (past month, excl. humanitarian aid) [Endline] broken down by single_ho_hh_child_...")</f>
        <v>Estimated percentage of total household expenditures spent on 'Rent' (past month, excl. humanitarian aid) [Endline] broken down by single_ho_hh_child_...</v>
      </c>
      <c r="D1807" s="19" t="s">
        <v>54</v>
      </c>
      <c r="E1807" s="21">
        <v>1948</v>
      </c>
    </row>
    <row r="1808" spans="2:5" x14ac:dyDescent="0.3">
      <c r="B1808" s="19" t="s">
        <v>42</v>
      </c>
      <c r="C1808" s="20" t="str">
        <f>HYPERLINK("#'Data'!A9337", "Estimated percentage of total household expenditures spent on 'Assistive products' (past month, excl. humanitarian aid) [Endline] broken down by singl...")</f>
        <v>Estimated percentage of total household expenditures spent on 'Assistive products' (past month, excl. humanitarian aid) [Endline] broken down by singl...</v>
      </c>
      <c r="D1808" s="19" t="s">
        <v>54</v>
      </c>
      <c r="E1808" s="21">
        <v>1963</v>
      </c>
    </row>
    <row r="1809" spans="2:5" x14ac:dyDescent="0.3">
      <c r="B1809" s="19" t="s">
        <v>42</v>
      </c>
      <c r="C1809" s="20" t="str">
        <f>HYPERLINK("#'Data'!A9407", "Estimated percentage of total household expenditures spent on 'Medication' (past month, excl. humanitarian aid) [Endline] broken down by single_ho_hh_...")</f>
        <v>Estimated percentage of total household expenditures spent on 'Medication' (past month, excl. humanitarian aid) [Endline] broken down by single_ho_hh_...</v>
      </c>
      <c r="D1809" s="19" t="s">
        <v>54</v>
      </c>
      <c r="E1809" s="21">
        <v>1978</v>
      </c>
    </row>
    <row r="1810" spans="2:5" x14ac:dyDescent="0.3">
      <c r="B1810" s="19" t="s">
        <v>42</v>
      </c>
      <c r="C1810" s="20" t="str">
        <f>HYPERLINK("#'Data'!A9475", "Estimated percentage of total household expenditures spent on 'Agricultural inputs' (past month, excl. humanitarian aid) [Endline] broken down by sing...")</f>
        <v>Estimated percentage of total household expenditures spent on 'Agricultural inputs' (past month, excl. humanitarian aid) [Endline] broken down by sing...</v>
      </c>
      <c r="D1810" s="19" t="s">
        <v>54</v>
      </c>
      <c r="E1810" s="21">
        <v>1993</v>
      </c>
    </row>
    <row r="1811" spans="2:5" x14ac:dyDescent="0.3">
      <c r="B1811" s="19" t="s">
        <v>42</v>
      </c>
      <c r="C1811" s="20" t="str">
        <f>HYPERLINK("#'Data'!A9542", "Estimated percentage of total household expenditures spent on 'Shelter maintenance' (past month, excl. humanitarian aid) [Endline] broken down by sing...")</f>
        <v>Estimated percentage of total household expenditures spent on 'Shelter maintenance' (past month, excl. humanitarian aid) [Endline] broken down by sing...</v>
      </c>
      <c r="D1811" s="19" t="s">
        <v>54</v>
      </c>
      <c r="E1811" s="21">
        <v>2008</v>
      </c>
    </row>
    <row r="1812" spans="2:5" x14ac:dyDescent="0.3">
      <c r="B1812" s="19" t="s">
        <v>42</v>
      </c>
      <c r="C1812" s="20" t="str">
        <f>HYPERLINK("#'Data'!A9611", "Estimated percentage of total household expenditures spent on 'Future savings' (past month, excl. humanitarian aid) [Endline] broken down by single_ho...")</f>
        <v>Estimated percentage of total household expenditures spent on 'Future savings' (past month, excl. humanitarian aid) [Endline] broken down by single_ho...</v>
      </c>
      <c r="D1812" s="19" t="s">
        <v>54</v>
      </c>
      <c r="E1812" s="21">
        <v>2023</v>
      </c>
    </row>
    <row r="1813" spans="2:5" x14ac:dyDescent="0.3">
      <c r="B1813" s="19" t="s">
        <v>42</v>
      </c>
      <c r="C1813" s="20" t="str">
        <f>HYPERLINK("#'Data'!A9674", "Estimated percentage of total household expenditures spent on 'Shared with others' (past month, excl. humanitarian aid) [Endline] broken down by singl...")</f>
        <v>Estimated percentage of total household expenditures spent on 'Shared with others' (past month, excl. humanitarian aid) [Endline] broken down by singl...</v>
      </c>
      <c r="D1813" s="19" t="s">
        <v>54</v>
      </c>
      <c r="E1813" s="21">
        <v>2038</v>
      </c>
    </row>
    <row r="1814" spans="2:5" x14ac:dyDescent="0.3">
      <c r="B1814" s="19" t="s">
        <v>42</v>
      </c>
      <c r="C1814" s="20" t="str">
        <f>HYPERLINK("#'Data'!A9742", "Estimated percentage of total household expenditures spent on 'Transportation' (past month, excl. humanitarian aid) [Endline] broken down by single_ho...")</f>
        <v>Estimated percentage of total household expenditures spent on 'Transportation' (past month, excl. humanitarian aid) [Endline] broken down by single_ho...</v>
      </c>
      <c r="D1814" s="19" t="s">
        <v>54</v>
      </c>
      <c r="E1814" s="21">
        <v>2053</v>
      </c>
    </row>
    <row r="1815" spans="2:5" x14ac:dyDescent="0.3">
      <c r="B1815" s="19" t="s">
        <v>42</v>
      </c>
      <c r="C1815" s="20" t="str">
        <f>HYPERLINK("#'Data'!A9814", "Estimated percentage of total household expenditures spent on 'Communication' (past month, excl. humanitarian aid) [Endline] broken down by single_ho_...")</f>
        <v>Estimated percentage of total household expenditures spent on 'Communication' (past month, excl. humanitarian aid) [Endline] broken down by single_ho_...</v>
      </c>
      <c r="D1815" s="19" t="s">
        <v>54</v>
      </c>
      <c r="E1815" s="21">
        <v>2068</v>
      </c>
    </row>
    <row r="1816" spans="2:5" x14ac:dyDescent="0.3">
      <c r="B1816" s="19" t="s">
        <v>42</v>
      </c>
      <c r="C1816" s="20" t="str">
        <f>HYPERLINK("#'Data'!A9885", "Estimated percentage of total household expenditures spent on 'Education materials' (past month, excl. humanitarian aid) [Endline] broken down by sing...")</f>
        <v>Estimated percentage of total household expenditures spent on 'Education materials' (past month, excl. humanitarian aid) [Endline] broken down by sing...</v>
      </c>
      <c r="D1816" s="19" t="s">
        <v>54</v>
      </c>
      <c r="E1816" s="21">
        <v>2083</v>
      </c>
    </row>
    <row r="1817" spans="2:5" hidden="1" x14ac:dyDescent="0.3">
      <c r="B1817" s="19" t="s">
        <v>40</v>
      </c>
      <c r="C1817" s="20" t="str">
        <f>HYPERLINK("#'Data'!A69", "Total combined income of all members of a household (excluding any humanitarian monetary assistance) for the last month in UAH [Baseline] broken down ...")</f>
        <v>Total combined income of all members of a household (excluding any humanitarian monetary assistance) for the last month in UAH [Baseline] broken down ...</v>
      </c>
      <c r="D1817" s="19" t="s">
        <v>55</v>
      </c>
      <c r="E1817" s="21">
        <v>15</v>
      </c>
    </row>
    <row r="1818" spans="2:5" hidden="1" x14ac:dyDescent="0.3">
      <c r="B1818" s="19" t="s">
        <v>40</v>
      </c>
      <c r="C1818" s="20" t="str">
        <f>HYPERLINK("#'Data'!A143", "Total combined income of all members of a household (excluding any humanitarian monetary assistance) for the last month per HH member in UAH [Baseline...")</f>
        <v>Total combined income of all members of a household (excluding any humanitarian monetary assistance) for the last month per HH member in UAH [Baseline...</v>
      </c>
      <c r="D1818" s="19" t="s">
        <v>55</v>
      </c>
      <c r="E1818" s="21">
        <v>30</v>
      </c>
    </row>
    <row r="1819" spans="2:5" x14ac:dyDescent="0.3">
      <c r="B1819" s="19" t="s">
        <v>42</v>
      </c>
      <c r="C1819" s="20" t="str">
        <f>HYPERLINK("#'Data'!A217", "Total combined income of all members of a household (excluding any humanitarian monetary assistance) for the last month in UAH [Endline] broken down b...")</f>
        <v>Total combined income of all members of a household (excluding any humanitarian monetary assistance) for the last month in UAH [Endline] broken down b...</v>
      </c>
      <c r="D1819" s="19" t="s">
        <v>55</v>
      </c>
      <c r="E1819" s="21">
        <v>45</v>
      </c>
    </row>
    <row r="1820" spans="2:5" x14ac:dyDescent="0.3">
      <c r="B1820" s="19" t="s">
        <v>42</v>
      </c>
      <c r="C1820" s="20" t="str">
        <f>HYPERLINK("#'Data'!A291", "Total combined income of all members of a household (excluding any humanitarian monetary assistance) for the last month per HH member in UAH [Endline]...")</f>
        <v>Total combined income of all members of a household (excluding any humanitarian monetary assistance) for the last month per HH member in UAH [Endline]...</v>
      </c>
      <c r="D1820" s="19" t="s">
        <v>55</v>
      </c>
      <c r="E1820" s="21">
        <v>60</v>
      </c>
    </row>
    <row r="1821" spans="2:5" hidden="1" x14ac:dyDescent="0.3">
      <c r="B1821" s="19" t="s">
        <v>40</v>
      </c>
      <c r="C1821" s="20" t="str">
        <f>HYPERLINK("#'Data'!A365", "Sources of income or financial support  household received in the last month [Baseline] broken down by total_eligibility_quantiled on the admin of Ove...")</f>
        <v>Sources of income or financial support  household received in the last month [Baseline] broken down by total_eligibility_quantiled on the admin of Ove...</v>
      </c>
      <c r="D1821" s="19" t="s">
        <v>55</v>
      </c>
      <c r="E1821" s="21">
        <v>75</v>
      </c>
    </row>
    <row r="1822" spans="2:5" x14ac:dyDescent="0.3">
      <c r="B1822" s="19" t="s">
        <v>42</v>
      </c>
      <c r="C1822" s="20" t="str">
        <f>HYPERLINK("#'Data'!A439", "Sources of income or financial support  household received in the last month other than multi-purpose cash assistance [Endline] broken down by total_e...")</f>
        <v>Sources of income or financial support  household received in the last month other than multi-purpose cash assistance [Endline] broken down by total_e...</v>
      </c>
      <c r="D1822" s="19" t="s">
        <v>55</v>
      </c>
      <c r="E1822" s="21">
        <v>90</v>
      </c>
    </row>
    <row r="1823" spans="2:5" hidden="1" x14ac:dyDescent="0.3">
      <c r="B1823" s="19" t="s">
        <v>40</v>
      </c>
      <c r="C1823" s="20" t="str">
        <f>HYPERLINK("#'Data'!A513", "Total combined expenditures of all members of a household (excluding any humanitarian monetary assistance) for the last month in UAH [Baseline] broken...")</f>
        <v>Total combined expenditures of all members of a household (excluding any humanitarian monetary assistance) for the last month in UAH [Baseline] broken...</v>
      </c>
      <c r="D1823" s="19" t="s">
        <v>55</v>
      </c>
      <c r="E1823" s="21">
        <v>105</v>
      </c>
    </row>
    <row r="1824" spans="2:5" hidden="1" x14ac:dyDescent="0.3">
      <c r="B1824" s="19" t="s">
        <v>40</v>
      </c>
      <c r="C1824" s="20" t="str">
        <f>HYPERLINK("#'Data'!A587", "Total combined expenditures of all members of a household (excluding any humanitarian monetary assistance) for the last month per HH member in UAH [Ba...")</f>
        <v>Total combined expenditures of all members of a household (excluding any humanitarian monetary assistance) for the last month per HH member in UAH [Ba...</v>
      </c>
      <c r="D1824" s="19" t="s">
        <v>55</v>
      </c>
      <c r="E1824" s="21">
        <v>120</v>
      </c>
    </row>
    <row r="1825" spans="2:5" x14ac:dyDescent="0.3">
      <c r="B1825" s="19" t="s">
        <v>42</v>
      </c>
      <c r="C1825" s="20" t="str">
        <f>HYPERLINK("#'Data'!A661", "Total combined expenditures of all members of a household (excluding any humanitarian monetary assistance) for the last month in UAH [Endline] broken ...")</f>
        <v>Total combined expenditures of all members of a household (excluding any humanitarian monetary assistance) for the last month in UAH [Endline] broken ...</v>
      </c>
      <c r="D1825" s="19" t="s">
        <v>55</v>
      </c>
      <c r="E1825" s="21">
        <v>135</v>
      </c>
    </row>
    <row r="1826" spans="2:5" x14ac:dyDescent="0.3">
      <c r="B1826" s="19" t="s">
        <v>42</v>
      </c>
      <c r="C1826" s="20" t="str">
        <f>HYPERLINK("#'Data'!A735", "Total combined expenditures of all members of a household (excluding any humanitarian monetary assistance) for the last month per HH member in UAH [En...")</f>
        <v>Total combined expenditures of all members of a household (excluding any humanitarian monetary assistance) for the last month per HH member in UAH [En...</v>
      </c>
      <c r="D1826" s="19" t="s">
        <v>55</v>
      </c>
      <c r="E1826" s="21">
        <v>150</v>
      </c>
    </row>
    <row r="1827" spans="2:5" hidden="1" x14ac:dyDescent="0.3">
      <c r="B1827" s="19" t="s">
        <v>40</v>
      </c>
      <c r="C1827" s="20" t="str">
        <f>HYPERLINK("#'Data'!A809", "Household expenditures by category over the past 30 days [or month] in UAH [Baseline] broken down by total_eligibility_quantiled on the admin of Overa...")</f>
        <v>Household expenditures by category over the past 30 days [or month] in UAH [Baseline] broken down by total_eligibility_quantiled on the admin of Overa...</v>
      </c>
      <c r="D1827" s="19" t="s">
        <v>55</v>
      </c>
      <c r="E1827" s="21">
        <v>165</v>
      </c>
    </row>
    <row r="1828" spans="2:5" x14ac:dyDescent="0.3">
      <c r="B1828" s="19" t="s">
        <v>42</v>
      </c>
      <c r="C1828" s="20" t="str">
        <f>HYPERLINK("#'Data'!A883", "Household expenditures by category over the past 30 days [or month] in UAH [Endline] broken down by total_eligibility_quantiled on the admin of Overal...")</f>
        <v>Household expenditures by category over the past 30 days [or month] in UAH [Endline] broken down by total_eligibility_quantiled on the admin of Overal...</v>
      </c>
      <c r="D1828" s="19" t="s">
        <v>55</v>
      </c>
      <c r="E1828" s="21">
        <v>180</v>
      </c>
    </row>
    <row r="1829" spans="2:5" hidden="1" x14ac:dyDescent="0.3">
      <c r="B1829" s="19" t="s">
        <v>40</v>
      </c>
      <c r="C1829" s="20" t="str">
        <f>HYPERLINK("#'Data'!A957", "Household's ability to meet basic needs (self-defined and prioritized) [Baseline] broken down by total_eligibility_quantiled on the admin of Overall p...")</f>
        <v>Household's ability to meet basic needs (self-defined and prioritized) [Baseline] broken down by total_eligibility_quantiled on the admin of Overall p...</v>
      </c>
      <c r="D1829" s="19" t="s">
        <v>55</v>
      </c>
      <c r="E1829" s="21">
        <v>195</v>
      </c>
    </row>
    <row r="1830" spans="2:5" x14ac:dyDescent="0.3">
      <c r="B1830" s="19" t="s">
        <v>42</v>
      </c>
      <c r="C1830" s="20" t="str">
        <f>HYPERLINK("#'Data'!A1031", "Household's ability to meet basic needs (self-defined and prioritized) [Endline] broken down by total_eligibility_quantiled on the admin of Overall pe...")</f>
        <v>Household's ability to meet basic needs (self-defined and prioritized) [Endline] broken down by total_eligibility_quantiled on the admin of Overall pe...</v>
      </c>
      <c r="D1830" s="19" t="s">
        <v>55</v>
      </c>
      <c r="E1830" s="21">
        <v>210</v>
      </c>
    </row>
    <row r="1831" spans="2:5" hidden="1" x14ac:dyDescent="0.3">
      <c r="B1831" s="19" t="s">
        <v>40</v>
      </c>
      <c r="C1831" s="20" t="str">
        <f>HYPERLINK("#'Data'!A1105", "Basic needs the household is currently unable to fulfill (if not all are met) [Baseline] broken down by total_eligibility_quantiled on the admin of Ov...")</f>
        <v>Basic needs the household is currently unable to fulfill (if not all are met) [Baseline] broken down by total_eligibility_quantiled on the admin of Ov...</v>
      </c>
      <c r="D1831" s="19" t="s">
        <v>55</v>
      </c>
      <c r="E1831" s="21">
        <v>225</v>
      </c>
    </row>
    <row r="1832" spans="2:5" x14ac:dyDescent="0.3">
      <c r="B1832" s="19" t="s">
        <v>42</v>
      </c>
      <c r="C1832" s="20" t="str">
        <f>HYPERLINK("#'Data'!A1179", "Basic needs the household is currently unable to fulfill (if not all are met) [Endline] broken down by total_eligibility_quantiled on the admin of Ove...")</f>
        <v>Basic needs the household is currently unable to fulfill (if not all are met) [Endline] broken down by total_eligibility_quantiled on the admin of Ove...</v>
      </c>
      <c r="D1832" s="19" t="s">
        <v>55</v>
      </c>
      <c r="E1832" s="21">
        <v>240</v>
      </c>
    </row>
    <row r="1833" spans="2:5" hidden="1" x14ac:dyDescent="0.3">
      <c r="B1833" s="19" t="s">
        <v>40</v>
      </c>
      <c r="C1833" s="20" t="str">
        <f>HYPERLINK("#'Data'!A1253", "Coping strategies used in the last 30 days due to insufficient resources to meet basic needs [Baseline] broken down by total_eligibility_quantiled on ...")</f>
        <v>Coping strategies used in the last 30 days due to insufficient resources to meet basic needs [Baseline] broken down by total_eligibility_quantiled on ...</v>
      </c>
      <c r="D1833" s="19" t="s">
        <v>55</v>
      </c>
      <c r="E1833" s="21">
        <v>255</v>
      </c>
    </row>
    <row r="1834" spans="2:5" x14ac:dyDescent="0.3">
      <c r="B1834" s="19" t="s">
        <v>42</v>
      </c>
      <c r="C1834" s="20" t="str">
        <f>HYPERLINK("#'Data'!A1327", "Coping strategies used in the last 30 days due to insufficient resources to meet basic needs [Endline] broken down by total_eligibility_quantiled on t...")</f>
        <v>Coping strategies used in the last 30 days due to insufficient resources to meet basic needs [Endline] broken down by total_eligibility_quantiled on t...</v>
      </c>
      <c r="D1834" s="19" t="s">
        <v>55</v>
      </c>
      <c r="E1834" s="21">
        <v>270</v>
      </c>
    </row>
    <row r="1835" spans="2:5" x14ac:dyDescent="0.3">
      <c r="B1835" s="19" t="s">
        <v>42</v>
      </c>
      <c r="C1835" s="20" t="str">
        <f>HYPERLINK("#'Data'!A1401", "Coping strategies avoided in the past 3 months due to receipt of MPCA [Endline] broken down by total_eligibility_quantiled on the admin of Overall per...")</f>
        <v>Coping strategies avoided in the past 3 months due to receipt of MPCA [Endline] broken down by total_eligibility_quantiled on the admin of Overall per...</v>
      </c>
      <c r="D1835" s="19" t="s">
        <v>55</v>
      </c>
      <c r="E1835" s="21">
        <v>285</v>
      </c>
    </row>
    <row r="1836" spans="2:5" hidden="1" x14ac:dyDescent="0.3">
      <c r="B1836" s="19" t="s">
        <v>40</v>
      </c>
      <c r="C1836" s="20" t="str">
        <f>HYPERLINK("#'Data'!A1475", "Household perception of relevance of forthcoming MPCA (3,600 UAH for 3 months per member) [Baseline] broken down by total_eligibility_quantiled on the...")</f>
        <v>Household perception of relevance of forthcoming MPCA (3,600 UAH for 3 months per member) [Baseline] broken down by total_eligibility_quantiled on the...</v>
      </c>
      <c r="D1836" s="19" t="s">
        <v>55</v>
      </c>
      <c r="E1836" s="21">
        <v>300</v>
      </c>
    </row>
    <row r="1837" spans="2:5" hidden="1" x14ac:dyDescent="0.3">
      <c r="B1837" s="19" t="s">
        <v>40</v>
      </c>
      <c r="C1837" s="20" t="str">
        <f>HYPERLINK("#'Data'!A1549", "Estimated percentage of household needs met by upcoming MPCA (if partially appropriate) [Baseline] broken down by total_eligibility_quantiled on the a...")</f>
        <v>Estimated percentage of household needs met by upcoming MPCA (if partially appropriate) [Baseline] broken down by total_eligibility_quantiled on the a...</v>
      </c>
      <c r="D1837" s="19" t="s">
        <v>55</v>
      </c>
      <c r="E1837" s="21">
        <v>315</v>
      </c>
    </row>
    <row r="1838" spans="2:5" x14ac:dyDescent="0.3">
      <c r="B1838" s="19" t="s">
        <v>42</v>
      </c>
      <c r="C1838" s="20" t="str">
        <f>HYPERLINK("#'Data'!A1623", "Household opinion on adequacy of received MPCA (3,600 UAH for 3 months per member) [Endline] broken down by total_eligibility_quantiled on the admin o...")</f>
        <v>Household opinion on adequacy of received MPCA (3,600 UAH for 3 months per member) [Endline] broken down by total_eligibility_quantiled on the admin o...</v>
      </c>
      <c r="D1838" s="19" t="s">
        <v>55</v>
      </c>
      <c r="E1838" s="21">
        <v>330</v>
      </c>
    </row>
    <row r="1839" spans="2:5" x14ac:dyDescent="0.3">
      <c r="B1839" s="19" t="s">
        <v>42</v>
      </c>
      <c r="C1839" s="20" t="str">
        <f>HYPERLINK("#'Data'!A1697", "Estimated percentage of household needs met by received MPCA (if partially appropriate) [Endline] broken down by total_eligibility_quantiled on the ad...")</f>
        <v>Estimated percentage of household needs met by received MPCA (if partially appropriate) [Endline] broken down by total_eligibility_quantiled on the ad...</v>
      </c>
      <c r="D1839" s="19" t="s">
        <v>55</v>
      </c>
      <c r="E1839" s="21">
        <v>345</v>
      </c>
    </row>
    <row r="1840" spans="2:5" x14ac:dyDescent="0.3">
      <c r="B1840" s="19" t="s">
        <v>42</v>
      </c>
      <c r="C1840" s="20" t="str">
        <f>HYPERLINK("#'Data'!A1783", "Whether the household has already spent the received MPCA [Endline] broken down by total_eligibility_quantiled on the admin of Overall perc")</f>
        <v>Whether the household has already spent the received MPCA [Endline] broken down by total_eligibility_quantiled on the admin of Overall perc</v>
      </c>
      <c r="D1840" s="19" t="s">
        <v>55</v>
      </c>
      <c r="E1840" s="21">
        <v>363</v>
      </c>
    </row>
    <row r="1841" spans="2:5" x14ac:dyDescent="0.3">
      <c r="B1841" s="19" t="s">
        <v>42</v>
      </c>
      <c r="C1841" s="20" t="str">
        <f>HYPERLINK("#'Data'!A1857", "Number of weeks MPCA lasted if fully spent [Endline] broken down by total_eligibility_quantiled on the admin of Overall mean")</f>
        <v>Number of weeks MPCA lasted if fully spent [Endline] broken down by total_eligibility_quantiled on the admin of Overall mean</v>
      </c>
      <c r="D1841" s="19" t="s">
        <v>55</v>
      </c>
      <c r="E1841" s="21">
        <v>378</v>
      </c>
    </row>
    <row r="1842" spans="2:5" x14ac:dyDescent="0.3">
      <c r="B1842" s="19" t="s">
        <v>42</v>
      </c>
      <c r="C1842" s="20" t="str">
        <f>HYPERLINK("#'Data'!A1931", "Percentage of MPCA spent to date (if partially used) [Endline] broken down by total_eligibility_quantiled on the admin of Overall mean")</f>
        <v>Percentage of MPCA spent to date (if partially used) [Endline] broken down by total_eligibility_quantiled on the admin of Overall mean</v>
      </c>
      <c r="D1842" s="19" t="s">
        <v>55</v>
      </c>
      <c r="E1842" s="21">
        <v>393</v>
      </c>
    </row>
    <row r="1843" spans="2:5" x14ac:dyDescent="0.3">
      <c r="B1843" s="19" t="s">
        <v>42</v>
      </c>
      <c r="C1843" s="20" t="str">
        <f>HYPERLINK("#'Data'!A2005", "Extent to which received MPCA helped cover household needs during usage period [Endline] broken down by total_eligibility_quantiled on the admin of Ov...")</f>
        <v>Extent to which received MPCA helped cover household needs during usage period [Endline] broken down by total_eligibility_quantiled on the admin of Ov...</v>
      </c>
      <c r="D1843" s="19" t="s">
        <v>55</v>
      </c>
      <c r="E1843" s="21">
        <v>408</v>
      </c>
    </row>
    <row r="1844" spans="2:5" x14ac:dyDescent="0.3">
      <c r="B1844" s="19" t="s">
        <v>42</v>
      </c>
      <c r="C1844" s="20" t="str">
        <f>HYPERLINK("#'Data'!A2079", "Percentage of needs covered by MPCA (if partially met) [Endline] broken down by total_eligibility_quantiled on the admin of Overall mean")</f>
        <v>Percentage of needs covered by MPCA (if partially met) [Endline] broken down by total_eligibility_quantiled on the admin of Overall mean</v>
      </c>
      <c r="D1844" s="19" t="s">
        <v>55</v>
      </c>
      <c r="E1844" s="21">
        <v>423</v>
      </c>
    </row>
    <row r="1845" spans="2:5" hidden="1" x14ac:dyDescent="0.3">
      <c r="B1845" s="19" t="s">
        <v>40</v>
      </c>
      <c r="C1845" s="20" t="str">
        <f>HYPERLINK("#'Data'!A2153", "Priority needs requiring financial aid, with importance level [Baseline] broken down by total_eligibility_quantiled on the admin of Overall perc")</f>
        <v>Priority needs requiring financial aid, with importance level [Baseline] broken down by total_eligibility_quantiled on the admin of Overall perc</v>
      </c>
      <c r="D1845" s="19" t="s">
        <v>55</v>
      </c>
      <c r="E1845" s="21">
        <v>438</v>
      </c>
    </row>
    <row r="1846" spans="2:5" hidden="1" x14ac:dyDescent="0.3">
      <c r="B1846" s="19" t="s">
        <v>40</v>
      </c>
      <c r="C1846" s="20" t="str">
        <f>HYPERLINK("#'Data'!A2225", "Importance rating for 'Other' priority need requiring financial assistance [Baseline] broken down by total_eligibility_quantiled on the admin of Overa...")</f>
        <v>Importance rating for 'Other' priority need requiring financial assistance [Baseline] broken down by total_eligibility_quantiled on the admin of Overa...</v>
      </c>
      <c r="D1846" s="19" t="s">
        <v>55</v>
      </c>
      <c r="E1846" s="21">
        <v>453</v>
      </c>
    </row>
    <row r="1847" spans="2:5" hidden="1" x14ac:dyDescent="0.3">
      <c r="B1847" s="19" t="s">
        <v>40</v>
      </c>
      <c r="C1847" s="20" t="str">
        <f>HYPERLINK("#'Data'!A2299", "Importance rating for 'Food' priority need requiring financial assistance [Baseline] broken down by total_eligibility_quantiled on the admin of Overal...")</f>
        <v>Importance rating for 'Food' priority need requiring financial assistance [Baseline] broken down by total_eligibility_quantiled on the admin of Overal...</v>
      </c>
      <c r="D1847" s="19" t="s">
        <v>55</v>
      </c>
      <c r="E1847" s="21">
        <v>468</v>
      </c>
    </row>
    <row r="1848" spans="2:5" hidden="1" x14ac:dyDescent="0.3">
      <c r="B1848" s="19" t="s">
        <v>40</v>
      </c>
      <c r="C1848" s="20" t="str">
        <f>HYPERLINK("#'Data'!A2371", "Importance rating for 'Personal hygiene' priority need requiring financial assistance [Baseline] broken down by total_eligibility_quantiled on the adm...")</f>
        <v>Importance rating for 'Personal hygiene' priority need requiring financial assistance [Baseline] broken down by total_eligibility_quantiled on the adm...</v>
      </c>
      <c r="D1848" s="19" t="s">
        <v>55</v>
      </c>
      <c r="E1848" s="21">
        <v>483</v>
      </c>
    </row>
    <row r="1849" spans="2:5" hidden="1" x14ac:dyDescent="0.3">
      <c r="B1849" s="19" t="s">
        <v>40</v>
      </c>
      <c r="C1849" s="20" t="str">
        <f>HYPERLINK("#'Data'!A2437", "Importance rating for 'Cleaning items' priority need requiring financial assistance [Baseline] broken down by total_eligibility_quantiled on the admin...")</f>
        <v>Importance rating for 'Cleaning items' priority need requiring financial assistance [Baseline] broken down by total_eligibility_quantiled on the admin...</v>
      </c>
      <c r="D1849" s="19" t="s">
        <v>55</v>
      </c>
      <c r="E1849" s="21">
        <v>498</v>
      </c>
    </row>
    <row r="1850" spans="2:5" hidden="1" x14ac:dyDescent="0.3">
      <c r="B1850" s="19" t="s">
        <v>40</v>
      </c>
      <c r="C1850" s="20" t="str">
        <f>HYPERLINK("#'Data'!A2504", "Importance rating for 'Non-food items' priority need requiring financial assistance [Baseline] broken down by total_eligibility_quantiled on the admin...")</f>
        <v>Importance rating for 'Non-food items' priority need requiring financial assistance [Baseline] broken down by total_eligibility_quantiled on the admin...</v>
      </c>
      <c r="D1850" s="19" t="s">
        <v>55</v>
      </c>
      <c r="E1850" s="21">
        <v>513</v>
      </c>
    </row>
    <row r="1851" spans="2:5" hidden="1" x14ac:dyDescent="0.3">
      <c r="B1851" s="19" t="s">
        <v>40</v>
      </c>
      <c r="C1851" s="20" t="str">
        <f>HYPERLINK("#'Data'!A2574", "Importance rating for 'Clothing and shoes' priority need requiring financial assistance [Baseline] broken down by total_eligibility_quantiled on the a...")</f>
        <v>Importance rating for 'Clothing and shoes' priority need requiring financial assistance [Baseline] broken down by total_eligibility_quantiled on the a...</v>
      </c>
      <c r="D1851" s="19" t="s">
        <v>55</v>
      </c>
      <c r="E1851" s="21">
        <v>528</v>
      </c>
    </row>
    <row r="1852" spans="2:5" hidden="1" x14ac:dyDescent="0.3">
      <c r="B1852" s="19" t="s">
        <v>40</v>
      </c>
      <c r="C1852" s="20" t="str">
        <f>HYPERLINK("#'Data'!A2647", "Importance rating for 'Heating fuel' priority need requiring financial assistance [Baseline] broken down by total_eligibility_quantiled on the admin o...")</f>
        <v>Importance rating for 'Heating fuel' priority need requiring financial assistance [Baseline] broken down by total_eligibility_quantiled on the admin o...</v>
      </c>
      <c r="D1852" s="19" t="s">
        <v>55</v>
      </c>
      <c r="E1852" s="21">
        <v>543</v>
      </c>
    </row>
    <row r="1853" spans="2:5" hidden="1" x14ac:dyDescent="0.3">
      <c r="B1853" s="19" t="s">
        <v>40</v>
      </c>
      <c r="C1853" s="20" t="str">
        <f>HYPERLINK("#'Data'!A2710", "Importance rating for 'Safe water' priority need requiring financial assistance [Baseline] broken down by total_eligibility_quantiled on the admin of ...")</f>
        <v>Importance rating for 'Safe water' priority need requiring financial assistance [Baseline] broken down by total_eligibility_quantiled on the admin of ...</v>
      </c>
      <c r="D1853" s="19" t="s">
        <v>55</v>
      </c>
      <c r="E1853" s="21">
        <v>558</v>
      </c>
    </row>
    <row r="1854" spans="2:5" hidden="1" x14ac:dyDescent="0.3">
      <c r="B1854" s="19" t="s">
        <v>40</v>
      </c>
      <c r="C1854" s="20" t="str">
        <f>HYPERLINK("#'Data'!A2781", "Importance rating for 'Utilities' priority need requiring financial assistance [Baseline] broken down by total_eligibility_quantiled on the admin of O...")</f>
        <v>Importance rating for 'Utilities' priority need requiring financial assistance [Baseline] broken down by total_eligibility_quantiled on the admin of O...</v>
      </c>
      <c r="D1854" s="19" t="s">
        <v>55</v>
      </c>
      <c r="E1854" s="21">
        <v>573</v>
      </c>
    </row>
    <row r="1855" spans="2:5" hidden="1" x14ac:dyDescent="0.3">
      <c r="B1855" s="19" t="s">
        <v>40</v>
      </c>
      <c r="C1855" s="20" t="str">
        <f>HYPERLINK("#'Data'!A2844", "Importance rating for 'Water supply' priority need requiring financial assistance [Baseline] broken down by total_eligibility_quantiled on the admin o...")</f>
        <v>Importance rating for 'Water supply' priority need requiring financial assistance [Baseline] broken down by total_eligibility_quantiled on the admin o...</v>
      </c>
      <c r="D1855" s="19" t="s">
        <v>55</v>
      </c>
      <c r="E1855" s="21">
        <v>588</v>
      </c>
    </row>
    <row r="1856" spans="2:5" hidden="1" x14ac:dyDescent="0.3">
      <c r="B1856" s="19" t="s">
        <v>40</v>
      </c>
      <c r="C1856" s="20" t="str">
        <f>HYPERLINK("#'Data'!A2908", "Importance rating for 'Rent' priority need requiring financial assistance [Baseline] broken down by total_eligibility_quantiled on the admin of Overal...")</f>
        <v>Importance rating for 'Rent' priority need requiring financial assistance [Baseline] broken down by total_eligibility_quantiled on the admin of Overal...</v>
      </c>
      <c r="D1856" s="19" t="s">
        <v>55</v>
      </c>
      <c r="E1856" s="21">
        <v>603</v>
      </c>
    </row>
    <row r="1857" spans="2:5" hidden="1" x14ac:dyDescent="0.3">
      <c r="B1857" s="19" t="s">
        <v>40</v>
      </c>
      <c r="C1857" s="20" t="str">
        <f>HYPERLINK("#'Data'!A2981", "Importance rating for 'Medication' priority need requiring financial assistance [Baseline] broken down by total_eligibility_quantiled on the admin of ...")</f>
        <v>Importance rating for 'Medication' priority need requiring financial assistance [Baseline] broken down by total_eligibility_quantiled on the admin of ...</v>
      </c>
      <c r="D1857" s="19" t="s">
        <v>55</v>
      </c>
      <c r="E1857" s="21">
        <v>618</v>
      </c>
    </row>
    <row r="1858" spans="2:5" hidden="1" x14ac:dyDescent="0.3">
      <c r="B1858" s="19" t="s">
        <v>40</v>
      </c>
      <c r="C1858" s="20" t="str">
        <f>HYPERLINK("#'Data'!A3050", "Importance rating for 'Agricultural inputs' priority need requiring financial assistance [Baseline] broken down by total_eligibility_quantiled on the ...")</f>
        <v>Importance rating for 'Agricultural inputs' priority need requiring financial assistance [Baseline] broken down by total_eligibility_quantiled on the ...</v>
      </c>
      <c r="D1858" s="19" t="s">
        <v>55</v>
      </c>
      <c r="E1858" s="21">
        <v>633</v>
      </c>
    </row>
    <row r="1859" spans="2:5" hidden="1" x14ac:dyDescent="0.3">
      <c r="B1859" s="19" t="s">
        <v>40</v>
      </c>
      <c r="C1859" s="20" t="str">
        <f>HYPERLINK("#'Data'!A3119", "Importance rating for 'Shelter maintenance' priority need requiring financial assistance [Baseline] broken down by total_eligibility_quantiled on the ...")</f>
        <v>Importance rating for 'Shelter maintenance' priority need requiring financial assistance [Baseline] broken down by total_eligibility_quantiled on the ...</v>
      </c>
      <c r="D1859" s="19" t="s">
        <v>55</v>
      </c>
      <c r="E1859" s="21">
        <v>648</v>
      </c>
    </row>
    <row r="1860" spans="2:5" hidden="1" x14ac:dyDescent="0.3">
      <c r="B1860" s="19" t="s">
        <v>40</v>
      </c>
      <c r="C1860" s="20" t="str">
        <f>HYPERLINK("#'Data'!A3185", "Importance rating for 'Transportation' priority need requiring financial assistance [Baseline] broken down by total_eligibility_quantiled on the admin...")</f>
        <v>Importance rating for 'Transportation' priority need requiring financial assistance [Baseline] broken down by total_eligibility_quantiled on the admin...</v>
      </c>
      <c r="D1860" s="19" t="s">
        <v>55</v>
      </c>
      <c r="E1860" s="21">
        <v>663</v>
      </c>
    </row>
    <row r="1861" spans="2:5" hidden="1" x14ac:dyDescent="0.3">
      <c r="B1861" s="19" t="s">
        <v>40</v>
      </c>
      <c r="C1861" s="20" t="str">
        <f>HYPERLINK("#'Data'!A3246", "Importance rating for 'Communication' priority need requiring financial assistance [Baseline] broken down by total_eligibility_quantiled on the admin ...")</f>
        <v>Importance rating for 'Communication' priority need requiring financial assistance [Baseline] broken down by total_eligibility_quantiled on the admin ...</v>
      </c>
      <c r="D1861" s="19" t="s">
        <v>55</v>
      </c>
      <c r="E1861" s="21">
        <v>678</v>
      </c>
    </row>
    <row r="1862" spans="2:5" hidden="1" x14ac:dyDescent="0.3">
      <c r="B1862" s="19" t="s">
        <v>40</v>
      </c>
      <c r="C1862" s="20" t="str">
        <f>HYPERLINK("#'Data'!A3313", "Importance rating for 'Education materials' priority need requiring financial assistance [Baseline] broken down by total_eligibility_quantiled on the ...")</f>
        <v>Importance rating for 'Education materials' priority need requiring financial assistance [Baseline] broken down by total_eligibility_quantiled on the ...</v>
      </c>
      <c r="D1862" s="19" t="s">
        <v>55</v>
      </c>
      <c r="E1862" s="21">
        <v>693</v>
      </c>
    </row>
    <row r="1863" spans="2:5" hidden="1" x14ac:dyDescent="0.3">
      <c r="B1863" s="19" t="s">
        <v>40</v>
      </c>
      <c r="C1863" s="20" t="str">
        <f>HYPERLINK("#'Data'!A3387", "Household needs met exclusively due to MPCA and their fulfillment level [Endline] broken down by total_eligibility_quantiled on the admin of Overall p...")</f>
        <v>Household needs met exclusively due to MPCA and their fulfillment level [Endline] broken down by total_eligibility_quantiled on the admin of Overall p...</v>
      </c>
      <c r="D1863" s="19" t="s">
        <v>55</v>
      </c>
      <c r="E1863" s="21">
        <v>708</v>
      </c>
    </row>
    <row r="1864" spans="2:5" hidden="1" x14ac:dyDescent="0.3">
      <c r="B1864" s="19" t="s">
        <v>40</v>
      </c>
      <c r="C1864" s="20" t="str">
        <f>HYPERLINK("#'Data'!A3459", "Fulfillment level of 'Other' need met exclusively due to MPCA [Endline] broken down by total_eligibility_quantiled on the admin of Overall perc")</f>
        <v>Fulfillment level of 'Other' need met exclusively due to MPCA [Endline] broken down by total_eligibility_quantiled on the admin of Overall perc</v>
      </c>
      <c r="D1864" s="19" t="s">
        <v>55</v>
      </c>
      <c r="E1864" s="21">
        <v>723</v>
      </c>
    </row>
    <row r="1865" spans="2:5" hidden="1" x14ac:dyDescent="0.3">
      <c r="B1865" s="19" t="s">
        <v>40</v>
      </c>
      <c r="C1865" s="20" t="str">
        <f>HYPERLINK("#'Data'!A3532", "Fulfillment level of 'Food' need met exclusively due to MPCA [Endline] broken down by total_eligibility_quantiled on the admin of Overall perc")</f>
        <v>Fulfillment level of 'Food' need met exclusively due to MPCA [Endline] broken down by total_eligibility_quantiled on the admin of Overall perc</v>
      </c>
      <c r="D1865" s="19" t="s">
        <v>55</v>
      </c>
      <c r="E1865" s="21">
        <v>738</v>
      </c>
    </row>
    <row r="1866" spans="2:5" x14ac:dyDescent="0.3">
      <c r="B1866" s="19" t="s">
        <v>42</v>
      </c>
      <c r="C1866" s="20" t="str">
        <f>HYPERLINK("#'Data'!A3603", "Fulfillment level of 'Personal hygiene' need met exclusively due to MPCA [Endline] broken down by total_eligibility_quantiled on the admin of Overall ...")</f>
        <v>Fulfillment level of 'Personal hygiene' need met exclusively due to MPCA [Endline] broken down by total_eligibility_quantiled on the admin of Overall ...</v>
      </c>
      <c r="D1866" s="19" t="s">
        <v>55</v>
      </c>
      <c r="E1866" s="21">
        <v>753</v>
      </c>
    </row>
    <row r="1867" spans="2:5" x14ac:dyDescent="0.3">
      <c r="B1867" s="19" t="s">
        <v>42</v>
      </c>
      <c r="C1867" s="20" t="str">
        <f>HYPERLINK("#'Data'!A3674", "Fulfillment level of 'Cleaning items' need met exclusively due to MPCA [Endline] broken down by total_eligibility_quantiled on the admin of Overall pe...")</f>
        <v>Fulfillment level of 'Cleaning items' need met exclusively due to MPCA [Endline] broken down by total_eligibility_quantiled on the admin of Overall pe...</v>
      </c>
      <c r="D1867" s="19" t="s">
        <v>55</v>
      </c>
      <c r="E1867" s="21">
        <v>768</v>
      </c>
    </row>
    <row r="1868" spans="2:5" x14ac:dyDescent="0.3">
      <c r="B1868" s="19" t="s">
        <v>42</v>
      </c>
      <c r="C1868" s="20" t="str">
        <f>HYPERLINK("#'Data'!A3744", "Fulfillment level of 'Non-food items' need met exclusively due to MPCA [Endline] broken down by total_eligibility_quantiled on the admin of Overall pe...")</f>
        <v>Fulfillment level of 'Non-food items' need met exclusively due to MPCA [Endline] broken down by total_eligibility_quantiled on the admin of Overall pe...</v>
      </c>
      <c r="D1868" s="19" t="s">
        <v>55</v>
      </c>
      <c r="E1868" s="21">
        <v>783</v>
      </c>
    </row>
    <row r="1869" spans="2:5" x14ac:dyDescent="0.3">
      <c r="B1869" s="19" t="s">
        <v>42</v>
      </c>
      <c r="C1869" s="20" t="str">
        <f>HYPERLINK("#'Data'!A3817", "Fulfillment level of 'Clothing and shoes' need met exclusively due to MPCA [Endline] broken down by total_eligibility_quantiled on the admin of Overal...")</f>
        <v>Fulfillment level of 'Clothing and shoes' need met exclusively due to MPCA [Endline] broken down by total_eligibility_quantiled on the admin of Overal...</v>
      </c>
      <c r="D1869" s="19" t="s">
        <v>55</v>
      </c>
      <c r="E1869" s="21">
        <v>798</v>
      </c>
    </row>
    <row r="1870" spans="2:5" x14ac:dyDescent="0.3">
      <c r="B1870" s="19" t="s">
        <v>42</v>
      </c>
      <c r="C1870" s="20" t="str">
        <f>HYPERLINK("#'Data'!A3891", "Fulfillment level of 'Heating fuel' need met exclusively due to MPCA [Endline] broken down by total_eligibility_quantiled on the admin of Overall perc")</f>
        <v>Fulfillment level of 'Heating fuel' need met exclusively due to MPCA [Endline] broken down by total_eligibility_quantiled on the admin of Overall perc</v>
      </c>
      <c r="D1870" s="19" t="s">
        <v>55</v>
      </c>
      <c r="E1870" s="21">
        <v>813</v>
      </c>
    </row>
    <row r="1871" spans="2:5" x14ac:dyDescent="0.3">
      <c r="B1871" s="19" t="s">
        <v>42</v>
      </c>
      <c r="C1871" s="20" t="str">
        <f>HYPERLINK("#'Data'!A3956", "Fulfillment level of 'Safe water' need met exclusively due to MPCA [Endline] broken down by total_eligibility_quantiled on the admin of Overall perc")</f>
        <v>Fulfillment level of 'Safe water' need met exclusively due to MPCA [Endline] broken down by total_eligibility_quantiled on the admin of Overall perc</v>
      </c>
      <c r="D1871" s="19" t="s">
        <v>55</v>
      </c>
      <c r="E1871" s="21">
        <v>828</v>
      </c>
    </row>
    <row r="1872" spans="2:5" x14ac:dyDescent="0.3">
      <c r="B1872" s="19" t="s">
        <v>42</v>
      </c>
      <c r="C1872" s="20" t="str">
        <f>HYPERLINK("#'Data'!A4028", "Fulfillment level of 'Utilities' need met exclusively due to MPCA [Endline] broken down by total_eligibility_quantiled on the admin of Overall perc")</f>
        <v>Fulfillment level of 'Utilities' need met exclusively due to MPCA [Endline] broken down by total_eligibility_quantiled on the admin of Overall perc</v>
      </c>
      <c r="D1872" s="19" t="s">
        <v>55</v>
      </c>
      <c r="E1872" s="21">
        <v>843</v>
      </c>
    </row>
    <row r="1873" spans="2:5" x14ac:dyDescent="0.3">
      <c r="B1873" s="19" t="s">
        <v>42</v>
      </c>
      <c r="C1873" s="20" t="str">
        <f>HYPERLINK("#'Data'!A4097", "Fulfillment level of 'Water supply' need met exclusively due to MPCA [Endline] broken down by total_eligibility_quantiled on the admin of Overall perc")</f>
        <v>Fulfillment level of 'Water supply' need met exclusively due to MPCA [Endline] broken down by total_eligibility_quantiled on the admin of Overall perc</v>
      </c>
      <c r="D1873" s="19" t="s">
        <v>55</v>
      </c>
      <c r="E1873" s="21">
        <v>858</v>
      </c>
    </row>
    <row r="1874" spans="2:5" x14ac:dyDescent="0.3">
      <c r="B1874" s="19" t="s">
        <v>42</v>
      </c>
      <c r="C1874" s="20" t="str">
        <f>HYPERLINK("#'Data'!A4166", "Fulfillment level of 'Rent' need met exclusively due to MPCA [Endline] broken down by total_eligibility_quantiled on the admin of Overall perc")</f>
        <v>Fulfillment level of 'Rent' need met exclusively due to MPCA [Endline] broken down by total_eligibility_quantiled on the admin of Overall perc</v>
      </c>
      <c r="D1874" s="19" t="s">
        <v>55</v>
      </c>
      <c r="E1874" s="21">
        <v>873</v>
      </c>
    </row>
    <row r="1875" spans="2:5" x14ac:dyDescent="0.3">
      <c r="B1875" s="19" t="s">
        <v>42</v>
      </c>
      <c r="C1875" s="20" t="str">
        <f>HYPERLINK("#'Data'!A4229", "Fulfillment level of 'Assistive products' need met exclusively due to MPCA [Endline] broken down by total_eligibility_quantiled on the admin of Overal...")</f>
        <v>Fulfillment level of 'Assistive products' need met exclusively due to MPCA [Endline] broken down by total_eligibility_quantiled on the admin of Overal...</v>
      </c>
      <c r="D1875" s="19" t="s">
        <v>55</v>
      </c>
      <c r="E1875" s="21">
        <v>888</v>
      </c>
    </row>
    <row r="1876" spans="2:5" x14ac:dyDescent="0.3">
      <c r="B1876" s="19" t="s">
        <v>42</v>
      </c>
      <c r="C1876" s="20" t="str">
        <f>HYPERLINK("#'Data'!A4300", "Fulfillment level of 'Medication' need met exclusively due to MPCA [Endline] broken down by total_eligibility_quantiled on the admin of Overall perc")</f>
        <v>Fulfillment level of 'Medication' need met exclusively due to MPCA [Endline] broken down by total_eligibility_quantiled on the admin of Overall perc</v>
      </c>
      <c r="D1876" s="19" t="s">
        <v>55</v>
      </c>
      <c r="E1876" s="21">
        <v>903</v>
      </c>
    </row>
    <row r="1877" spans="2:5" x14ac:dyDescent="0.3">
      <c r="B1877" s="19" t="s">
        <v>42</v>
      </c>
      <c r="C1877" s="20" t="str">
        <f>HYPERLINK("#'Data'!A4366", "Fulfillment level of 'Agricultural inputs' need met exclusively due to MPCA [Endline] broken down by total_eligibility_quantiled on the admin of Overa...")</f>
        <v>Fulfillment level of 'Agricultural inputs' need met exclusively due to MPCA [Endline] broken down by total_eligibility_quantiled on the admin of Overa...</v>
      </c>
      <c r="D1877" s="19" t="s">
        <v>55</v>
      </c>
      <c r="E1877" s="21">
        <v>918</v>
      </c>
    </row>
    <row r="1878" spans="2:5" x14ac:dyDescent="0.3">
      <c r="B1878" s="19" t="s">
        <v>42</v>
      </c>
      <c r="C1878" s="20" t="str">
        <f>HYPERLINK("#'Data'!A4438", "Fulfillment level of 'Shelter maintenance' need met exclusively due to MPCA [Endline] broken down by total_eligibility_quantiled on the admin of Overa...")</f>
        <v>Fulfillment level of 'Shelter maintenance' need met exclusively due to MPCA [Endline] broken down by total_eligibility_quantiled on the admin of Overa...</v>
      </c>
      <c r="D1878" s="19" t="s">
        <v>55</v>
      </c>
      <c r="E1878" s="21">
        <v>933</v>
      </c>
    </row>
    <row r="1879" spans="2:5" x14ac:dyDescent="0.3">
      <c r="B1879" s="19" t="s">
        <v>42</v>
      </c>
      <c r="C1879" s="20" t="str">
        <f>HYPERLINK("#'Data'!A4507", "Fulfillment level of 'Future savings' need met exclusively due to MPCA [Endline] broken down by total_eligibility_quantiled on the admin of Overall pe...")</f>
        <v>Fulfillment level of 'Future savings' need met exclusively due to MPCA [Endline] broken down by total_eligibility_quantiled on the admin of Overall pe...</v>
      </c>
      <c r="D1879" s="19" t="s">
        <v>55</v>
      </c>
      <c r="E1879" s="21">
        <v>948</v>
      </c>
    </row>
    <row r="1880" spans="2:5" x14ac:dyDescent="0.3">
      <c r="B1880" s="19" t="s">
        <v>42</v>
      </c>
      <c r="C1880" s="20" t="str">
        <f>HYPERLINK("#'Data'!A4574", "Fulfillment level of 'Shared with others' need met exclusively due to MPCA [Endline] broken down by total_eligibility_quantiled on the admin of Overal...")</f>
        <v>Fulfillment level of 'Shared with others' need met exclusively due to MPCA [Endline] broken down by total_eligibility_quantiled on the admin of Overal...</v>
      </c>
      <c r="D1880" s="19" t="s">
        <v>55</v>
      </c>
      <c r="E1880" s="21">
        <v>963</v>
      </c>
    </row>
    <row r="1881" spans="2:5" x14ac:dyDescent="0.3">
      <c r="B1881" s="19" t="s">
        <v>42</v>
      </c>
      <c r="C1881" s="20" t="str">
        <f>HYPERLINK("#'Data'!A4643", "Fulfillment level of 'Transportation' need met exclusively due to MPCA [Endline] broken down by total_eligibility_quantiled on the admin of Overall pe...")</f>
        <v>Fulfillment level of 'Transportation' need met exclusively due to MPCA [Endline] broken down by total_eligibility_quantiled on the admin of Overall pe...</v>
      </c>
      <c r="D1881" s="19" t="s">
        <v>55</v>
      </c>
      <c r="E1881" s="21">
        <v>978</v>
      </c>
    </row>
    <row r="1882" spans="2:5" x14ac:dyDescent="0.3">
      <c r="B1882" s="19" t="s">
        <v>42</v>
      </c>
      <c r="C1882" s="20" t="str">
        <f>HYPERLINK("#'Data'!A4715", "Fulfillment level of 'Communication' need met exclusively due to MPCA [Endline] broken down by total_eligibility_quantiled on the admin of Overall per...")</f>
        <v>Fulfillment level of 'Communication' need met exclusively due to MPCA [Endline] broken down by total_eligibility_quantiled on the admin of Overall per...</v>
      </c>
      <c r="D1882" s="19" t="s">
        <v>55</v>
      </c>
      <c r="E1882" s="21">
        <v>993</v>
      </c>
    </row>
    <row r="1883" spans="2:5" x14ac:dyDescent="0.3">
      <c r="B1883" s="19" t="s">
        <v>42</v>
      </c>
      <c r="C1883" s="20" t="str">
        <f>HYPERLINK("#'Data'!A4785", "Fulfillment level of 'Education materials' need met exclusively due to MPCA [Endline] broken down by total_eligibility_quantiled on the admin of Overa...")</f>
        <v>Fulfillment level of 'Education materials' need met exclusively due to MPCA [Endline] broken down by total_eligibility_quantiled on the admin of Overa...</v>
      </c>
      <c r="D1883" s="19" t="s">
        <v>55</v>
      </c>
      <c r="E1883" s="21">
        <v>1008</v>
      </c>
    </row>
    <row r="1884" spans="2:5" x14ac:dyDescent="0.3">
      <c r="B1884" s="19" t="s">
        <v>42</v>
      </c>
      <c r="C1884" s="20" t="str">
        <f>HYPERLINK("#'Data'!A4859", "Estimated percentage of MPCA spent on each category of goods and services [Endline] broken down by total_eligibility_quantiled on the admin of Overall...")</f>
        <v>Estimated percentage of MPCA spent on each category of goods and services [Endline] broken down by total_eligibility_quantiled on the admin of Overall...</v>
      </c>
      <c r="D1884" s="19" t="s">
        <v>55</v>
      </c>
      <c r="E1884" s="21">
        <v>1023</v>
      </c>
    </row>
    <row r="1885" spans="2:5" x14ac:dyDescent="0.3">
      <c r="B1885" s="19" t="s">
        <v>42</v>
      </c>
      <c r="C1885" s="20" t="str">
        <f>HYPERLINK("#'Data'!A4931", "Estimated percentage of MPCA spent on 'Other' category [Endline] broken down by total_eligibility_quantiled on the admin of Overall mean")</f>
        <v>Estimated percentage of MPCA spent on 'Other' category [Endline] broken down by total_eligibility_quantiled on the admin of Overall mean</v>
      </c>
      <c r="D1885" s="19" t="s">
        <v>55</v>
      </c>
      <c r="E1885" s="21">
        <v>1038</v>
      </c>
    </row>
    <row r="1886" spans="2:5" x14ac:dyDescent="0.3">
      <c r="B1886" s="19" t="s">
        <v>42</v>
      </c>
      <c r="C1886" s="20" t="str">
        <f>HYPERLINK("#'Data'!A5004", "Estimated percentage of MPCA spent on 'Food' category [Endline] broken down by total_eligibility_quantiled on the admin of Overall mean")</f>
        <v>Estimated percentage of MPCA spent on 'Food' category [Endline] broken down by total_eligibility_quantiled on the admin of Overall mean</v>
      </c>
      <c r="D1886" s="19" t="s">
        <v>55</v>
      </c>
      <c r="E1886" s="21">
        <v>1053</v>
      </c>
    </row>
    <row r="1887" spans="2:5" x14ac:dyDescent="0.3">
      <c r="B1887" s="19" t="s">
        <v>42</v>
      </c>
      <c r="C1887" s="20" t="str">
        <f>HYPERLINK("#'Data'!A5075", "Estimated percentage of MPCA spent on 'Personal hygiene' category [Endline] broken down by total_eligibility_quantiled on the admin of Overall mean")</f>
        <v>Estimated percentage of MPCA spent on 'Personal hygiene' category [Endline] broken down by total_eligibility_quantiled on the admin of Overall mean</v>
      </c>
      <c r="D1887" s="19" t="s">
        <v>55</v>
      </c>
      <c r="E1887" s="21">
        <v>1068</v>
      </c>
    </row>
    <row r="1888" spans="2:5" x14ac:dyDescent="0.3">
      <c r="B1888" s="19" t="s">
        <v>42</v>
      </c>
      <c r="C1888" s="20" t="str">
        <f>HYPERLINK("#'Data'!A5147", "Estimated percentage of MPCA spent on 'Cleaning items' category [Endline] broken down by total_eligibility_quantiled on the admin of Overall mean")</f>
        <v>Estimated percentage of MPCA spent on 'Cleaning items' category [Endline] broken down by total_eligibility_quantiled on the admin of Overall mean</v>
      </c>
      <c r="D1888" s="19" t="s">
        <v>55</v>
      </c>
      <c r="E1888" s="21">
        <v>1083</v>
      </c>
    </row>
    <row r="1889" spans="2:5" x14ac:dyDescent="0.3">
      <c r="B1889" s="19" t="s">
        <v>42</v>
      </c>
      <c r="C1889" s="20" t="str">
        <f>HYPERLINK("#'Data'!A5218", "Estimated percentage of MPCA spent on 'Non-food items' category [Endline] broken down by total_eligibility_quantiled on the admin of Overall mean")</f>
        <v>Estimated percentage of MPCA spent on 'Non-food items' category [Endline] broken down by total_eligibility_quantiled on the admin of Overall mean</v>
      </c>
      <c r="D1889" s="19" t="s">
        <v>55</v>
      </c>
      <c r="E1889" s="21">
        <v>1098</v>
      </c>
    </row>
    <row r="1890" spans="2:5" x14ac:dyDescent="0.3">
      <c r="B1890" s="19" t="s">
        <v>42</v>
      </c>
      <c r="C1890" s="20" t="str">
        <f>HYPERLINK("#'Data'!A5291", "Estimated percentage of MPCA spent on 'Clothing and shoes' category [Endline] broken down by total_eligibility_quantiled on the admin of Overall mean")</f>
        <v>Estimated percentage of MPCA spent on 'Clothing and shoes' category [Endline] broken down by total_eligibility_quantiled on the admin of Overall mean</v>
      </c>
      <c r="D1890" s="19" t="s">
        <v>55</v>
      </c>
      <c r="E1890" s="21">
        <v>1113</v>
      </c>
    </row>
    <row r="1891" spans="2:5" x14ac:dyDescent="0.3">
      <c r="B1891" s="19" t="s">
        <v>42</v>
      </c>
      <c r="C1891" s="20" t="str">
        <f>HYPERLINK("#'Data'!A5365", "Estimated percentage of MPCA spent on 'Heating fuel' category [Endline] broken down by total_eligibility_quantiled on the admin of Overall mean")</f>
        <v>Estimated percentage of MPCA spent on 'Heating fuel' category [Endline] broken down by total_eligibility_quantiled on the admin of Overall mean</v>
      </c>
      <c r="D1891" s="19" t="s">
        <v>55</v>
      </c>
      <c r="E1891" s="21">
        <v>1128</v>
      </c>
    </row>
    <row r="1892" spans="2:5" x14ac:dyDescent="0.3">
      <c r="B1892" s="19" t="s">
        <v>42</v>
      </c>
      <c r="C1892" s="20" t="str">
        <f>HYPERLINK("#'Data'!A5430", "Estimated percentage of MPCA spent on 'Safe water' category [Endline] broken down by total_eligibility_quantiled on the admin of Overall mean")</f>
        <v>Estimated percentage of MPCA spent on 'Safe water' category [Endline] broken down by total_eligibility_quantiled on the admin of Overall mean</v>
      </c>
      <c r="D1892" s="19" t="s">
        <v>55</v>
      </c>
      <c r="E1892" s="21">
        <v>1143</v>
      </c>
    </row>
    <row r="1893" spans="2:5" x14ac:dyDescent="0.3">
      <c r="B1893" s="19" t="s">
        <v>42</v>
      </c>
      <c r="C1893" s="20" t="str">
        <f>HYPERLINK("#'Data'!A5502", "Estimated percentage of MPCA spent on 'Utilities' category [Endline] broken down by total_eligibility_quantiled on the admin of Overall mean")</f>
        <v>Estimated percentage of MPCA spent on 'Utilities' category [Endline] broken down by total_eligibility_quantiled on the admin of Overall mean</v>
      </c>
      <c r="D1893" s="19" t="s">
        <v>55</v>
      </c>
      <c r="E1893" s="21">
        <v>1158</v>
      </c>
    </row>
    <row r="1894" spans="2:5" x14ac:dyDescent="0.3">
      <c r="B1894" s="19" t="s">
        <v>42</v>
      </c>
      <c r="C1894" s="20" t="str">
        <f>HYPERLINK("#'Data'!A5571", "Estimated percentage of MPCA spent on 'Water supply' category [Endline] broken down by total_eligibility_quantiled on the admin of Overall mean")</f>
        <v>Estimated percentage of MPCA spent on 'Water supply' category [Endline] broken down by total_eligibility_quantiled on the admin of Overall mean</v>
      </c>
      <c r="D1894" s="19" t="s">
        <v>55</v>
      </c>
      <c r="E1894" s="21">
        <v>1173</v>
      </c>
    </row>
    <row r="1895" spans="2:5" x14ac:dyDescent="0.3">
      <c r="B1895" s="19" t="s">
        <v>42</v>
      </c>
      <c r="C1895" s="20" t="str">
        <f>HYPERLINK("#'Data'!A5640", "Estimated percentage of MPCA spent on 'Rent' category [Endline] broken down by total_eligibility_quantiled on the admin of Overall mean")</f>
        <v>Estimated percentage of MPCA spent on 'Rent' category [Endline] broken down by total_eligibility_quantiled on the admin of Overall mean</v>
      </c>
      <c r="D1895" s="19" t="s">
        <v>55</v>
      </c>
      <c r="E1895" s="21">
        <v>1188</v>
      </c>
    </row>
    <row r="1896" spans="2:5" x14ac:dyDescent="0.3">
      <c r="B1896" s="19" t="s">
        <v>42</v>
      </c>
      <c r="C1896" s="20" t="str">
        <f>HYPERLINK("#'Data'!A5703", "Estimated percentage of MPCA spent on 'Assistive products' category [Endline] broken down by total_eligibility_quantiled on the admin of Overall mean")</f>
        <v>Estimated percentage of MPCA spent on 'Assistive products' category [Endline] broken down by total_eligibility_quantiled on the admin of Overall mean</v>
      </c>
      <c r="D1896" s="19" t="s">
        <v>55</v>
      </c>
      <c r="E1896" s="21">
        <v>1203</v>
      </c>
    </row>
    <row r="1897" spans="2:5" x14ac:dyDescent="0.3">
      <c r="B1897" s="19" t="s">
        <v>42</v>
      </c>
      <c r="C1897" s="20" t="str">
        <f>HYPERLINK("#'Data'!A5774", "Estimated percentage of MPCA spent on 'Medication' category [Endline] broken down by total_eligibility_quantiled on the admin of Overall mean")</f>
        <v>Estimated percentage of MPCA spent on 'Medication' category [Endline] broken down by total_eligibility_quantiled on the admin of Overall mean</v>
      </c>
      <c r="D1897" s="19" t="s">
        <v>55</v>
      </c>
      <c r="E1897" s="21">
        <v>1218</v>
      </c>
    </row>
    <row r="1898" spans="2:5" x14ac:dyDescent="0.3">
      <c r="B1898" s="19" t="s">
        <v>42</v>
      </c>
      <c r="C1898" s="20" t="str">
        <f>HYPERLINK("#'Data'!A5843", "Estimated percentage of MPCA spent on 'Agricultural inputs' category [Endline] broken down by total_eligibility_quantiled on the admin of Overall mean")</f>
        <v>Estimated percentage of MPCA spent on 'Agricultural inputs' category [Endline] broken down by total_eligibility_quantiled on the admin of Overall mean</v>
      </c>
      <c r="D1898" s="19" t="s">
        <v>55</v>
      </c>
      <c r="E1898" s="21">
        <v>1233</v>
      </c>
    </row>
    <row r="1899" spans="2:5" x14ac:dyDescent="0.3">
      <c r="B1899" s="19" t="s">
        <v>42</v>
      </c>
      <c r="C1899" s="20" t="str">
        <f>HYPERLINK("#'Data'!A5915", "Estimated percentage of MPCA spent on 'Shelter maintenance' category [Endline] broken down by total_eligibility_quantiled on the admin of Overall mean")</f>
        <v>Estimated percentage of MPCA spent on 'Shelter maintenance' category [Endline] broken down by total_eligibility_quantiled on the admin of Overall mean</v>
      </c>
      <c r="D1899" s="19" t="s">
        <v>55</v>
      </c>
      <c r="E1899" s="21">
        <v>1248</v>
      </c>
    </row>
    <row r="1900" spans="2:5" x14ac:dyDescent="0.3">
      <c r="B1900" s="19" t="s">
        <v>42</v>
      </c>
      <c r="C1900" s="20" t="str">
        <f>HYPERLINK("#'Data'!A5985", "Estimated percentage of MPCA spent on 'Future savings' category [Endline] broken down by total_eligibility_quantiled on the admin of Overall mean")</f>
        <v>Estimated percentage of MPCA spent on 'Future savings' category [Endline] broken down by total_eligibility_quantiled on the admin of Overall mean</v>
      </c>
      <c r="D1900" s="19" t="s">
        <v>55</v>
      </c>
      <c r="E1900" s="21">
        <v>1263</v>
      </c>
    </row>
    <row r="1901" spans="2:5" x14ac:dyDescent="0.3">
      <c r="B1901" s="19" t="s">
        <v>42</v>
      </c>
      <c r="C1901" s="20" t="str">
        <f>HYPERLINK("#'Data'!A6052", "Estimated percentage of MPCA spent on 'Shared with others' category [Endline] broken down by total_eligibility_quantiled on the admin of Overall mean")</f>
        <v>Estimated percentage of MPCA spent on 'Shared with others' category [Endline] broken down by total_eligibility_quantiled on the admin of Overall mean</v>
      </c>
      <c r="D1901" s="19" t="s">
        <v>55</v>
      </c>
      <c r="E1901" s="21">
        <v>1278</v>
      </c>
    </row>
    <row r="1902" spans="2:5" x14ac:dyDescent="0.3">
      <c r="B1902" s="19" t="s">
        <v>42</v>
      </c>
      <c r="C1902" s="20" t="str">
        <f>HYPERLINK("#'Data'!A6122", "Estimated percentage of MPCA spent on 'Transportation' category [Endline] broken down by total_eligibility_quantiled on the admin of Overall mean")</f>
        <v>Estimated percentage of MPCA spent on 'Transportation' category [Endline] broken down by total_eligibility_quantiled on the admin of Overall mean</v>
      </c>
      <c r="D1902" s="19" t="s">
        <v>55</v>
      </c>
      <c r="E1902" s="21">
        <v>1293</v>
      </c>
    </row>
    <row r="1903" spans="2:5" x14ac:dyDescent="0.3">
      <c r="B1903" s="19" t="s">
        <v>42</v>
      </c>
      <c r="C1903" s="20" t="str">
        <f>HYPERLINK("#'Data'!A6195", "Estimated percentage of MPCA spent on 'Communication' category [Endline] broken down by total_eligibility_quantiled on the admin of Overall mean")</f>
        <v>Estimated percentage of MPCA spent on 'Communication' category [Endline] broken down by total_eligibility_quantiled on the admin of Overall mean</v>
      </c>
      <c r="D1903" s="19" t="s">
        <v>55</v>
      </c>
      <c r="E1903" s="21">
        <v>1308</v>
      </c>
    </row>
    <row r="1904" spans="2:5" x14ac:dyDescent="0.3">
      <c r="B1904" s="19" t="s">
        <v>42</v>
      </c>
      <c r="C1904" s="20" t="str">
        <f>HYPERLINK("#'Data'!A6265", "Estimated percentage of MPCA spent on 'Education materials' category [Endline] broken down by total_eligibility_quantiled on the admin of Overall mean")</f>
        <v>Estimated percentage of MPCA spent on 'Education materials' category [Endline] broken down by total_eligibility_quantiled on the admin of Overall mean</v>
      </c>
      <c r="D1904" s="19" t="s">
        <v>55</v>
      </c>
      <c r="E1904" s="21">
        <v>1323</v>
      </c>
    </row>
    <row r="1905" spans="2:5" x14ac:dyDescent="0.3">
      <c r="B1905" s="19" t="s">
        <v>42</v>
      </c>
      <c r="C1905" s="20" t="str">
        <f>HYPERLINK("#'Data'!A6339", "Additional priority needs potentially met if MPCA duration extended to 6 months [Endline] broken down by total_eligibility_quantiled on the admin of O...")</f>
        <v>Additional priority needs potentially met if MPCA duration extended to 6 months [Endline] broken down by total_eligibility_quantiled on the admin of O...</v>
      </c>
      <c r="D1905" s="19" t="s">
        <v>55</v>
      </c>
      <c r="E1905" s="21">
        <v>1338</v>
      </c>
    </row>
    <row r="1906" spans="2:5" x14ac:dyDescent="0.3">
      <c r="B1906" s="19" t="s">
        <v>42</v>
      </c>
      <c r="C1906" s="20" t="str">
        <f>HYPERLINK("#'Data'!A6413", "Additional priority needs potentially met with doubled MPCA amount over past 3 months [Endline] broken down by total_eligibility_quantiled on the admi...")</f>
        <v>Additional priority needs potentially met with doubled MPCA amount over past 3 months [Endline] broken down by total_eligibility_quantiled on the admi...</v>
      </c>
      <c r="D1906" s="19" t="s">
        <v>55</v>
      </c>
      <c r="E1906" s="21">
        <v>1353</v>
      </c>
    </row>
    <row r="1907" spans="2:5" x14ac:dyDescent="0.3">
      <c r="B1907" s="19" t="s">
        <v>42</v>
      </c>
      <c r="C1907" s="20" t="str">
        <f>HYPERLINK("#'Data'!A6487", "Needs that MPCA is considered insufficient to address [Baseline] broken down by total_eligibility_quantiled on the admin of Overall perc")</f>
        <v>Needs that MPCA is considered insufficient to address [Baseline] broken down by total_eligibility_quantiled on the admin of Overall perc</v>
      </c>
      <c r="D1907" s="19" t="s">
        <v>55</v>
      </c>
      <c r="E1907" s="21">
        <v>1368</v>
      </c>
    </row>
    <row r="1908" spans="2:5" x14ac:dyDescent="0.3">
      <c r="B1908" s="19" t="s">
        <v>42</v>
      </c>
      <c r="C1908" s="20" t="str">
        <f>HYPERLINK("#'Data'!A6561", "Needs that MPCA is considered insufficient to address [Endline] broken down by total_eligibility_quantiled on the admin of Overall perc")</f>
        <v>Needs that MPCA is considered insufficient to address [Endline] broken down by total_eligibility_quantiled on the admin of Overall perc</v>
      </c>
      <c r="D1908" s="19" t="s">
        <v>55</v>
      </c>
      <c r="E1908" s="21">
        <v>1383</v>
      </c>
    </row>
    <row r="1909" spans="2:5" x14ac:dyDescent="0.3">
      <c r="B1909" s="19" t="s">
        <v>42</v>
      </c>
      <c r="C1909" s="20" t="str">
        <f>HYPERLINK("#'Data'!A6635", "Preferred type of assistance for meeting current household needs [Baseline] broken down by total_eligibility_quantiled on the admin of Overall perc")</f>
        <v>Preferred type of assistance for meeting current household needs [Baseline] broken down by total_eligibility_quantiled on the admin of Overall perc</v>
      </c>
      <c r="D1909" s="19" t="s">
        <v>55</v>
      </c>
      <c r="E1909" s="21">
        <v>1398</v>
      </c>
    </row>
    <row r="1910" spans="2:5" hidden="1" x14ac:dyDescent="0.3">
      <c r="B1910" s="19" t="s">
        <v>40</v>
      </c>
      <c r="C1910" s="20" t="str">
        <f>HYPERLINK("#'Data'!A6709", "Preferred type of assistance for meeting current household needs [Endline] broken down by total_eligibility_quantiled on the admin of Overall perc")</f>
        <v>Preferred type of assistance for meeting current household needs [Endline] broken down by total_eligibility_quantiled on the admin of Overall perc</v>
      </c>
      <c r="D1910" s="19" t="s">
        <v>55</v>
      </c>
      <c r="E1910" s="21">
        <v>1413</v>
      </c>
    </row>
    <row r="1911" spans="2:5" x14ac:dyDescent="0.3">
      <c r="B1911" s="19" t="s">
        <v>42</v>
      </c>
      <c r="C1911" s="20" t="str">
        <f>HYPERLINK("#'Data'!A6783", "Remaining needs after MPCA that require additional cash or in-kind assistance [Endline] broken down by total_eligibility_quantiled on the admin of Ove...")</f>
        <v>Remaining needs after MPCA that require additional cash or in-kind assistance [Endline] broken down by total_eligibility_quantiled on the admin of Ove...</v>
      </c>
      <c r="D1911" s="19" t="s">
        <v>55</v>
      </c>
      <c r="E1911" s="21">
        <v>1428</v>
      </c>
    </row>
    <row r="1912" spans="2:5" hidden="1" x14ac:dyDescent="0.3">
      <c r="B1912" s="19" t="s">
        <v>40</v>
      </c>
      <c r="C1912" s="20" t="str">
        <f>HYPERLINK("#'Data'!A6857", "Remaining needs after MPCA that require additional cash or in-kind assistance [Endline] broken down by total_eligibility_quantiled on the admin of Ove...")</f>
        <v>Remaining needs after MPCA that require additional cash or in-kind assistance [Endline] broken down by total_eligibility_quantiled on the admin of Ove...</v>
      </c>
      <c r="D1912" s="19" t="s">
        <v>55</v>
      </c>
      <c r="E1912" s="21">
        <v>1443</v>
      </c>
    </row>
    <row r="1913" spans="2:5" x14ac:dyDescent="0.3">
      <c r="B1913" s="19" t="s">
        <v>42</v>
      </c>
      <c r="C1913" s="20" t="str">
        <f>HYPERLINK("#'Data'!A6931", "Amount of multi-purpose cash assistance received over last 3 months in UAH [Endline] broken down by total_eligibility_quantiled on the admin of Overal...")</f>
        <v>Amount of multi-purpose cash assistance received over last 3 months in UAH [Endline] broken down by total_eligibility_quantiled on the admin of Overal...</v>
      </c>
      <c r="D1913" s="19" t="s">
        <v>55</v>
      </c>
      <c r="E1913" s="21">
        <v>1458</v>
      </c>
    </row>
    <row r="1914" spans="2:5" x14ac:dyDescent="0.3">
      <c r="B1914" s="19" t="s">
        <v>42</v>
      </c>
      <c r="C1914" s="20" t="str">
        <f>HYPERLINK("#'Data'!A7005", "Amount of multi-purpose cash assistance received over last 3 months per hh member in UAH [Endline] broken down by total_eligibility_quantiled on the a...")</f>
        <v>Amount of multi-purpose cash assistance received over last 3 months per hh member in UAH [Endline] broken down by total_eligibility_quantiled on the a...</v>
      </c>
      <c r="D1914" s="19" t="s">
        <v>55</v>
      </c>
      <c r="E1914" s="21">
        <v>1473</v>
      </c>
    </row>
    <row r="1915" spans="2:5" x14ac:dyDescent="0.3">
      <c r="B1915" s="19" t="s">
        <v>42</v>
      </c>
      <c r="C1915" s="20" t="str">
        <f>HYPERLINK("#'Data'!A7079", "Other types of humanitarian aid received in the previous three months [Endline] broken down by total_eligibility_quantiled on the admin of Overall per...")</f>
        <v>Other types of humanitarian aid received in the previous three months [Endline] broken down by total_eligibility_quantiled on the admin of Overall per...</v>
      </c>
      <c r="D1915" s="19" t="s">
        <v>55</v>
      </c>
      <c r="E1915" s="21">
        <v>1488</v>
      </c>
    </row>
    <row r="1916" spans="2:5" x14ac:dyDescent="0.3">
      <c r="B1916" s="19" t="s">
        <v>42</v>
      </c>
      <c r="C1916" s="20" t="str">
        <f>HYPERLINK("#'Data'!A7146", "Estimated percentage of total household expenditures spent on 'Other' (past month, excl. humanitarian aid) [Baseline] broken down by total_eligibility...")</f>
        <v>Estimated percentage of total household expenditures spent on 'Other' (past month, excl. humanitarian aid) [Baseline] broken down by total_eligibility...</v>
      </c>
      <c r="D1916" s="19" t="s">
        <v>55</v>
      </c>
      <c r="E1916" s="21">
        <v>1503</v>
      </c>
    </row>
    <row r="1917" spans="2:5" x14ac:dyDescent="0.3">
      <c r="B1917" s="19" t="s">
        <v>42</v>
      </c>
      <c r="C1917" s="20" t="str">
        <f>HYPERLINK("#'Data'!A7219", "Estimated percentage of total household expenditures spent on 'Food' (past month, excl. humanitarian aid) [Baseline] broken down by total_eligibility_...")</f>
        <v>Estimated percentage of total household expenditures spent on 'Food' (past month, excl. humanitarian aid) [Baseline] broken down by total_eligibility_...</v>
      </c>
      <c r="D1917" s="19" t="s">
        <v>55</v>
      </c>
      <c r="E1917" s="21">
        <v>1518</v>
      </c>
    </row>
    <row r="1918" spans="2:5" x14ac:dyDescent="0.3">
      <c r="B1918" s="19" t="s">
        <v>42</v>
      </c>
      <c r="C1918" s="20" t="str">
        <f>HYPERLINK("#'Data'!A7292", "Estimated percentage of total household expenditures spent on 'Personal hygiene' (past month, excl. humanitarian aid) [Baseline] broken down by total_...")</f>
        <v>Estimated percentage of total household expenditures spent on 'Personal hygiene' (past month, excl. humanitarian aid) [Baseline] broken down by total_...</v>
      </c>
      <c r="D1918" s="19" t="s">
        <v>55</v>
      </c>
      <c r="E1918" s="21">
        <v>1533</v>
      </c>
    </row>
    <row r="1919" spans="2:5" hidden="1" x14ac:dyDescent="0.3">
      <c r="B1919" s="19" t="s">
        <v>40</v>
      </c>
      <c r="C1919" s="20" t="str">
        <f>HYPERLINK("#'Data'!A7365", "Estimated percentage of total household expenditures spent on 'Cleaning items' (past month, excl. humanitarian aid) [Baseline] broken down by total_el...")</f>
        <v>Estimated percentage of total household expenditures spent on 'Cleaning items' (past month, excl. humanitarian aid) [Baseline] broken down by total_el...</v>
      </c>
      <c r="D1919" s="19" t="s">
        <v>55</v>
      </c>
      <c r="E1919" s="21">
        <v>1548</v>
      </c>
    </row>
    <row r="1920" spans="2:5" hidden="1" x14ac:dyDescent="0.3">
      <c r="B1920" s="19" t="s">
        <v>40</v>
      </c>
      <c r="C1920" s="20" t="str">
        <f>HYPERLINK("#'Data'!A7435", "Estimated percentage of total household expenditures spent on 'Non-food items' (past month, excl. humanitarian aid) [Baseline] broken down by total_el...")</f>
        <v>Estimated percentage of total household expenditures spent on 'Non-food items' (past month, excl. humanitarian aid) [Baseline] broken down by total_el...</v>
      </c>
      <c r="D1920" s="19" t="s">
        <v>55</v>
      </c>
      <c r="E1920" s="21">
        <v>1563</v>
      </c>
    </row>
    <row r="1921" spans="2:5" hidden="1" x14ac:dyDescent="0.3">
      <c r="B1921" s="19" t="s">
        <v>40</v>
      </c>
      <c r="C1921" s="20" t="str">
        <f>HYPERLINK("#'Data'!A7508", "Estimated percentage of total household expenditures spent on 'Clothing and shoes' (past month, excl. humanitarian aid) [Baseline] broken down by tota...")</f>
        <v>Estimated percentage of total household expenditures spent on 'Clothing and shoes' (past month, excl. humanitarian aid) [Baseline] broken down by tota...</v>
      </c>
      <c r="D1921" s="19" t="s">
        <v>55</v>
      </c>
      <c r="E1921" s="21">
        <v>1578</v>
      </c>
    </row>
    <row r="1922" spans="2:5" hidden="1" x14ac:dyDescent="0.3">
      <c r="B1922" s="19" t="s">
        <v>40</v>
      </c>
      <c r="C1922" s="20" t="str">
        <f>HYPERLINK("#'Data'!A7579", "Estimated percentage of total household expenditures spent on 'Heating fuel' (past month, excl. humanitarian aid) [Baseline] broken down by total_elig...")</f>
        <v>Estimated percentage of total household expenditures spent on 'Heating fuel' (past month, excl. humanitarian aid) [Baseline] broken down by total_elig...</v>
      </c>
      <c r="D1922" s="19" t="s">
        <v>55</v>
      </c>
      <c r="E1922" s="21">
        <v>1593</v>
      </c>
    </row>
    <row r="1923" spans="2:5" hidden="1" x14ac:dyDescent="0.3">
      <c r="B1923" s="19" t="s">
        <v>40</v>
      </c>
      <c r="C1923" s="20" t="str">
        <f>HYPERLINK("#'Data'!A7651", "Estimated percentage of total household expenditures spent on 'Safe water' (past month, excl. humanitarian aid) [Baseline] broken down by total_eligib...")</f>
        <v>Estimated percentage of total household expenditures spent on 'Safe water' (past month, excl. humanitarian aid) [Baseline] broken down by total_eligib...</v>
      </c>
      <c r="D1923" s="19" t="s">
        <v>55</v>
      </c>
      <c r="E1923" s="21">
        <v>1608</v>
      </c>
    </row>
    <row r="1924" spans="2:5" hidden="1" x14ac:dyDescent="0.3">
      <c r="B1924" s="19" t="s">
        <v>40</v>
      </c>
      <c r="C1924" s="20" t="str">
        <f>HYPERLINK("#'Data'!A7725", "Estimated percentage of total household expenditures spent on 'Utilities' (past month, excl. humanitarian aid) [Baseline] broken down by total_eligibi...")</f>
        <v>Estimated percentage of total household expenditures spent on 'Utilities' (past month, excl. humanitarian aid) [Baseline] broken down by total_eligibi...</v>
      </c>
      <c r="D1924" s="19" t="s">
        <v>55</v>
      </c>
      <c r="E1924" s="21">
        <v>1623</v>
      </c>
    </row>
    <row r="1925" spans="2:5" hidden="1" x14ac:dyDescent="0.3">
      <c r="B1925" s="19" t="s">
        <v>40</v>
      </c>
      <c r="C1925" s="20" t="str">
        <f>HYPERLINK("#'Data'!A7796", "Estimated percentage of total household expenditures spent on 'Water supply' (past month, excl. humanitarian aid) [Baseline] broken down by total_elig...")</f>
        <v>Estimated percentage of total household expenditures spent on 'Water supply' (past month, excl. humanitarian aid) [Baseline] broken down by total_elig...</v>
      </c>
      <c r="D1925" s="19" t="s">
        <v>55</v>
      </c>
      <c r="E1925" s="21">
        <v>1638</v>
      </c>
    </row>
    <row r="1926" spans="2:5" hidden="1" x14ac:dyDescent="0.3">
      <c r="B1926" s="19" t="s">
        <v>40</v>
      </c>
      <c r="C1926" s="20" t="str">
        <f>HYPERLINK("#'Data'!A7866", "Estimated percentage of total household expenditures spent on 'Rent' (past month, excl. humanitarian aid) [Baseline] broken down by total_eligibility_...")</f>
        <v>Estimated percentage of total household expenditures spent on 'Rent' (past month, excl. humanitarian aid) [Baseline] broken down by total_eligibility_...</v>
      </c>
      <c r="D1926" s="19" t="s">
        <v>55</v>
      </c>
      <c r="E1926" s="21">
        <v>1653</v>
      </c>
    </row>
    <row r="1927" spans="2:5" hidden="1" x14ac:dyDescent="0.3">
      <c r="B1927" s="19" t="s">
        <v>40</v>
      </c>
      <c r="C1927" s="20" t="str">
        <f>HYPERLINK("#'Data'!A7936", "Estimated percentage of total household expenditures spent on 'Assistive products' (past month, excl. humanitarian aid) [Baseline] broken down by tota...")</f>
        <v>Estimated percentage of total household expenditures spent on 'Assistive products' (past month, excl. humanitarian aid) [Baseline] broken down by tota...</v>
      </c>
      <c r="D1927" s="19" t="s">
        <v>55</v>
      </c>
      <c r="E1927" s="21">
        <v>1668</v>
      </c>
    </row>
    <row r="1928" spans="2:5" hidden="1" x14ac:dyDescent="0.3">
      <c r="B1928" s="19" t="s">
        <v>40</v>
      </c>
      <c r="C1928" s="20" t="str">
        <f>HYPERLINK("#'Data'!A8009", "Estimated percentage of total household expenditures spent on 'Medication' (past month, excl. humanitarian aid) [Baseline] broken down by total_eligib...")</f>
        <v>Estimated percentage of total household expenditures spent on 'Medication' (past month, excl. humanitarian aid) [Baseline] broken down by total_eligib...</v>
      </c>
      <c r="D1928" s="19" t="s">
        <v>55</v>
      </c>
      <c r="E1928" s="21">
        <v>1683</v>
      </c>
    </row>
    <row r="1929" spans="2:5" hidden="1" x14ac:dyDescent="0.3">
      <c r="B1929" s="19" t="s">
        <v>40</v>
      </c>
      <c r="C1929" s="20" t="str">
        <f>HYPERLINK("#'Data'!A8078", "Estimated percentage of total household expenditures spent on 'Agricultural inputs' (past month, excl. humanitarian aid) [Baseline] broken down by tot...")</f>
        <v>Estimated percentage of total household expenditures spent on 'Agricultural inputs' (past month, excl. humanitarian aid) [Baseline] broken down by tot...</v>
      </c>
      <c r="D1929" s="19" t="s">
        <v>55</v>
      </c>
      <c r="E1929" s="21">
        <v>1698</v>
      </c>
    </row>
    <row r="1930" spans="2:5" hidden="1" x14ac:dyDescent="0.3">
      <c r="B1930" s="19" t="s">
        <v>40</v>
      </c>
      <c r="C1930" s="20" t="str">
        <f>HYPERLINK("#'Data'!A8149", "Estimated percentage of total household expenditures spent on 'Shelter maintenance' (past month, excl. humanitarian aid) [Baseline] broken down by tot...")</f>
        <v>Estimated percentage of total household expenditures spent on 'Shelter maintenance' (past month, excl. humanitarian aid) [Baseline] broken down by tot...</v>
      </c>
      <c r="D1930" s="19" t="s">
        <v>55</v>
      </c>
      <c r="E1930" s="21">
        <v>1713</v>
      </c>
    </row>
    <row r="1931" spans="2:5" hidden="1" x14ac:dyDescent="0.3">
      <c r="B1931" s="19" t="s">
        <v>40</v>
      </c>
      <c r="C1931" s="20" t="str">
        <f>HYPERLINK("#'Data'!A8216", "Estimated percentage of total household expenditures spent on 'Future savings' (past month, excl. humanitarian aid) [Baseline] broken down by total_el...")</f>
        <v>Estimated percentage of total household expenditures spent on 'Future savings' (past month, excl. humanitarian aid) [Baseline] broken down by total_el...</v>
      </c>
      <c r="D1931" s="19" t="s">
        <v>55</v>
      </c>
      <c r="E1931" s="21">
        <v>1728</v>
      </c>
    </row>
    <row r="1932" spans="2:5" hidden="1" x14ac:dyDescent="0.3">
      <c r="B1932" s="19" t="s">
        <v>40</v>
      </c>
      <c r="C1932" s="20" t="str">
        <f>HYPERLINK("#'Data'!A8286", "Estimated percentage of total household expenditures spent on 'Shared with others' (past month, excl. humanitarian aid) [Baseline] broken down by tota...")</f>
        <v>Estimated percentage of total household expenditures spent on 'Shared with others' (past month, excl. humanitarian aid) [Baseline] broken down by tota...</v>
      </c>
      <c r="D1932" s="19" t="s">
        <v>55</v>
      </c>
      <c r="E1932" s="21">
        <v>1743</v>
      </c>
    </row>
    <row r="1933" spans="2:5" hidden="1" x14ac:dyDescent="0.3">
      <c r="B1933" s="19" t="s">
        <v>40</v>
      </c>
      <c r="C1933" s="20" t="str">
        <f>HYPERLINK("#'Data'!A8358", "Estimated percentage of total household expenditures spent on 'Transportation' (past month, excl. humanitarian aid) [Baseline] broken down by total_el...")</f>
        <v>Estimated percentage of total household expenditures spent on 'Transportation' (past month, excl. humanitarian aid) [Baseline] broken down by total_el...</v>
      </c>
      <c r="D1933" s="19" t="s">
        <v>55</v>
      </c>
      <c r="E1933" s="21">
        <v>1758</v>
      </c>
    </row>
    <row r="1934" spans="2:5" hidden="1" x14ac:dyDescent="0.3">
      <c r="B1934" s="19" t="s">
        <v>40</v>
      </c>
      <c r="C1934" s="20" t="str">
        <f>HYPERLINK("#'Data'!A8432", "Estimated percentage of total household expenditures spent on 'Communication' (past month, excl. humanitarian aid) [Baseline] broken down by total_eli...")</f>
        <v>Estimated percentage of total household expenditures spent on 'Communication' (past month, excl. humanitarian aid) [Baseline] broken down by total_eli...</v>
      </c>
      <c r="D1934" s="19" t="s">
        <v>55</v>
      </c>
      <c r="E1934" s="21">
        <v>1773</v>
      </c>
    </row>
    <row r="1935" spans="2:5" hidden="1" x14ac:dyDescent="0.3">
      <c r="B1935" s="19" t="s">
        <v>40</v>
      </c>
      <c r="C1935" s="20" t="str">
        <f>HYPERLINK("#'Data'!A8503", "Estimated percentage of total household expenditures spent on 'Education materials' (past month, excl. humanitarian aid) [Baseline] broken down by tot...")</f>
        <v>Estimated percentage of total household expenditures spent on 'Education materials' (past month, excl. humanitarian aid) [Baseline] broken down by tot...</v>
      </c>
      <c r="D1935" s="19" t="s">
        <v>55</v>
      </c>
      <c r="E1935" s="21">
        <v>1788</v>
      </c>
    </row>
    <row r="1936" spans="2:5" hidden="1" x14ac:dyDescent="0.3">
      <c r="B1936" s="19" t="s">
        <v>40</v>
      </c>
      <c r="C1936" s="20" t="str">
        <f>HYPERLINK("#'Data'!A8570", "Estimated percentage of total household expenditures spent on 'Other' (past month, excl. humanitarian aid) [Endline] broken down by total_eligibility_...")</f>
        <v>Estimated percentage of total household expenditures spent on 'Other' (past month, excl. humanitarian aid) [Endline] broken down by total_eligibility_...</v>
      </c>
      <c r="D1936" s="19" t="s">
        <v>55</v>
      </c>
      <c r="E1936" s="21">
        <v>1803</v>
      </c>
    </row>
    <row r="1937" spans="2:5" hidden="1" x14ac:dyDescent="0.3">
      <c r="B1937" s="19" t="s">
        <v>40</v>
      </c>
      <c r="C1937" s="20" t="str">
        <f>HYPERLINK("#'Data'!A8643", "Estimated percentage of total household expenditures spent on 'Food' (past month, excl. humanitarian aid) [Endline] broken down by total_eligibility_q...")</f>
        <v>Estimated percentage of total household expenditures spent on 'Food' (past month, excl. humanitarian aid) [Endline] broken down by total_eligibility_q...</v>
      </c>
      <c r="D1937" s="19" t="s">
        <v>55</v>
      </c>
      <c r="E1937" s="21">
        <v>1818</v>
      </c>
    </row>
    <row r="1938" spans="2:5" hidden="1" x14ac:dyDescent="0.3">
      <c r="B1938" s="19" t="s">
        <v>40</v>
      </c>
      <c r="C1938" s="20" t="str">
        <f>HYPERLINK("#'Data'!A8716", "Estimated percentage of total household expenditures spent on 'Personal hygiene' (past month, excl. humanitarian aid) [Endline] broken down by total_e...")</f>
        <v>Estimated percentage of total household expenditures spent on 'Personal hygiene' (past month, excl. humanitarian aid) [Endline] broken down by total_e...</v>
      </c>
      <c r="D1938" s="19" t="s">
        <v>55</v>
      </c>
      <c r="E1938" s="21">
        <v>1833</v>
      </c>
    </row>
    <row r="1939" spans="2:5" x14ac:dyDescent="0.3">
      <c r="B1939" s="19" t="s">
        <v>42</v>
      </c>
      <c r="C1939" s="20" t="str">
        <f>HYPERLINK("#'Data'!A8789", "Estimated percentage of total household expenditures spent on 'Cleaning items' (past month, excl. humanitarian aid) [Endline] broken down by total_eli...")</f>
        <v>Estimated percentage of total household expenditures spent on 'Cleaning items' (past month, excl. humanitarian aid) [Endline] broken down by total_eli...</v>
      </c>
      <c r="D1939" s="19" t="s">
        <v>55</v>
      </c>
      <c r="E1939" s="21">
        <v>1848</v>
      </c>
    </row>
    <row r="1940" spans="2:5" x14ac:dyDescent="0.3">
      <c r="B1940" s="19" t="s">
        <v>42</v>
      </c>
      <c r="C1940" s="20" t="str">
        <f>HYPERLINK("#'Data'!A8861", "Estimated percentage of total household expenditures spent on 'Non-food items' (past month, excl. humanitarian aid) [Endline] broken down by total_eli...")</f>
        <v>Estimated percentage of total household expenditures spent on 'Non-food items' (past month, excl. humanitarian aid) [Endline] broken down by total_eli...</v>
      </c>
      <c r="D1940" s="19" t="s">
        <v>55</v>
      </c>
      <c r="E1940" s="21">
        <v>1863</v>
      </c>
    </row>
    <row r="1941" spans="2:5" x14ac:dyDescent="0.3">
      <c r="B1941" s="19" t="s">
        <v>42</v>
      </c>
      <c r="C1941" s="20" t="str">
        <f>HYPERLINK("#'Data'!A8934", "Estimated percentage of total household expenditures spent on 'Clothing and shoes' (past month, excl. humanitarian aid) [Endline] broken down by total...")</f>
        <v>Estimated percentage of total household expenditures spent on 'Clothing and shoes' (past month, excl. humanitarian aid) [Endline] broken down by total...</v>
      </c>
      <c r="D1941" s="19" t="s">
        <v>55</v>
      </c>
      <c r="E1941" s="21">
        <v>1878</v>
      </c>
    </row>
    <row r="1942" spans="2:5" x14ac:dyDescent="0.3">
      <c r="B1942" s="19" t="s">
        <v>42</v>
      </c>
      <c r="C1942" s="20" t="str">
        <f>HYPERLINK("#'Data'!A9008", "Estimated percentage of total household expenditures spent on 'Heating fuel' (past month, excl. humanitarian aid) [Endline] broken down by total_eligi...")</f>
        <v>Estimated percentage of total household expenditures spent on 'Heating fuel' (past month, excl. humanitarian aid) [Endline] broken down by total_eligi...</v>
      </c>
      <c r="D1942" s="19" t="s">
        <v>55</v>
      </c>
      <c r="E1942" s="21">
        <v>1893</v>
      </c>
    </row>
    <row r="1943" spans="2:5" x14ac:dyDescent="0.3">
      <c r="B1943" s="19" t="s">
        <v>42</v>
      </c>
      <c r="C1943" s="20" t="str">
        <f>HYPERLINK("#'Data'!A9080", "Estimated percentage of total household expenditures spent on 'Safe water' (past month, excl. humanitarian aid) [Endline] broken down by total_eligibi...")</f>
        <v>Estimated percentage of total household expenditures spent on 'Safe water' (past month, excl. humanitarian aid) [Endline] broken down by total_eligibi...</v>
      </c>
      <c r="D1943" s="19" t="s">
        <v>55</v>
      </c>
      <c r="E1943" s="21">
        <v>1908</v>
      </c>
    </row>
    <row r="1944" spans="2:5" x14ac:dyDescent="0.3">
      <c r="B1944" s="19" t="s">
        <v>42</v>
      </c>
      <c r="C1944" s="20" t="str">
        <f>HYPERLINK("#'Data'!A9154", "Estimated percentage of total household expenditures spent on 'Utilities' (past month, excl. humanitarian aid) [Endline] broken down by total_eligibil...")</f>
        <v>Estimated percentage of total household expenditures spent on 'Utilities' (past month, excl. humanitarian aid) [Endline] broken down by total_eligibil...</v>
      </c>
      <c r="D1944" s="19" t="s">
        <v>55</v>
      </c>
      <c r="E1944" s="21">
        <v>1923</v>
      </c>
    </row>
    <row r="1945" spans="2:5" x14ac:dyDescent="0.3">
      <c r="B1945" s="19" t="s">
        <v>42</v>
      </c>
      <c r="C1945" s="20" t="str">
        <f>HYPERLINK("#'Data'!A9225", "Estimated percentage of total household expenditures spent on 'Water supply' (past month, excl. humanitarian aid) [Endline] broken down by total_eligi...")</f>
        <v>Estimated percentage of total household expenditures spent on 'Water supply' (past month, excl. humanitarian aid) [Endline] broken down by total_eligi...</v>
      </c>
      <c r="D1945" s="19" t="s">
        <v>55</v>
      </c>
      <c r="E1945" s="21">
        <v>1938</v>
      </c>
    </row>
    <row r="1946" spans="2:5" x14ac:dyDescent="0.3">
      <c r="B1946" s="19" t="s">
        <v>42</v>
      </c>
      <c r="C1946" s="20" t="str">
        <f>HYPERLINK("#'Data'!A9293", "Estimated percentage of total household expenditures spent on 'Rent' (past month, excl. humanitarian aid) [Endline] broken down by total_eligibility_q...")</f>
        <v>Estimated percentage of total household expenditures spent on 'Rent' (past month, excl. humanitarian aid) [Endline] broken down by total_eligibility_q...</v>
      </c>
      <c r="D1946" s="19" t="s">
        <v>55</v>
      </c>
      <c r="E1946" s="21">
        <v>1953</v>
      </c>
    </row>
    <row r="1947" spans="2:5" x14ac:dyDescent="0.3">
      <c r="B1947" s="19" t="s">
        <v>42</v>
      </c>
      <c r="C1947" s="20" t="str">
        <f>HYPERLINK("#'Data'!A9360", "Estimated percentage of total household expenditures spent on 'Assistive products' (past month, excl. humanitarian aid) [Endline] broken down by total...")</f>
        <v>Estimated percentage of total household expenditures spent on 'Assistive products' (past month, excl. humanitarian aid) [Endline] broken down by total...</v>
      </c>
      <c r="D1947" s="19" t="s">
        <v>55</v>
      </c>
      <c r="E1947" s="21">
        <v>1968</v>
      </c>
    </row>
    <row r="1948" spans="2:5" x14ac:dyDescent="0.3">
      <c r="B1948" s="19" t="s">
        <v>42</v>
      </c>
      <c r="C1948" s="20" t="str">
        <f>HYPERLINK("#'Data'!A9431", "Estimated percentage of total household expenditures spent on 'Medication' (past month, excl. humanitarian aid) [Endline] broken down by total_eligibi...")</f>
        <v>Estimated percentage of total household expenditures spent on 'Medication' (past month, excl. humanitarian aid) [Endline] broken down by total_eligibi...</v>
      </c>
      <c r="D1948" s="19" t="s">
        <v>55</v>
      </c>
      <c r="E1948" s="21">
        <v>1983</v>
      </c>
    </row>
    <row r="1949" spans="2:5" x14ac:dyDescent="0.3">
      <c r="B1949" s="19" t="s">
        <v>42</v>
      </c>
      <c r="C1949" s="20" t="str">
        <f>HYPERLINK("#'Data'!A9497", "Estimated percentage of total household expenditures spent on 'Agricultural inputs' (past month, excl. humanitarian aid) [Endline] broken down by tota...")</f>
        <v>Estimated percentage of total household expenditures spent on 'Agricultural inputs' (past month, excl. humanitarian aid) [Endline] broken down by tota...</v>
      </c>
      <c r="D1949" s="19" t="s">
        <v>55</v>
      </c>
      <c r="E1949" s="21">
        <v>1998</v>
      </c>
    </row>
    <row r="1950" spans="2:5" x14ac:dyDescent="0.3">
      <c r="B1950" s="19" t="s">
        <v>42</v>
      </c>
      <c r="C1950" s="20" t="str">
        <f>HYPERLINK("#'Data'!A9565", "Estimated percentage of total household expenditures spent on 'Shelter maintenance' (past month, excl. humanitarian aid) [Endline] broken down by tota...")</f>
        <v>Estimated percentage of total household expenditures spent on 'Shelter maintenance' (past month, excl. humanitarian aid) [Endline] broken down by tota...</v>
      </c>
      <c r="D1950" s="19" t="s">
        <v>55</v>
      </c>
      <c r="E1950" s="21">
        <v>2013</v>
      </c>
    </row>
    <row r="1951" spans="2:5" x14ac:dyDescent="0.3">
      <c r="B1951" s="19" t="s">
        <v>42</v>
      </c>
      <c r="C1951" s="20" t="str">
        <f>HYPERLINK("#'Data'!A9633", "Estimated percentage of total household expenditures spent on 'Future savings' (past month, excl. humanitarian aid) [Endline] broken down by total_eli...")</f>
        <v>Estimated percentage of total household expenditures spent on 'Future savings' (past month, excl. humanitarian aid) [Endline] broken down by total_eli...</v>
      </c>
      <c r="D1951" s="19" t="s">
        <v>55</v>
      </c>
      <c r="E1951" s="21">
        <v>2028</v>
      </c>
    </row>
    <row r="1952" spans="2:5" x14ac:dyDescent="0.3">
      <c r="B1952" s="19" t="s">
        <v>42</v>
      </c>
      <c r="C1952" s="20" t="str">
        <f>HYPERLINK("#'Data'!A9696", "Estimated percentage of total household expenditures spent on 'Shared with others' (past month, excl. humanitarian aid) [Endline] broken down by total...")</f>
        <v>Estimated percentage of total household expenditures spent on 'Shared with others' (past month, excl. humanitarian aid) [Endline] broken down by total...</v>
      </c>
      <c r="D1952" s="19" t="s">
        <v>55</v>
      </c>
      <c r="E1952" s="21">
        <v>2043</v>
      </c>
    </row>
    <row r="1953" spans="2:5" x14ac:dyDescent="0.3">
      <c r="B1953" s="19" t="s">
        <v>42</v>
      </c>
      <c r="C1953" s="20" t="str">
        <f>HYPERLINK("#'Data'!A9764", "Estimated percentage of total household expenditures spent on 'Transportation' (past month, excl. humanitarian aid) [Endline] broken down by total_eli...")</f>
        <v>Estimated percentage of total household expenditures spent on 'Transportation' (past month, excl. humanitarian aid) [Endline] broken down by total_eli...</v>
      </c>
      <c r="D1953" s="19" t="s">
        <v>55</v>
      </c>
      <c r="E1953" s="21">
        <v>2058</v>
      </c>
    </row>
    <row r="1954" spans="2:5" x14ac:dyDescent="0.3">
      <c r="B1954" s="19" t="s">
        <v>42</v>
      </c>
      <c r="C1954" s="20" t="str">
        <f>HYPERLINK("#'Data'!A9838", "Estimated percentage of total household expenditures spent on 'Communication' (past month, excl. humanitarian aid) [Endline] broken down by total_elig...")</f>
        <v>Estimated percentage of total household expenditures spent on 'Communication' (past month, excl. humanitarian aid) [Endline] broken down by total_elig...</v>
      </c>
      <c r="D1954" s="19" t="s">
        <v>55</v>
      </c>
      <c r="E1954" s="21">
        <v>2073</v>
      </c>
    </row>
    <row r="1955" spans="2:5" x14ac:dyDescent="0.3">
      <c r="B1955" s="19" t="s">
        <v>42</v>
      </c>
      <c r="C1955" s="20" t="str">
        <f>HYPERLINK("#'Data'!A9909", "Estimated percentage of total household expenditures spent on 'Education materials' (past month, excl. humanitarian aid) [Endline] broken down by tota...")</f>
        <v>Estimated percentage of total household expenditures spent on 'Education materials' (past month, excl. humanitarian aid) [Endline] broken down by tota...</v>
      </c>
      <c r="D1955" s="19" t="s">
        <v>55</v>
      </c>
      <c r="E1955" s="21">
        <v>2088</v>
      </c>
    </row>
    <row r="1956" spans="2:5" x14ac:dyDescent="0.3">
      <c r="B1956" s="17"/>
      <c r="C1956" s="17"/>
      <c r="D1956" s="17"/>
    </row>
    <row r="1957" spans="2:5" x14ac:dyDescent="0.3">
      <c r="B1957" s="17"/>
      <c r="C1957" s="17"/>
      <c r="D1957" s="17"/>
    </row>
    <row r="1958" spans="2:5" x14ac:dyDescent="0.3">
      <c r="B1958" s="17"/>
      <c r="C1958" s="17"/>
      <c r="D1958" s="17"/>
    </row>
    <row r="1959" spans="2:5" x14ac:dyDescent="0.3">
      <c r="B1959" s="17"/>
      <c r="C1959" s="17"/>
      <c r="D1959" s="17"/>
    </row>
    <row r="1960" spans="2:5" x14ac:dyDescent="0.3">
      <c r="B1960" s="17"/>
      <c r="C1960" s="17"/>
      <c r="D1960" s="17"/>
    </row>
    <row r="1961" spans="2:5" x14ac:dyDescent="0.3">
      <c r="B1961" s="17"/>
      <c r="C1961" s="17"/>
      <c r="D1961" s="17"/>
    </row>
    <row r="1962" spans="2:5" x14ac:dyDescent="0.3">
      <c r="B1962" s="17"/>
      <c r="C1962" s="17"/>
      <c r="D1962" s="17"/>
    </row>
    <row r="1963" spans="2:5" x14ac:dyDescent="0.3">
      <c r="B1963" s="17"/>
      <c r="C1963" s="17"/>
      <c r="D1963" s="17"/>
    </row>
    <row r="1964" spans="2:5" x14ac:dyDescent="0.3">
      <c r="B1964" s="17"/>
      <c r="C1964" s="17"/>
      <c r="D1964" s="17"/>
    </row>
    <row r="1965" spans="2:5" x14ac:dyDescent="0.3">
      <c r="B1965" s="17"/>
      <c r="C1965" s="17"/>
      <c r="D1965" s="17"/>
    </row>
    <row r="1966" spans="2:5" x14ac:dyDescent="0.3">
      <c r="B1966" s="17"/>
      <c r="C1966" s="17"/>
      <c r="D1966" s="17"/>
    </row>
    <row r="1967" spans="2:5" x14ac:dyDescent="0.3">
      <c r="B1967" s="17"/>
      <c r="C1967" s="17"/>
      <c r="D1967" s="17"/>
    </row>
    <row r="1968" spans="2:5" x14ac:dyDescent="0.3">
      <c r="B1968" s="17"/>
      <c r="C1968" s="17"/>
      <c r="D1968" s="17"/>
    </row>
    <row r="1969" spans="2:4" x14ac:dyDescent="0.3">
      <c r="B1969" s="17"/>
      <c r="C1969" s="17"/>
      <c r="D1969" s="17"/>
    </row>
    <row r="1970" spans="2:4" x14ac:dyDescent="0.3">
      <c r="B1970" s="17"/>
      <c r="C1970" s="17"/>
      <c r="D1970" s="17"/>
    </row>
    <row r="1971" spans="2:4" x14ac:dyDescent="0.3">
      <c r="B1971" s="17"/>
      <c r="C1971" s="17"/>
      <c r="D1971" s="17"/>
    </row>
    <row r="1972" spans="2:4" x14ac:dyDescent="0.3">
      <c r="B1972" s="17"/>
      <c r="C1972" s="17"/>
      <c r="D1972" s="17"/>
    </row>
    <row r="1973" spans="2:4" x14ac:dyDescent="0.3">
      <c r="B1973" s="17"/>
      <c r="C1973" s="17"/>
      <c r="D1973" s="17"/>
    </row>
    <row r="1974" spans="2:4" x14ac:dyDescent="0.3">
      <c r="B1974" s="17"/>
      <c r="C1974" s="17"/>
      <c r="D1974" s="17"/>
    </row>
    <row r="1975" spans="2:4" x14ac:dyDescent="0.3">
      <c r="B1975" s="17"/>
      <c r="C1975" s="17"/>
      <c r="D1975" s="17"/>
    </row>
    <row r="1976" spans="2:4" x14ac:dyDescent="0.3">
      <c r="B1976" s="17"/>
      <c r="C1976" s="17"/>
      <c r="D1976" s="17"/>
    </row>
    <row r="1977" spans="2:4" x14ac:dyDescent="0.3">
      <c r="B1977" s="17"/>
      <c r="C1977" s="17"/>
      <c r="D1977" s="17"/>
    </row>
    <row r="1978" spans="2:4" x14ac:dyDescent="0.3">
      <c r="B1978" s="17"/>
      <c r="C1978" s="17"/>
      <c r="D1978" s="17"/>
    </row>
    <row r="1979" spans="2:4" x14ac:dyDescent="0.3">
      <c r="B1979" s="17"/>
      <c r="C1979" s="17"/>
      <c r="D1979" s="17"/>
    </row>
    <row r="1980" spans="2:4" x14ac:dyDescent="0.3">
      <c r="B1980" s="17"/>
      <c r="C1980" s="17"/>
      <c r="D1980" s="17"/>
    </row>
    <row r="1981" spans="2:4" x14ac:dyDescent="0.3">
      <c r="B1981" s="17"/>
      <c r="C1981" s="17"/>
      <c r="D1981" s="17"/>
    </row>
    <row r="1982" spans="2:4" x14ac:dyDescent="0.3">
      <c r="B1982" s="17"/>
      <c r="C1982" s="17"/>
      <c r="D1982" s="17"/>
    </row>
    <row r="1983" spans="2:4" x14ac:dyDescent="0.3">
      <c r="B1983" s="17"/>
      <c r="C1983" s="17"/>
      <c r="D1983" s="17"/>
    </row>
    <row r="1984" spans="2:4" x14ac:dyDescent="0.3">
      <c r="B1984" s="17"/>
      <c r="C1984" s="17"/>
      <c r="D1984" s="17"/>
    </row>
    <row r="1985" spans="2:4" x14ac:dyDescent="0.3">
      <c r="B1985" s="17"/>
      <c r="C1985" s="17"/>
      <c r="D1985" s="17"/>
    </row>
    <row r="1986" spans="2:4" x14ac:dyDescent="0.3">
      <c r="B1986" s="17"/>
      <c r="C1986" s="17"/>
      <c r="D1986" s="17"/>
    </row>
    <row r="1987" spans="2:4" x14ac:dyDescent="0.3">
      <c r="B1987" s="17"/>
      <c r="C1987" s="17"/>
      <c r="D1987" s="17"/>
    </row>
    <row r="1988" spans="2:4" x14ac:dyDescent="0.3">
      <c r="B1988" s="17"/>
      <c r="C1988" s="17"/>
      <c r="D1988" s="17"/>
    </row>
    <row r="1989" spans="2:4" x14ac:dyDescent="0.3">
      <c r="B1989" s="17"/>
      <c r="C1989" s="17"/>
      <c r="D1989" s="17"/>
    </row>
    <row r="1990" spans="2:4" x14ac:dyDescent="0.3">
      <c r="B1990" s="17"/>
      <c r="C1990" s="17"/>
      <c r="D1990" s="17"/>
    </row>
    <row r="1991" spans="2:4" x14ac:dyDescent="0.3">
      <c r="B1991" s="17"/>
      <c r="C1991" s="17"/>
      <c r="D1991" s="17"/>
    </row>
    <row r="1992" spans="2:4" x14ac:dyDescent="0.3">
      <c r="B1992" s="17"/>
      <c r="C1992" s="17"/>
      <c r="D1992" s="17"/>
    </row>
    <row r="1993" spans="2:4" x14ac:dyDescent="0.3">
      <c r="B1993" s="17"/>
      <c r="C1993" s="17"/>
      <c r="D1993" s="17"/>
    </row>
    <row r="1994" spans="2:4" x14ac:dyDescent="0.3">
      <c r="B1994" s="17"/>
      <c r="C1994" s="17"/>
      <c r="D1994" s="17"/>
    </row>
    <row r="1995" spans="2:4" x14ac:dyDescent="0.3">
      <c r="B1995" s="17"/>
      <c r="C1995" s="17"/>
      <c r="D1995" s="17"/>
    </row>
    <row r="1996" spans="2:4" x14ac:dyDescent="0.3">
      <c r="B1996" s="17"/>
      <c r="C1996" s="17"/>
      <c r="D1996" s="17"/>
    </row>
    <row r="1997" spans="2:4" x14ac:dyDescent="0.3">
      <c r="B1997" s="17"/>
      <c r="C1997" s="17"/>
      <c r="D1997" s="17"/>
    </row>
    <row r="1998" spans="2:4" x14ac:dyDescent="0.3">
      <c r="B1998" s="17"/>
      <c r="C1998" s="17"/>
      <c r="D1998" s="17"/>
    </row>
    <row r="1999" spans="2:4" x14ac:dyDescent="0.3">
      <c r="B1999" s="17"/>
      <c r="C1999" s="17"/>
      <c r="D1999" s="17"/>
    </row>
    <row r="2000" spans="2:4" x14ac:dyDescent="0.3">
      <c r="B2000" s="17"/>
      <c r="C2000" s="17"/>
      <c r="D2000" s="18"/>
    </row>
  </sheetData>
  <mergeCells count="1">
    <mergeCell ref="B1:E1"/>
  </mergeCells>
  <pageMargins left="0.75" right="0.75" top="1" bottom="1" header="0.5" footer="0.5"/>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5628-324B-4589-980A-109E7E173054}">
  <sheetPr>
    <tabColor rgb="FF92D050"/>
  </sheetPr>
  <dimension ref="A2:Z9914"/>
  <sheetViews>
    <sheetView topLeftCell="A9890" zoomScale="86" workbookViewId="0">
      <selection activeCell="J9900" sqref="J9900"/>
    </sheetView>
  </sheetViews>
  <sheetFormatPr defaultRowHeight="14.4" x14ac:dyDescent="0.3"/>
  <cols>
    <col min="1" max="1" width="44.109375" style="22" customWidth="1"/>
    <col min="2" max="26" width="30.6640625" customWidth="1"/>
  </cols>
  <sheetData>
    <row r="2" spans="1:8" ht="57.6" x14ac:dyDescent="0.3">
      <c r="A2" s="22" t="s">
        <v>56</v>
      </c>
    </row>
    <row r="3" spans="1:8" x14ac:dyDescent="0.3">
      <c r="A3" s="22" t="s">
        <v>57</v>
      </c>
      <c r="B3" t="s">
        <v>58</v>
      </c>
      <c r="C3" t="s">
        <v>59</v>
      </c>
      <c r="D3" t="s">
        <v>60</v>
      </c>
      <c r="E3" t="s">
        <v>61</v>
      </c>
      <c r="F3" t="s">
        <v>62</v>
      </c>
      <c r="G3" t="s">
        <v>63</v>
      </c>
    </row>
    <row r="4" spans="1:8" x14ac:dyDescent="0.3">
      <c r="A4" s="22" t="s">
        <v>64</v>
      </c>
      <c r="B4" s="26">
        <v>6541.0105263157893</v>
      </c>
      <c r="C4" s="26">
        <v>6000</v>
      </c>
      <c r="D4" s="26">
        <v>0</v>
      </c>
      <c r="E4" s="26">
        <v>25000</v>
      </c>
      <c r="F4">
        <v>190</v>
      </c>
      <c r="G4">
        <v>190</v>
      </c>
    </row>
    <row r="6" spans="1:8" ht="72" x14ac:dyDescent="0.3">
      <c r="A6" s="22" t="s">
        <v>65</v>
      </c>
    </row>
    <row r="7" spans="1:8" x14ac:dyDescent="0.3">
      <c r="A7" s="22" t="s">
        <v>57</v>
      </c>
      <c r="B7" t="s">
        <v>66</v>
      </c>
      <c r="C7" t="s">
        <v>58</v>
      </c>
      <c r="D7" t="s">
        <v>59</v>
      </c>
      <c r="E7" t="s">
        <v>60</v>
      </c>
      <c r="F7" t="s">
        <v>61</v>
      </c>
      <c r="G7" t="s">
        <v>62</v>
      </c>
      <c r="H7" t="s">
        <v>63</v>
      </c>
    </row>
    <row r="8" spans="1:8" x14ac:dyDescent="0.3">
      <c r="A8" s="22" t="s">
        <v>64</v>
      </c>
      <c r="B8" t="s">
        <v>67</v>
      </c>
      <c r="C8" s="26">
        <v>6448.8571428571431</v>
      </c>
      <c r="D8" s="26">
        <v>6000</v>
      </c>
      <c r="E8" s="26">
        <v>0</v>
      </c>
      <c r="F8" s="26">
        <v>25000</v>
      </c>
      <c r="G8">
        <v>182</v>
      </c>
      <c r="H8">
        <v>190</v>
      </c>
    </row>
    <row r="9" spans="1:8" x14ac:dyDescent="0.3">
      <c r="A9" s="22" t="s">
        <v>64</v>
      </c>
      <c r="B9" t="s">
        <v>68</v>
      </c>
      <c r="C9" s="26">
        <v>8637.5</v>
      </c>
      <c r="D9" s="26">
        <v>7000</v>
      </c>
      <c r="E9" s="26">
        <v>0</v>
      </c>
      <c r="F9" s="26">
        <v>24000</v>
      </c>
      <c r="G9">
        <v>8</v>
      </c>
      <c r="H9">
        <v>190</v>
      </c>
    </row>
    <row r="11" spans="1:8" x14ac:dyDescent="0.3">
      <c r="A11"/>
    </row>
    <row r="12" spans="1:8" x14ac:dyDescent="0.3">
      <c r="A12"/>
    </row>
    <row r="13" spans="1:8" x14ac:dyDescent="0.3">
      <c r="A13"/>
    </row>
    <row r="15" spans="1:8" ht="72" x14ac:dyDescent="0.3">
      <c r="A15" s="22" t="s">
        <v>69</v>
      </c>
    </row>
    <row r="16" spans="1:8" x14ac:dyDescent="0.3">
      <c r="A16" s="22" t="s">
        <v>57</v>
      </c>
      <c r="B16" t="s">
        <v>66</v>
      </c>
      <c r="C16" t="s">
        <v>58</v>
      </c>
      <c r="D16" t="s">
        <v>59</v>
      </c>
      <c r="E16" t="s">
        <v>60</v>
      </c>
      <c r="F16" t="s">
        <v>61</v>
      </c>
      <c r="G16" t="s">
        <v>62</v>
      </c>
      <c r="H16" t="s">
        <v>63</v>
      </c>
    </row>
    <row r="17" spans="1:8" x14ac:dyDescent="0.3">
      <c r="A17" s="22" t="s">
        <v>64</v>
      </c>
      <c r="B17" t="s">
        <v>67</v>
      </c>
      <c r="C17" s="26">
        <v>6586.5856353591162</v>
      </c>
      <c r="D17">
        <v>6000</v>
      </c>
      <c r="E17">
        <v>0</v>
      </c>
      <c r="F17">
        <v>25000</v>
      </c>
      <c r="G17">
        <v>181</v>
      </c>
      <c r="H17">
        <v>190</v>
      </c>
    </row>
    <row r="18" spans="1:8" x14ac:dyDescent="0.3">
      <c r="A18" s="22" t="s">
        <v>64</v>
      </c>
      <c r="B18" t="s">
        <v>68</v>
      </c>
      <c r="C18" s="26">
        <v>5624.4444444444443</v>
      </c>
      <c r="D18">
        <v>8000</v>
      </c>
      <c r="E18">
        <v>0</v>
      </c>
      <c r="F18">
        <v>10000</v>
      </c>
      <c r="G18">
        <v>9</v>
      </c>
      <c r="H18">
        <v>190</v>
      </c>
    </row>
    <row r="20" spans="1:8" ht="72" x14ac:dyDescent="0.3">
      <c r="A20" s="22" t="s">
        <v>70</v>
      </c>
    </row>
    <row r="21" spans="1:8" x14ac:dyDescent="0.3">
      <c r="A21" s="22" t="s">
        <v>57</v>
      </c>
      <c r="B21" t="s">
        <v>66</v>
      </c>
      <c r="C21" t="s">
        <v>58</v>
      </c>
      <c r="D21" t="s">
        <v>59</v>
      </c>
      <c r="E21" t="s">
        <v>60</v>
      </c>
      <c r="F21" t="s">
        <v>61</v>
      </c>
      <c r="G21" t="s">
        <v>62</v>
      </c>
      <c r="H21" t="s">
        <v>63</v>
      </c>
    </row>
    <row r="22" spans="1:8" x14ac:dyDescent="0.3">
      <c r="A22" s="22" t="s">
        <v>64</v>
      </c>
      <c r="B22" t="s">
        <v>67</v>
      </c>
      <c r="C22" s="26">
        <v>6530.6455026455023</v>
      </c>
      <c r="D22">
        <v>6000</v>
      </c>
      <c r="E22">
        <v>0</v>
      </c>
      <c r="F22">
        <v>25000</v>
      </c>
      <c r="G22">
        <v>189</v>
      </c>
      <c r="H22">
        <v>190</v>
      </c>
    </row>
    <row r="23" spans="1:8" x14ac:dyDescent="0.3">
      <c r="A23" s="22" t="s">
        <v>64</v>
      </c>
      <c r="B23" t="s">
        <v>68</v>
      </c>
      <c r="C23">
        <v>8500</v>
      </c>
      <c r="D23">
        <v>8500</v>
      </c>
      <c r="E23">
        <v>8500</v>
      </c>
      <c r="F23">
        <v>8500</v>
      </c>
      <c r="G23">
        <v>1</v>
      </c>
      <c r="H23">
        <v>190</v>
      </c>
    </row>
    <row r="25" spans="1:8" ht="72" x14ac:dyDescent="0.3">
      <c r="A25" s="22" t="s">
        <v>71</v>
      </c>
    </row>
    <row r="26" spans="1:8" x14ac:dyDescent="0.3">
      <c r="A26" s="22" t="s">
        <v>57</v>
      </c>
      <c r="B26" t="s">
        <v>66</v>
      </c>
      <c r="C26" t="s">
        <v>58</v>
      </c>
      <c r="D26" t="s">
        <v>59</v>
      </c>
      <c r="E26" t="s">
        <v>60</v>
      </c>
      <c r="F26" t="s">
        <v>61</v>
      </c>
      <c r="G26" t="s">
        <v>62</v>
      </c>
      <c r="H26" t="s">
        <v>63</v>
      </c>
    </row>
    <row r="27" spans="1:8" x14ac:dyDescent="0.3">
      <c r="A27" s="22" t="s">
        <v>64</v>
      </c>
      <c r="B27" t="s">
        <v>67</v>
      </c>
      <c r="C27" s="26">
        <v>6364.926553672316</v>
      </c>
      <c r="D27">
        <v>6000</v>
      </c>
      <c r="E27">
        <v>0</v>
      </c>
      <c r="F27">
        <v>25000</v>
      </c>
      <c r="G27">
        <v>177</v>
      </c>
      <c r="H27">
        <v>190</v>
      </c>
    </row>
    <row r="28" spans="1:8" x14ac:dyDescent="0.3">
      <c r="A28" s="22" t="s">
        <v>64</v>
      </c>
      <c r="B28" t="s">
        <v>68</v>
      </c>
      <c r="C28" s="26">
        <v>8938.461538461539</v>
      </c>
      <c r="D28">
        <v>10000</v>
      </c>
      <c r="E28">
        <v>0</v>
      </c>
      <c r="F28">
        <v>18000</v>
      </c>
      <c r="G28">
        <v>13</v>
      </c>
      <c r="H28">
        <v>190</v>
      </c>
    </row>
    <row r="30" spans="1:8" ht="72" x14ac:dyDescent="0.3">
      <c r="A30" s="22" t="s">
        <v>72</v>
      </c>
    </row>
    <row r="31" spans="1:8" x14ac:dyDescent="0.3">
      <c r="A31" s="22" t="s">
        <v>57</v>
      </c>
      <c r="B31" t="s">
        <v>66</v>
      </c>
      <c r="C31" t="s">
        <v>58</v>
      </c>
      <c r="D31" t="s">
        <v>59</v>
      </c>
      <c r="E31" t="s">
        <v>60</v>
      </c>
      <c r="F31" t="s">
        <v>61</v>
      </c>
      <c r="G31" t="s">
        <v>62</v>
      </c>
      <c r="H31" t="s">
        <v>63</v>
      </c>
    </row>
    <row r="32" spans="1:8" x14ac:dyDescent="0.3">
      <c r="A32" s="22" t="s">
        <v>64</v>
      </c>
      <c r="B32" t="s">
        <v>67</v>
      </c>
      <c r="C32">
        <v>2960</v>
      </c>
      <c r="D32">
        <v>6000</v>
      </c>
      <c r="E32">
        <v>0</v>
      </c>
      <c r="F32">
        <v>8000</v>
      </c>
      <c r="G32">
        <v>5</v>
      </c>
      <c r="H32">
        <v>190</v>
      </c>
    </row>
    <row r="33" spans="1:8" x14ac:dyDescent="0.3">
      <c r="A33" s="22" t="s">
        <v>64</v>
      </c>
      <c r="B33" t="s">
        <v>68</v>
      </c>
      <c r="C33" s="26">
        <v>6637.7945945945949</v>
      </c>
      <c r="D33">
        <v>6000</v>
      </c>
      <c r="E33">
        <v>0</v>
      </c>
      <c r="F33">
        <v>25000</v>
      </c>
      <c r="G33">
        <v>185</v>
      </c>
      <c r="H33">
        <v>190</v>
      </c>
    </row>
    <row r="35" spans="1:8" ht="72" x14ac:dyDescent="0.3">
      <c r="A35" s="22" t="s">
        <v>73</v>
      </c>
    </row>
    <row r="36" spans="1:8" x14ac:dyDescent="0.3">
      <c r="A36" s="22" t="s">
        <v>57</v>
      </c>
      <c r="B36" t="s">
        <v>66</v>
      </c>
      <c r="C36" t="s">
        <v>58</v>
      </c>
      <c r="D36" t="s">
        <v>59</v>
      </c>
      <c r="E36" t="s">
        <v>60</v>
      </c>
      <c r="F36" t="s">
        <v>61</v>
      </c>
      <c r="G36" t="s">
        <v>62</v>
      </c>
      <c r="H36" t="s">
        <v>63</v>
      </c>
    </row>
    <row r="37" spans="1:8" x14ac:dyDescent="0.3">
      <c r="A37" s="22" t="s">
        <v>64</v>
      </c>
      <c r="B37" t="s">
        <v>67</v>
      </c>
      <c r="C37" s="26">
        <v>6491.666666666667</v>
      </c>
      <c r="D37">
        <v>6000</v>
      </c>
      <c r="E37">
        <v>0</v>
      </c>
      <c r="F37">
        <v>25000</v>
      </c>
      <c r="G37">
        <v>150</v>
      </c>
      <c r="H37">
        <v>190</v>
      </c>
    </row>
    <row r="38" spans="1:8" x14ac:dyDescent="0.3">
      <c r="A38" s="22" t="s">
        <v>64</v>
      </c>
      <c r="B38" t="s">
        <v>68</v>
      </c>
      <c r="C38" s="26">
        <v>6726.05</v>
      </c>
      <c r="D38">
        <v>6000</v>
      </c>
      <c r="E38">
        <v>0</v>
      </c>
      <c r="F38">
        <v>20000</v>
      </c>
      <c r="G38">
        <v>40</v>
      </c>
      <c r="H38">
        <v>190</v>
      </c>
    </row>
    <row r="40" spans="1:8" ht="72" x14ac:dyDescent="0.3">
      <c r="A40" s="22" t="s">
        <v>74</v>
      </c>
    </row>
    <row r="41" spans="1:8" x14ac:dyDescent="0.3">
      <c r="A41" s="22" t="s">
        <v>57</v>
      </c>
      <c r="B41" t="s">
        <v>66</v>
      </c>
      <c r="C41" t="s">
        <v>58</v>
      </c>
      <c r="D41" t="s">
        <v>59</v>
      </c>
      <c r="E41" t="s">
        <v>60</v>
      </c>
      <c r="F41" t="s">
        <v>61</v>
      </c>
      <c r="G41" t="s">
        <v>62</v>
      </c>
      <c r="H41" t="s">
        <v>63</v>
      </c>
    </row>
    <row r="42" spans="1:8" x14ac:dyDescent="0.3">
      <c r="A42" s="22" t="s">
        <v>64</v>
      </c>
      <c r="B42" t="s">
        <v>67</v>
      </c>
      <c r="C42" s="26">
        <v>6584.8476821192053</v>
      </c>
      <c r="D42">
        <v>6500</v>
      </c>
      <c r="E42">
        <v>0</v>
      </c>
      <c r="F42">
        <v>25000</v>
      </c>
      <c r="G42">
        <v>151</v>
      </c>
      <c r="H42">
        <v>190</v>
      </c>
    </row>
    <row r="43" spans="1:8" x14ac:dyDescent="0.3">
      <c r="A43" s="22" t="s">
        <v>64</v>
      </c>
      <c r="B43" t="s">
        <v>68</v>
      </c>
      <c r="C43" s="26">
        <v>6371.2820512820517</v>
      </c>
      <c r="D43">
        <v>5200</v>
      </c>
      <c r="E43">
        <v>0</v>
      </c>
      <c r="F43">
        <v>25000</v>
      </c>
      <c r="G43">
        <v>39</v>
      </c>
      <c r="H43">
        <v>190</v>
      </c>
    </row>
    <row r="45" spans="1:8" ht="86.4" x14ac:dyDescent="0.3">
      <c r="A45" s="22" t="s">
        <v>75</v>
      </c>
    </row>
    <row r="46" spans="1:8" x14ac:dyDescent="0.3">
      <c r="A46" s="22" t="s">
        <v>57</v>
      </c>
      <c r="B46" t="s">
        <v>66</v>
      </c>
      <c r="C46" t="s">
        <v>58</v>
      </c>
      <c r="D46" t="s">
        <v>59</v>
      </c>
      <c r="E46" t="s">
        <v>60</v>
      </c>
      <c r="F46" t="s">
        <v>61</v>
      </c>
      <c r="G46" t="s">
        <v>62</v>
      </c>
      <c r="H46" t="s">
        <v>63</v>
      </c>
    </row>
    <row r="47" spans="1:8" x14ac:dyDescent="0.3">
      <c r="A47" s="22" t="s">
        <v>64</v>
      </c>
      <c r="B47" t="s">
        <v>67</v>
      </c>
      <c r="C47" s="26">
        <v>6612.2361111111113</v>
      </c>
      <c r="D47">
        <v>6000</v>
      </c>
      <c r="E47">
        <v>0</v>
      </c>
      <c r="F47">
        <v>25000</v>
      </c>
      <c r="G47">
        <v>144</v>
      </c>
      <c r="H47">
        <v>190</v>
      </c>
    </row>
    <row r="48" spans="1:8" x14ac:dyDescent="0.3">
      <c r="A48" s="22" t="s">
        <v>64</v>
      </c>
      <c r="B48" t="s">
        <v>68</v>
      </c>
      <c r="C48" s="26">
        <v>6318.04347826087</v>
      </c>
      <c r="D48">
        <v>5000</v>
      </c>
      <c r="E48">
        <v>0</v>
      </c>
      <c r="F48">
        <v>25000</v>
      </c>
      <c r="G48">
        <v>46</v>
      </c>
      <c r="H48">
        <v>190</v>
      </c>
    </row>
    <row r="50" spans="1:8" ht="86.4" x14ac:dyDescent="0.3">
      <c r="A50" s="22" t="s">
        <v>76</v>
      </c>
    </row>
    <row r="51" spans="1:8" x14ac:dyDescent="0.3">
      <c r="A51" s="22" t="s">
        <v>57</v>
      </c>
      <c r="B51" t="s">
        <v>66</v>
      </c>
      <c r="C51" t="s">
        <v>58</v>
      </c>
      <c r="D51" t="s">
        <v>59</v>
      </c>
      <c r="E51" t="s">
        <v>60</v>
      </c>
      <c r="F51" t="s">
        <v>61</v>
      </c>
      <c r="G51" t="s">
        <v>62</v>
      </c>
      <c r="H51" t="s">
        <v>63</v>
      </c>
    </row>
    <row r="52" spans="1:8" x14ac:dyDescent="0.3">
      <c r="A52" s="22" t="s">
        <v>64</v>
      </c>
      <c r="B52" t="s">
        <v>67</v>
      </c>
      <c r="C52" s="26">
        <v>6728.7683615819215</v>
      </c>
      <c r="D52">
        <v>6000</v>
      </c>
      <c r="E52">
        <v>0</v>
      </c>
      <c r="F52">
        <v>25000</v>
      </c>
      <c r="G52">
        <v>177</v>
      </c>
      <c r="H52">
        <v>190</v>
      </c>
    </row>
    <row r="53" spans="1:8" x14ac:dyDescent="0.3">
      <c r="A53" s="22" t="s">
        <v>64</v>
      </c>
      <c r="B53" t="s">
        <v>68</v>
      </c>
      <c r="C53" s="26">
        <v>3984.6153846153852</v>
      </c>
      <c r="D53">
        <v>4500</v>
      </c>
      <c r="E53">
        <v>0</v>
      </c>
      <c r="F53">
        <v>10000</v>
      </c>
      <c r="G53">
        <v>13</v>
      </c>
      <c r="H53">
        <v>190</v>
      </c>
    </row>
    <row r="55" spans="1:8" ht="86.4" x14ac:dyDescent="0.3">
      <c r="A55" s="22" t="s">
        <v>77</v>
      </c>
    </row>
    <row r="56" spans="1:8" x14ac:dyDescent="0.3">
      <c r="A56" s="22" t="s">
        <v>57</v>
      </c>
      <c r="B56" t="s">
        <v>66</v>
      </c>
      <c r="C56" t="s">
        <v>58</v>
      </c>
      <c r="D56" t="s">
        <v>59</v>
      </c>
      <c r="E56" t="s">
        <v>60</v>
      </c>
      <c r="F56" t="s">
        <v>61</v>
      </c>
      <c r="G56" t="s">
        <v>62</v>
      </c>
      <c r="H56" t="s">
        <v>63</v>
      </c>
    </row>
    <row r="57" spans="1:8" x14ac:dyDescent="0.3">
      <c r="A57" s="22" t="s">
        <v>64</v>
      </c>
      <c r="B57" t="s">
        <v>67</v>
      </c>
      <c r="C57" s="26">
        <v>6541.0105263157893</v>
      </c>
      <c r="D57">
        <v>6000</v>
      </c>
      <c r="E57">
        <v>0</v>
      </c>
      <c r="F57">
        <v>25000</v>
      </c>
      <c r="G57">
        <v>190</v>
      </c>
      <c r="H57">
        <v>190</v>
      </c>
    </row>
    <row r="59" spans="1:8" ht="72" x14ac:dyDescent="0.3">
      <c r="A59" s="22" t="s">
        <v>78</v>
      </c>
    </row>
    <row r="60" spans="1:8" x14ac:dyDescent="0.3">
      <c r="A60" s="22" t="s">
        <v>57</v>
      </c>
      <c r="B60" t="s">
        <v>66</v>
      </c>
      <c r="C60" t="s">
        <v>58</v>
      </c>
      <c r="D60" t="s">
        <v>59</v>
      </c>
      <c r="E60" t="s">
        <v>60</v>
      </c>
      <c r="F60" t="s">
        <v>61</v>
      </c>
      <c r="G60" t="s">
        <v>62</v>
      </c>
      <c r="H60" t="s">
        <v>63</v>
      </c>
    </row>
    <row r="61" spans="1:8" x14ac:dyDescent="0.3">
      <c r="A61" s="22" t="s">
        <v>64</v>
      </c>
      <c r="B61" t="s">
        <v>67</v>
      </c>
      <c r="C61" s="26">
        <v>6210.9750000000004</v>
      </c>
      <c r="D61">
        <v>5900</v>
      </c>
      <c r="E61">
        <v>0</v>
      </c>
      <c r="F61">
        <v>25000</v>
      </c>
      <c r="G61">
        <v>120</v>
      </c>
      <c r="H61">
        <v>190</v>
      </c>
    </row>
    <row r="62" spans="1:8" x14ac:dyDescent="0.3">
      <c r="A62" s="22" t="s">
        <v>64</v>
      </c>
      <c r="B62" t="s">
        <v>68</v>
      </c>
      <c r="C62" s="26">
        <v>7106.7857142857147</v>
      </c>
      <c r="D62">
        <v>6000</v>
      </c>
      <c r="E62">
        <v>0</v>
      </c>
      <c r="F62">
        <v>25000</v>
      </c>
      <c r="G62">
        <v>70</v>
      </c>
      <c r="H62">
        <v>190</v>
      </c>
    </row>
    <row r="64" spans="1:8" ht="86.4" x14ac:dyDescent="0.3">
      <c r="A64" s="22" t="s">
        <v>79</v>
      </c>
    </row>
    <row r="65" spans="1:8" x14ac:dyDescent="0.3">
      <c r="A65" s="22" t="s">
        <v>57</v>
      </c>
      <c r="B65" t="s">
        <v>66</v>
      </c>
      <c r="C65" t="s">
        <v>58</v>
      </c>
      <c r="D65" t="s">
        <v>59</v>
      </c>
      <c r="E65" t="s">
        <v>60</v>
      </c>
      <c r="F65" t="s">
        <v>61</v>
      </c>
      <c r="G65" t="s">
        <v>62</v>
      </c>
      <c r="H65" t="s">
        <v>63</v>
      </c>
    </row>
    <row r="66" spans="1:8" x14ac:dyDescent="0.3">
      <c r="A66" s="22" t="s">
        <v>64</v>
      </c>
      <c r="B66" t="s">
        <v>67</v>
      </c>
      <c r="C66" s="26">
        <v>6538.5497076023394</v>
      </c>
      <c r="D66">
        <v>6000</v>
      </c>
      <c r="E66">
        <v>0</v>
      </c>
      <c r="F66">
        <v>25000</v>
      </c>
      <c r="G66">
        <v>171</v>
      </c>
      <c r="H66">
        <v>190</v>
      </c>
    </row>
    <row r="67" spans="1:8" x14ac:dyDescent="0.3">
      <c r="A67" s="22" t="s">
        <v>64</v>
      </c>
      <c r="B67" t="s">
        <v>68</v>
      </c>
      <c r="C67" s="26">
        <v>6563.1578947368434</v>
      </c>
      <c r="D67">
        <v>8000</v>
      </c>
      <c r="E67">
        <v>0</v>
      </c>
      <c r="F67">
        <v>13000</v>
      </c>
      <c r="G67">
        <v>19</v>
      </c>
      <c r="H67">
        <v>190</v>
      </c>
    </row>
    <row r="69" spans="1:8" ht="72" x14ac:dyDescent="0.3">
      <c r="A69" s="22" t="s">
        <v>80</v>
      </c>
    </row>
    <row r="70" spans="1:8" x14ac:dyDescent="0.3">
      <c r="A70" s="22" t="s">
        <v>57</v>
      </c>
      <c r="B70" t="s">
        <v>66</v>
      </c>
      <c r="C70" t="s">
        <v>58</v>
      </c>
      <c r="D70" t="s">
        <v>59</v>
      </c>
      <c r="E70" t="s">
        <v>60</v>
      </c>
      <c r="F70" t="s">
        <v>61</v>
      </c>
      <c r="G70" t="s">
        <v>62</v>
      </c>
      <c r="H70" t="s">
        <v>63</v>
      </c>
    </row>
    <row r="71" spans="1:8" x14ac:dyDescent="0.3">
      <c r="A71" s="22" t="s">
        <v>64</v>
      </c>
      <c r="B71" t="s">
        <v>81</v>
      </c>
      <c r="C71" s="26">
        <v>6996.6415094339627</v>
      </c>
      <c r="D71">
        <v>6500</v>
      </c>
      <c r="E71">
        <v>0</v>
      </c>
      <c r="F71">
        <v>20000</v>
      </c>
      <c r="G71">
        <v>53</v>
      </c>
      <c r="H71">
        <v>190</v>
      </c>
    </row>
    <row r="72" spans="1:8" x14ac:dyDescent="0.3">
      <c r="A72" s="22" t="s">
        <v>64</v>
      </c>
      <c r="B72" t="s">
        <v>82</v>
      </c>
      <c r="C72" s="26">
        <v>6607.272727272727</v>
      </c>
      <c r="D72">
        <v>5535</v>
      </c>
      <c r="E72">
        <v>0</v>
      </c>
      <c r="F72">
        <v>25000</v>
      </c>
      <c r="G72">
        <v>44</v>
      </c>
      <c r="H72">
        <v>190</v>
      </c>
    </row>
    <row r="73" spans="1:8" x14ac:dyDescent="0.3">
      <c r="A73" s="22" t="s">
        <v>64</v>
      </c>
      <c r="B73" t="s">
        <v>83</v>
      </c>
      <c r="C73" s="26">
        <v>6747.916666666667</v>
      </c>
      <c r="D73">
        <v>6000</v>
      </c>
      <c r="E73">
        <v>0</v>
      </c>
      <c r="F73">
        <v>25000</v>
      </c>
      <c r="G73">
        <v>48</v>
      </c>
      <c r="H73">
        <v>190</v>
      </c>
    </row>
    <row r="74" spans="1:8" x14ac:dyDescent="0.3">
      <c r="A74" s="22" t="s">
        <v>64</v>
      </c>
      <c r="B74" t="s">
        <v>84</v>
      </c>
      <c r="C74" s="26">
        <v>5718.8888888888887</v>
      </c>
      <c r="D74">
        <v>6000</v>
      </c>
      <c r="E74">
        <v>0</v>
      </c>
      <c r="F74">
        <v>18000</v>
      </c>
      <c r="G74">
        <v>45</v>
      </c>
      <c r="H74">
        <v>190</v>
      </c>
    </row>
    <row r="76" spans="1:8" ht="57.6" x14ac:dyDescent="0.3">
      <c r="A76" s="22" t="s">
        <v>85</v>
      </c>
    </row>
    <row r="77" spans="1:8" x14ac:dyDescent="0.3">
      <c r="A77" s="22" t="s">
        <v>57</v>
      </c>
      <c r="B77" t="s">
        <v>58</v>
      </c>
      <c r="C77" t="s">
        <v>59</v>
      </c>
      <c r="D77" t="s">
        <v>60</v>
      </c>
      <c r="E77" t="s">
        <v>61</v>
      </c>
      <c r="F77" t="s">
        <v>62</v>
      </c>
      <c r="G77" t="s">
        <v>63</v>
      </c>
    </row>
    <row r="78" spans="1:8" x14ac:dyDescent="0.3">
      <c r="A78" s="22" t="s">
        <v>64</v>
      </c>
      <c r="B78" s="26">
        <v>2830.5798245614028</v>
      </c>
      <c r="C78">
        <v>2500</v>
      </c>
      <c r="D78">
        <v>0</v>
      </c>
      <c r="E78">
        <v>11000</v>
      </c>
      <c r="F78">
        <v>190</v>
      </c>
      <c r="G78">
        <v>190</v>
      </c>
    </row>
    <row r="80" spans="1:8" ht="86.4" x14ac:dyDescent="0.3">
      <c r="A80" s="22" t="s">
        <v>86</v>
      </c>
    </row>
    <row r="81" spans="1:8" x14ac:dyDescent="0.3">
      <c r="A81" s="22" t="s">
        <v>57</v>
      </c>
      <c r="B81" t="s">
        <v>66</v>
      </c>
      <c r="C81" t="s">
        <v>58</v>
      </c>
      <c r="D81" t="s">
        <v>59</v>
      </c>
      <c r="E81" t="s">
        <v>60</v>
      </c>
      <c r="F81" t="s">
        <v>61</v>
      </c>
      <c r="G81" t="s">
        <v>62</v>
      </c>
      <c r="H81" t="s">
        <v>63</v>
      </c>
    </row>
    <row r="82" spans="1:8" x14ac:dyDescent="0.3">
      <c r="A82" s="22" t="s">
        <v>64</v>
      </c>
      <c r="B82" t="s">
        <v>67</v>
      </c>
      <c r="C82" s="26">
        <v>2885.9349816849808</v>
      </c>
      <c r="D82">
        <v>2500</v>
      </c>
      <c r="E82">
        <v>0</v>
      </c>
      <c r="F82">
        <v>11000</v>
      </c>
      <c r="G82">
        <v>182</v>
      </c>
      <c r="H82">
        <v>190</v>
      </c>
    </row>
    <row r="83" spans="1:8" x14ac:dyDescent="0.3">
      <c r="A83" s="22" t="s">
        <v>64</v>
      </c>
      <c r="B83" t="s">
        <v>68</v>
      </c>
      <c r="C83">
        <v>1571.25</v>
      </c>
      <c r="D83" s="26">
        <v>1166.6666666666699</v>
      </c>
      <c r="E83">
        <v>0</v>
      </c>
      <c r="F83">
        <v>4800</v>
      </c>
      <c r="G83">
        <v>8</v>
      </c>
      <c r="H83">
        <v>190</v>
      </c>
    </row>
    <row r="85" spans="1:8" x14ac:dyDescent="0.3">
      <c r="A85"/>
    </row>
    <row r="86" spans="1:8" x14ac:dyDescent="0.3">
      <c r="A86"/>
    </row>
    <row r="87" spans="1:8" x14ac:dyDescent="0.3">
      <c r="A87"/>
    </row>
    <row r="89" spans="1:8" ht="72" x14ac:dyDescent="0.3">
      <c r="A89" s="22" t="s">
        <v>87</v>
      </c>
    </row>
    <row r="90" spans="1:8" x14ac:dyDescent="0.3">
      <c r="A90" s="22" t="s">
        <v>57</v>
      </c>
      <c r="B90" t="s">
        <v>66</v>
      </c>
      <c r="C90" t="s">
        <v>58</v>
      </c>
      <c r="D90" t="s">
        <v>59</v>
      </c>
      <c r="E90" t="s">
        <v>60</v>
      </c>
      <c r="F90" t="s">
        <v>61</v>
      </c>
      <c r="G90" t="s">
        <v>62</v>
      </c>
      <c r="H90" t="s">
        <v>63</v>
      </c>
    </row>
    <row r="91" spans="1:8" x14ac:dyDescent="0.3">
      <c r="A91" s="22" t="s">
        <v>64</v>
      </c>
      <c r="B91" t="s">
        <v>67</v>
      </c>
      <c r="C91" s="26">
        <v>2902.855432780847</v>
      </c>
      <c r="D91" s="26">
        <v>2666.6666666666702</v>
      </c>
      <c r="E91">
        <v>0</v>
      </c>
      <c r="F91">
        <v>11000</v>
      </c>
      <c r="G91">
        <v>181</v>
      </c>
      <c r="H91">
        <v>190</v>
      </c>
    </row>
    <row r="92" spans="1:8" x14ac:dyDescent="0.3">
      <c r="A92" s="22" t="s">
        <v>64</v>
      </c>
      <c r="B92" t="s">
        <v>68</v>
      </c>
      <c r="C92" s="26">
        <v>1377.037037037037</v>
      </c>
      <c r="D92">
        <v>2000</v>
      </c>
      <c r="E92">
        <v>0</v>
      </c>
      <c r="F92">
        <v>2500</v>
      </c>
      <c r="G92">
        <v>9</v>
      </c>
      <c r="H92">
        <v>190</v>
      </c>
    </row>
    <row r="94" spans="1:8" ht="72" x14ac:dyDescent="0.3">
      <c r="A94" s="22" t="s">
        <v>88</v>
      </c>
    </row>
    <row r="95" spans="1:8" x14ac:dyDescent="0.3">
      <c r="A95" s="22" t="s">
        <v>57</v>
      </c>
      <c r="B95" t="s">
        <v>66</v>
      </c>
      <c r="C95" t="s">
        <v>58</v>
      </c>
      <c r="D95" t="s">
        <v>59</v>
      </c>
      <c r="E95" t="s">
        <v>60</v>
      </c>
      <c r="F95" t="s">
        <v>61</v>
      </c>
      <c r="G95" t="s">
        <v>62</v>
      </c>
      <c r="H95" t="s">
        <v>63</v>
      </c>
    </row>
    <row r="96" spans="1:8" x14ac:dyDescent="0.3">
      <c r="A96" s="22" t="s">
        <v>64</v>
      </c>
      <c r="B96" t="s">
        <v>67</v>
      </c>
      <c r="C96" s="26">
        <v>2830.5652557319222</v>
      </c>
      <c r="D96">
        <v>2500</v>
      </c>
      <c r="E96">
        <v>0</v>
      </c>
      <c r="F96">
        <v>11000</v>
      </c>
      <c r="G96">
        <v>189</v>
      </c>
      <c r="H96">
        <v>190</v>
      </c>
    </row>
    <row r="97" spans="1:8" x14ac:dyDescent="0.3">
      <c r="A97" s="22" t="s">
        <v>64</v>
      </c>
      <c r="B97" t="s">
        <v>68</v>
      </c>
      <c r="C97" s="26">
        <v>2833.3333333333298</v>
      </c>
      <c r="D97" s="26">
        <v>2833.3333333333298</v>
      </c>
      <c r="E97" s="26">
        <v>2833.3333333333298</v>
      </c>
      <c r="F97" s="26">
        <v>2833.3333333333298</v>
      </c>
      <c r="G97">
        <v>1</v>
      </c>
      <c r="H97">
        <v>190</v>
      </c>
    </row>
    <row r="99" spans="1:8" ht="86.4" x14ac:dyDescent="0.3">
      <c r="A99" s="22" t="s">
        <v>89</v>
      </c>
    </row>
    <row r="100" spans="1:8" x14ac:dyDescent="0.3">
      <c r="A100" s="22" t="s">
        <v>57</v>
      </c>
      <c r="B100" t="s">
        <v>66</v>
      </c>
      <c r="C100" t="s">
        <v>58</v>
      </c>
      <c r="D100" t="s">
        <v>59</v>
      </c>
      <c r="E100" t="s">
        <v>60</v>
      </c>
      <c r="F100" t="s">
        <v>61</v>
      </c>
      <c r="G100" t="s">
        <v>62</v>
      </c>
      <c r="H100" t="s">
        <v>63</v>
      </c>
    </row>
    <row r="101" spans="1:8" x14ac:dyDescent="0.3">
      <c r="A101" s="22" t="s">
        <v>64</v>
      </c>
      <c r="B101" t="s">
        <v>67</v>
      </c>
      <c r="C101" s="26">
        <v>2807.3079096045199</v>
      </c>
      <c r="D101">
        <v>2500</v>
      </c>
      <c r="E101">
        <v>0</v>
      </c>
      <c r="F101">
        <v>11000</v>
      </c>
      <c r="G101">
        <v>177</v>
      </c>
      <c r="H101">
        <v>190</v>
      </c>
    </row>
    <row r="102" spans="1:8" x14ac:dyDescent="0.3">
      <c r="A102" s="22" t="s">
        <v>64</v>
      </c>
      <c r="B102" t="s">
        <v>68</v>
      </c>
      <c r="C102" s="26">
        <v>3147.4358974358979</v>
      </c>
      <c r="D102" s="26">
        <v>3333.3333333333298</v>
      </c>
      <c r="E102">
        <v>0</v>
      </c>
      <c r="F102">
        <v>6000</v>
      </c>
      <c r="G102">
        <v>13</v>
      </c>
      <c r="H102">
        <v>190</v>
      </c>
    </row>
    <row r="104" spans="1:8" ht="86.4" x14ac:dyDescent="0.3">
      <c r="A104" s="22" t="s">
        <v>90</v>
      </c>
    </row>
    <row r="105" spans="1:8" x14ac:dyDescent="0.3">
      <c r="A105" s="22" t="s">
        <v>57</v>
      </c>
      <c r="B105" t="s">
        <v>66</v>
      </c>
      <c r="C105" t="s">
        <v>58</v>
      </c>
      <c r="D105" t="s">
        <v>59</v>
      </c>
      <c r="E105" t="s">
        <v>60</v>
      </c>
      <c r="F105" t="s">
        <v>61</v>
      </c>
      <c r="G105" t="s">
        <v>62</v>
      </c>
      <c r="H105" t="s">
        <v>63</v>
      </c>
    </row>
    <row r="106" spans="1:8" x14ac:dyDescent="0.3">
      <c r="A106" s="22" t="s">
        <v>64</v>
      </c>
      <c r="B106" t="s">
        <v>67</v>
      </c>
      <c r="C106">
        <v>1080</v>
      </c>
      <c r="D106">
        <v>2000</v>
      </c>
      <c r="E106">
        <v>0</v>
      </c>
      <c r="F106">
        <v>3000</v>
      </c>
      <c r="G106">
        <v>5</v>
      </c>
      <c r="H106">
        <v>190</v>
      </c>
    </row>
    <row r="107" spans="1:8" x14ac:dyDescent="0.3">
      <c r="A107" s="22" t="s">
        <v>64</v>
      </c>
      <c r="B107" t="s">
        <v>68</v>
      </c>
      <c r="C107" s="26">
        <v>2877.892792792793</v>
      </c>
      <c r="D107">
        <v>2500</v>
      </c>
      <c r="E107">
        <v>0</v>
      </c>
      <c r="F107">
        <v>11000</v>
      </c>
      <c r="G107">
        <v>185</v>
      </c>
      <c r="H107">
        <v>190</v>
      </c>
    </row>
    <row r="109" spans="1:8" ht="86.4" x14ac:dyDescent="0.3">
      <c r="A109" s="22" t="s">
        <v>91</v>
      </c>
    </row>
    <row r="110" spans="1:8" x14ac:dyDescent="0.3">
      <c r="A110" s="22" t="s">
        <v>57</v>
      </c>
      <c r="B110" t="s">
        <v>66</v>
      </c>
      <c r="C110" t="s">
        <v>58</v>
      </c>
      <c r="D110" t="s">
        <v>59</v>
      </c>
      <c r="E110" t="s">
        <v>60</v>
      </c>
      <c r="F110" t="s">
        <v>61</v>
      </c>
      <c r="G110" t="s">
        <v>62</v>
      </c>
      <c r="H110" t="s">
        <v>63</v>
      </c>
    </row>
    <row r="111" spans="1:8" x14ac:dyDescent="0.3">
      <c r="A111" s="22" t="s">
        <v>64</v>
      </c>
      <c r="B111" t="s">
        <v>67</v>
      </c>
      <c r="C111" s="26">
        <v>2409.1444444444442</v>
      </c>
      <c r="D111">
        <v>2000</v>
      </c>
      <c r="E111">
        <v>0</v>
      </c>
      <c r="F111">
        <v>10000</v>
      </c>
      <c r="G111">
        <v>150</v>
      </c>
      <c r="H111">
        <v>190</v>
      </c>
    </row>
    <row r="112" spans="1:8" x14ac:dyDescent="0.3">
      <c r="A112" s="22" t="s">
        <v>64</v>
      </c>
      <c r="B112" t="s">
        <v>68</v>
      </c>
      <c r="C112" s="26">
        <v>4410.9624999999996</v>
      </c>
      <c r="D112">
        <v>4075</v>
      </c>
      <c r="E112">
        <v>0</v>
      </c>
      <c r="F112">
        <v>11000</v>
      </c>
      <c r="G112">
        <v>40</v>
      </c>
      <c r="H112">
        <v>190</v>
      </c>
    </row>
    <row r="114" spans="1:8" ht="72" x14ac:dyDescent="0.3">
      <c r="A114" s="22" t="s">
        <v>92</v>
      </c>
    </row>
    <row r="115" spans="1:8" x14ac:dyDescent="0.3">
      <c r="A115" s="22" t="s">
        <v>57</v>
      </c>
      <c r="B115" t="s">
        <v>66</v>
      </c>
      <c r="C115" t="s">
        <v>58</v>
      </c>
      <c r="D115" t="s">
        <v>59</v>
      </c>
      <c r="E115" t="s">
        <v>60</v>
      </c>
      <c r="F115" t="s">
        <v>61</v>
      </c>
      <c r="G115" t="s">
        <v>62</v>
      </c>
      <c r="H115" t="s">
        <v>63</v>
      </c>
    </row>
    <row r="116" spans="1:8" x14ac:dyDescent="0.3">
      <c r="A116" s="22" t="s">
        <v>64</v>
      </c>
      <c r="B116" t="s">
        <v>67</v>
      </c>
      <c r="C116" s="26">
        <v>2646.126931567328</v>
      </c>
      <c r="D116">
        <v>2500</v>
      </c>
      <c r="E116">
        <v>0</v>
      </c>
      <c r="F116">
        <v>11000</v>
      </c>
      <c r="G116">
        <v>151</v>
      </c>
      <c r="H116">
        <v>190</v>
      </c>
    </row>
    <row r="117" spans="1:8" x14ac:dyDescent="0.3">
      <c r="A117" s="22" t="s">
        <v>64</v>
      </c>
      <c r="B117" t="s">
        <v>68</v>
      </c>
      <c r="C117" s="26">
        <v>3544.7435897435898</v>
      </c>
      <c r="D117" s="26">
        <v>3333.3333333333298</v>
      </c>
      <c r="E117">
        <v>0</v>
      </c>
      <c r="F117" s="26">
        <v>8333.3333333333303</v>
      </c>
      <c r="G117">
        <v>39</v>
      </c>
      <c r="H117">
        <v>190</v>
      </c>
    </row>
    <row r="119" spans="1:8" ht="86.4" x14ac:dyDescent="0.3">
      <c r="A119" s="22" t="s">
        <v>93</v>
      </c>
    </row>
    <row r="120" spans="1:8" x14ac:dyDescent="0.3">
      <c r="A120" s="22" t="s">
        <v>57</v>
      </c>
      <c r="B120" t="s">
        <v>66</v>
      </c>
      <c r="C120" t="s">
        <v>58</v>
      </c>
      <c r="D120" t="s">
        <v>59</v>
      </c>
      <c r="E120" t="s">
        <v>60</v>
      </c>
      <c r="F120" t="s">
        <v>61</v>
      </c>
      <c r="G120" t="s">
        <v>62</v>
      </c>
      <c r="H120" t="s">
        <v>63</v>
      </c>
    </row>
    <row r="121" spans="1:8" x14ac:dyDescent="0.3">
      <c r="A121" s="22" t="s">
        <v>64</v>
      </c>
      <c r="B121" t="s">
        <v>67</v>
      </c>
      <c r="C121" s="26">
        <v>2982.8715277777778</v>
      </c>
      <c r="D121">
        <v>2725</v>
      </c>
      <c r="E121">
        <v>0</v>
      </c>
      <c r="F121">
        <v>11000</v>
      </c>
      <c r="G121">
        <v>144</v>
      </c>
      <c r="H121">
        <v>190</v>
      </c>
    </row>
    <row r="122" spans="1:8" x14ac:dyDescent="0.3">
      <c r="A122" s="22" t="s">
        <v>64</v>
      </c>
      <c r="B122" t="s">
        <v>68</v>
      </c>
      <c r="C122" s="26">
        <v>2353.840579710145</v>
      </c>
      <c r="D122">
        <v>2000</v>
      </c>
      <c r="E122">
        <v>0</v>
      </c>
      <c r="F122" s="26">
        <v>8333.3333333333303</v>
      </c>
      <c r="G122">
        <v>46</v>
      </c>
      <c r="H122">
        <v>190</v>
      </c>
    </row>
    <row r="124" spans="1:8" ht="86.4" x14ac:dyDescent="0.3">
      <c r="A124" s="22" t="s">
        <v>94</v>
      </c>
    </row>
    <row r="125" spans="1:8" x14ac:dyDescent="0.3">
      <c r="A125" s="22" t="s">
        <v>57</v>
      </c>
      <c r="B125" t="s">
        <v>66</v>
      </c>
      <c r="C125" t="s">
        <v>58</v>
      </c>
      <c r="D125" t="s">
        <v>59</v>
      </c>
      <c r="E125" t="s">
        <v>60</v>
      </c>
      <c r="F125" t="s">
        <v>61</v>
      </c>
      <c r="G125" t="s">
        <v>62</v>
      </c>
      <c r="H125" t="s">
        <v>63</v>
      </c>
    </row>
    <row r="126" spans="1:8" x14ac:dyDescent="0.3">
      <c r="A126" s="22" t="s">
        <v>64</v>
      </c>
      <c r="B126" t="s">
        <v>67</v>
      </c>
      <c r="C126" s="26">
        <v>2887.4397363465159</v>
      </c>
      <c r="D126">
        <v>2500</v>
      </c>
      <c r="E126">
        <v>0</v>
      </c>
      <c r="F126">
        <v>11000</v>
      </c>
      <c r="G126">
        <v>177</v>
      </c>
      <c r="H126">
        <v>190</v>
      </c>
    </row>
    <row r="127" spans="1:8" x14ac:dyDescent="0.3">
      <c r="A127" s="22" t="s">
        <v>64</v>
      </c>
      <c r="B127" t="s">
        <v>68</v>
      </c>
      <c r="C127" s="26">
        <v>2056.4102564102559</v>
      </c>
      <c r="D127">
        <v>2250</v>
      </c>
      <c r="E127">
        <v>0</v>
      </c>
      <c r="F127">
        <v>8000</v>
      </c>
      <c r="G127">
        <v>13</v>
      </c>
      <c r="H127">
        <v>190</v>
      </c>
    </row>
    <row r="129" spans="1:8" ht="86.4" x14ac:dyDescent="0.3">
      <c r="A129" s="22" t="s">
        <v>95</v>
      </c>
    </row>
    <row r="130" spans="1:8" x14ac:dyDescent="0.3">
      <c r="A130" s="22" t="s">
        <v>57</v>
      </c>
      <c r="B130" t="s">
        <v>66</v>
      </c>
      <c r="C130" t="s">
        <v>58</v>
      </c>
      <c r="D130" t="s">
        <v>59</v>
      </c>
      <c r="E130" t="s">
        <v>60</v>
      </c>
      <c r="F130" t="s">
        <v>61</v>
      </c>
      <c r="G130" t="s">
        <v>62</v>
      </c>
      <c r="H130" t="s">
        <v>63</v>
      </c>
    </row>
    <row r="131" spans="1:8" x14ac:dyDescent="0.3">
      <c r="A131" s="22" t="s">
        <v>64</v>
      </c>
      <c r="B131" t="s">
        <v>67</v>
      </c>
      <c r="C131" s="26">
        <v>2830.5798245614028</v>
      </c>
      <c r="D131">
        <v>2500</v>
      </c>
      <c r="E131">
        <v>0</v>
      </c>
      <c r="F131">
        <v>11000</v>
      </c>
      <c r="G131">
        <v>190</v>
      </c>
      <c r="H131">
        <v>190</v>
      </c>
    </row>
    <row r="133" spans="1:8" ht="72" x14ac:dyDescent="0.3">
      <c r="A133" s="22" t="s">
        <v>96</v>
      </c>
    </row>
    <row r="134" spans="1:8" x14ac:dyDescent="0.3">
      <c r="A134" s="22" t="s">
        <v>57</v>
      </c>
      <c r="B134" t="s">
        <v>66</v>
      </c>
      <c r="C134" t="s">
        <v>58</v>
      </c>
      <c r="D134" t="s">
        <v>59</v>
      </c>
      <c r="E134" t="s">
        <v>60</v>
      </c>
      <c r="F134" t="s">
        <v>61</v>
      </c>
      <c r="G134" t="s">
        <v>62</v>
      </c>
      <c r="H134" t="s">
        <v>63</v>
      </c>
    </row>
    <row r="135" spans="1:8" x14ac:dyDescent="0.3">
      <c r="A135" s="22" t="s">
        <v>64</v>
      </c>
      <c r="B135" t="s">
        <v>67</v>
      </c>
      <c r="C135" s="26">
        <v>2725.7097222222219</v>
      </c>
      <c r="D135">
        <v>2500</v>
      </c>
      <c r="E135">
        <v>0</v>
      </c>
      <c r="F135">
        <v>11000</v>
      </c>
      <c r="G135">
        <v>120</v>
      </c>
      <c r="H135">
        <v>190</v>
      </c>
    </row>
    <row r="136" spans="1:8" x14ac:dyDescent="0.3">
      <c r="A136" s="22" t="s">
        <v>64</v>
      </c>
      <c r="B136" t="s">
        <v>68</v>
      </c>
      <c r="C136" s="26">
        <v>3010.3571428571431</v>
      </c>
      <c r="D136">
        <v>2500</v>
      </c>
      <c r="E136">
        <v>0</v>
      </c>
      <c r="F136">
        <v>10000</v>
      </c>
      <c r="G136">
        <v>70</v>
      </c>
      <c r="H136">
        <v>190</v>
      </c>
    </row>
    <row r="138" spans="1:8" ht="86.4" x14ac:dyDescent="0.3">
      <c r="A138" s="22" t="s">
        <v>97</v>
      </c>
    </row>
    <row r="139" spans="1:8" x14ac:dyDescent="0.3">
      <c r="A139" s="22" t="s">
        <v>57</v>
      </c>
      <c r="B139" t="s">
        <v>66</v>
      </c>
      <c r="C139" t="s">
        <v>58</v>
      </c>
      <c r="D139" t="s">
        <v>59</v>
      </c>
      <c r="E139" t="s">
        <v>60</v>
      </c>
      <c r="F139" t="s">
        <v>61</v>
      </c>
      <c r="G139" t="s">
        <v>62</v>
      </c>
      <c r="H139" t="s">
        <v>63</v>
      </c>
    </row>
    <row r="140" spans="1:8" x14ac:dyDescent="0.3">
      <c r="A140" s="22" t="s">
        <v>64</v>
      </c>
      <c r="B140" t="s">
        <v>67</v>
      </c>
      <c r="C140" s="26">
        <v>2775.6929824561398</v>
      </c>
      <c r="D140">
        <v>2500</v>
      </c>
      <c r="E140">
        <v>0</v>
      </c>
      <c r="F140">
        <v>10000</v>
      </c>
      <c r="G140">
        <v>171</v>
      </c>
      <c r="H140">
        <v>190</v>
      </c>
    </row>
    <row r="141" spans="1:8" x14ac:dyDescent="0.3">
      <c r="A141" s="22" t="s">
        <v>64</v>
      </c>
      <c r="B141" t="s">
        <v>68</v>
      </c>
      <c r="C141" s="26">
        <v>3324.5614035087719</v>
      </c>
      <c r="D141" s="26">
        <v>2833.3333333333298</v>
      </c>
      <c r="E141">
        <v>0</v>
      </c>
      <c r="F141">
        <v>11000</v>
      </c>
      <c r="G141">
        <v>19</v>
      </c>
      <c r="H141">
        <v>190</v>
      </c>
    </row>
    <row r="143" spans="1:8" ht="72" x14ac:dyDescent="0.3">
      <c r="A143" s="22" t="s">
        <v>98</v>
      </c>
    </row>
    <row r="144" spans="1:8" x14ac:dyDescent="0.3">
      <c r="A144" s="22" t="s">
        <v>57</v>
      </c>
      <c r="B144" t="s">
        <v>66</v>
      </c>
      <c r="C144" t="s">
        <v>58</v>
      </c>
      <c r="D144" t="s">
        <v>59</v>
      </c>
      <c r="E144" t="s">
        <v>60</v>
      </c>
      <c r="F144" t="s">
        <v>61</v>
      </c>
      <c r="G144" t="s">
        <v>62</v>
      </c>
      <c r="H144" t="s">
        <v>63</v>
      </c>
    </row>
    <row r="145" spans="1:8" x14ac:dyDescent="0.3">
      <c r="A145" s="22" t="s">
        <v>64</v>
      </c>
      <c r="B145" t="s">
        <v>81</v>
      </c>
      <c r="C145" s="26">
        <v>3548.8867924528299</v>
      </c>
      <c r="D145">
        <v>4000</v>
      </c>
      <c r="E145">
        <v>0</v>
      </c>
      <c r="F145">
        <v>10000</v>
      </c>
      <c r="G145">
        <v>53</v>
      </c>
      <c r="H145">
        <v>190</v>
      </c>
    </row>
    <row r="146" spans="1:8" x14ac:dyDescent="0.3">
      <c r="A146" s="22" t="s">
        <v>64</v>
      </c>
      <c r="B146" t="s">
        <v>82</v>
      </c>
      <c r="C146" s="26">
        <v>3279.375</v>
      </c>
      <c r="D146">
        <v>2500</v>
      </c>
      <c r="E146">
        <v>0</v>
      </c>
      <c r="F146">
        <v>11000</v>
      </c>
      <c r="G146">
        <v>44</v>
      </c>
      <c r="H146">
        <v>190</v>
      </c>
    </row>
    <row r="147" spans="1:8" x14ac:dyDescent="0.3">
      <c r="A147" s="22" t="s">
        <v>64</v>
      </c>
      <c r="B147" t="s">
        <v>83</v>
      </c>
      <c r="C147" s="26">
        <v>2475.0347222222222</v>
      </c>
      <c r="D147">
        <v>2000</v>
      </c>
      <c r="E147">
        <v>0</v>
      </c>
      <c r="F147" s="26">
        <v>8333.3333333333303</v>
      </c>
      <c r="G147">
        <v>48</v>
      </c>
      <c r="H147">
        <v>190</v>
      </c>
    </row>
    <row r="148" spans="1:8" x14ac:dyDescent="0.3">
      <c r="A148" s="22" t="s">
        <v>64</v>
      </c>
      <c r="B148" t="s">
        <v>84</v>
      </c>
      <c r="C148">
        <v>1925</v>
      </c>
      <c r="D148">
        <v>1625</v>
      </c>
      <c r="E148">
        <v>0</v>
      </c>
      <c r="F148">
        <v>6500</v>
      </c>
      <c r="G148">
        <v>45</v>
      </c>
      <c r="H148">
        <v>190</v>
      </c>
    </row>
    <row r="150" spans="1:8" ht="57.6" x14ac:dyDescent="0.3">
      <c r="A150" s="22" t="s">
        <v>99</v>
      </c>
    </row>
    <row r="151" spans="1:8" x14ac:dyDescent="0.3">
      <c r="A151" s="22" t="s">
        <v>57</v>
      </c>
      <c r="B151" t="s">
        <v>58</v>
      </c>
      <c r="C151" t="s">
        <v>59</v>
      </c>
      <c r="D151" t="s">
        <v>60</v>
      </c>
      <c r="E151" t="s">
        <v>61</v>
      </c>
      <c r="F151" t="s">
        <v>62</v>
      </c>
      <c r="G151" t="s">
        <v>63</v>
      </c>
    </row>
    <row r="152" spans="1:8" x14ac:dyDescent="0.3">
      <c r="A152" s="22" t="s">
        <v>64</v>
      </c>
      <c r="B152" s="26">
        <v>7697.8292682926831</v>
      </c>
      <c r="C152">
        <v>7000</v>
      </c>
      <c r="D152">
        <v>0</v>
      </c>
      <c r="E152">
        <v>26000</v>
      </c>
      <c r="F152">
        <v>123</v>
      </c>
      <c r="G152">
        <v>123</v>
      </c>
    </row>
    <row r="154" spans="1:8" ht="72" x14ac:dyDescent="0.3">
      <c r="A154" s="22" t="s">
        <v>100</v>
      </c>
    </row>
    <row r="155" spans="1:8" x14ac:dyDescent="0.3">
      <c r="A155" s="22" t="s">
        <v>57</v>
      </c>
      <c r="B155" t="s">
        <v>66</v>
      </c>
      <c r="C155" t="s">
        <v>58</v>
      </c>
      <c r="D155" t="s">
        <v>59</v>
      </c>
      <c r="E155" t="s">
        <v>60</v>
      </c>
      <c r="F155" t="s">
        <v>61</v>
      </c>
      <c r="G155" t="s">
        <v>62</v>
      </c>
      <c r="H155" t="s">
        <v>63</v>
      </c>
    </row>
    <row r="156" spans="1:8" x14ac:dyDescent="0.3">
      <c r="A156" s="22" t="s">
        <v>64</v>
      </c>
      <c r="B156" t="s">
        <v>67</v>
      </c>
      <c r="C156" s="26">
        <v>7731.0512820512822</v>
      </c>
      <c r="D156">
        <v>7000</v>
      </c>
      <c r="E156">
        <v>0</v>
      </c>
      <c r="F156">
        <v>26000</v>
      </c>
      <c r="G156">
        <v>117</v>
      </c>
      <c r="H156">
        <v>123</v>
      </c>
    </row>
    <row r="157" spans="1:8" x14ac:dyDescent="0.3">
      <c r="A157" s="22" t="s">
        <v>64</v>
      </c>
      <c r="B157" t="s">
        <v>68</v>
      </c>
      <c r="C157">
        <v>7050</v>
      </c>
      <c r="D157">
        <v>5200</v>
      </c>
      <c r="E157">
        <v>0</v>
      </c>
      <c r="F157">
        <v>16000</v>
      </c>
      <c r="G157">
        <v>6</v>
      </c>
      <c r="H157">
        <v>123</v>
      </c>
    </row>
    <row r="159" spans="1:8" x14ac:dyDescent="0.3">
      <c r="A159"/>
    </row>
    <row r="160" spans="1:8" x14ac:dyDescent="0.3">
      <c r="A160"/>
    </row>
    <row r="161" spans="1:8" x14ac:dyDescent="0.3">
      <c r="A161"/>
    </row>
    <row r="163" spans="1:8" ht="72" x14ac:dyDescent="0.3">
      <c r="A163" s="22" t="s">
        <v>101</v>
      </c>
    </row>
    <row r="164" spans="1:8" x14ac:dyDescent="0.3">
      <c r="A164" s="22" t="s">
        <v>57</v>
      </c>
      <c r="B164" t="s">
        <v>66</v>
      </c>
      <c r="C164" t="s">
        <v>58</v>
      </c>
      <c r="D164" t="s">
        <v>59</v>
      </c>
      <c r="E164" t="s">
        <v>60</v>
      </c>
      <c r="F164" t="s">
        <v>61</v>
      </c>
      <c r="G164" t="s">
        <v>62</v>
      </c>
      <c r="H164" t="s">
        <v>63</v>
      </c>
    </row>
    <row r="165" spans="1:8" x14ac:dyDescent="0.3">
      <c r="A165" s="22" t="s">
        <v>64</v>
      </c>
      <c r="B165" t="s">
        <v>67</v>
      </c>
      <c r="C165" s="26">
        <v>7513.4444444444443</v>
      </c>
      <c r="D165">
        <v>7000</v>
      </c>
      <c r="E165">
        <v>0</v>
      </c>
      <c r="F165">
        <v>26000</v>
      </c>
      <c r="G165">
        <v>117</v>
      </c>
      <c r="H165">
        <v>123</v>
      </c>
    </row>
    <row r="166" spans="1:8" x14ac:dyDescent="0.3">
      <c r="A166" s="22" t="s">
        <v>64</v>
      </c>
      <c r="B166" t="s">
        <v>68</v>
      </c>
      <c r="C166" s="26">
        <v>11293.33333333333</v>
      </c>
      <c r="D166">
        <v>8000</v>
      </c>
      <c r="E166">
        <v>5000</v>
      </c>
      <c r="F166">
        <v>20000</v>
      </c>
      <c r="G166">
        <v>6</v>
      </c>
      <c r="H166">
        <v>123</v>
      </c>
    </row>
    <row r="168" spans="1:8" ht="72" x14ac:dyDescent="0.3">
      <c r="A168" s="22" t="s">
        <v>102</v>
      </c>
    </row>
    <row r="169" spans="1:8" x14ac:dyDescent="0.3">
      <c r="A169" s="22" t="s">
        <v>57</v>
      </c>
      <c r="B169" t="s">
        <v>66</v>
      </c>
      <c r="C169" t="s">
        <v>58</v>
      </c>
      <c r="D169" t="s">
        <v>59</v>
      </c>
      <c r="E169" t="s">
        <v>60</v>
      </c>
      <c r="F169" t="s">
        <v>61</v>
      </c>
      <c r="G169" t="s">
        <v>62</v>
      </c>
      <c r="H169" t="s">
        <v>63</v>
      </c>
    </row>
    <row r="170" spans="1:8" x14ac:dyDescent="0.3">
      <c r="A170" s="22" t="s">
        <v>64</v>
      </c>
      <c r="B170" t="s">
        <v>67</v>
      </c>
      <c r="C170" s="26">
        <v>7688.7950819672133</v>
      </c>
      <c r="D170">
        <v>6980</v>
      </c>
      <c r="E170">
        <v>0</v>
      </c>
      <c r="F170">
        <v>26000</v>
      </c>
      <c r="G170">
        <v>122</v>
      </c>
      <c r="H170">
        <v>123</v>
      </c>
    </row>
    <row r="171" spans="1:8" x14ac:dyDescent="0.3">
      <c r="A171" s="22" t="s">
        <v>64</v>
      </c>
      <c r="B171" t="s">
        <v>68</v>
      </c>
      <c r="C171">
        <v>8800</v>
      </c>
      <c r="D171">
        <v>8800</v>
      </c>
      <c r="E171">
        <v>8800</v>
      </c>
      <c r="F171">
        <v>8800</v>
      </c>
      <c r="G171">
        <v>1</v>
      </c>
      <c r="H171">
        <v>123</v>
      </c>
    </row>
    <row r="173" spans="1:8" ht="72" x14ac:dyDescent="0.3">
      <c r="A173" s="22" t="s">
        <v>103</v>
      </c>
    </row>
    <row r="174" spans="1:8" x14ac:dyDescent="0.3">
      <c r="A174" s="22" t="s">
        <v>57</v>
      </c>
      <c r="B174" t="s">
        <v>66</v>
      </c>
      <c r="C174" t="s">
        <v>58</v>
      </c>
      <c r="D174" t="s">
        <v>59</v>
      </c>
      <c r="E174" t="s">
        <v>60</v>
      </c>
      <c r="F174" t="s">
        <v>61</v>
      </c>
      <c r="G174" t="s">
        <v>62</v>
      </c>
      <c r="H174" t="s">
        <v>63</v>
      </c>
    </row>
    <row r="175" spans="1:8" x14ac:dyDescent="0.3">
      <c r="A175" s="22" t="s">
        <v>64</v>
      </c>
      <c r="B175" t="s">
        <v>67</v>
      </c>
      <c r="C175" s="26">
        <v>7381.8684210526317</v>
      </c>
      <c r="D175">
        <v>6500</v>
      </c>
      <c r="E175">
        <v>0</v>
      </c>
      <c r="F175">
        <v>26000</v>
      </c>
      <c r="G175">
        <v>114</v>
      </c>
      <c r="H175">
        <v>123</v>
      </c>
    </row>
    <row r="176" spans="1:8" x14ac:dyDescent="0.3">
      <c r="A176" s="22" t="s">
        <v>64</v>
      </c>
      <c r="B176" t="s">
        <v>68</v>
      </c>
      <c r="C176">
        <v>11700</v>
      </c>
      <c r="D176">
        <v>12000</v>
      </c>
      <c r="E176">
        <v>2000</v>
      </c>
      <c r="F176">
        <v>20000</v>
      </c>
      <c r="G176">
        <v>9</v>
      </c>
      <c r="H176">
        <v>123</v>
      </c>
    </row>
    <row r="178" spans="1:8" ht="72" x14ac:dyDescent="0.3">
      <c r="A178" s="22" t="s">
        <v>104</v>
      </c>
    </row>
    <row r="179" spans="1:8" x14ac:dyDescent="0.3">
      <c r="A179" s="22" t="s">
        <v>57</v>
      </c>
      <c r="B179" t="s">
        <v>66</v>
      </c>
      <c r="C179" t="s">
        <v>58</v>
      </c>
      <c r="D179" t="s">
        <v>59</v>
      </c>
      <c r="E179" t="s">
        <v>60</v>
      </c>
      <c r="F179" t="s">
        <v>61</v>
      </c>
      <c r="G179" t="s">
        <v>62</v>
      </c>
      <c r="H179" t="s">
        <v>63</v>
      </c>
    </row>
    <row r="180" spans="1:8" x14ac:dyDescent="0.3">
      <c r="A180" s="22" t="s">
        <v>64</v>
      </c>
      <c r="B180" t="s">
        <v>67</v>
      </c>
      <c r="C180">
        <v>3715</v>
      </c>
      <c r="D180">
        <v>860</v>
      </c>
      <c r="E180">
        <v>0</v>
      </c>
      <c r="F180">
        <v>8000</v>
      </c>
      <c r="G180">
        <v>4</v>
      </c>
      <c r="H180">
        <v>123</v>
      </c>
    </row>
    <row r="181" spans="1:8" x14ac:dyDescent="0.3">
      <c r="A181" s="22" t="s">
        <v>64</v>
      </c>
      <c r="B181" t="s">
        <v>68</v>
      </c>
      <c r="C181" s="26">
        <v>7831.7058823529414</v>
      </c>
      <c r="D181">
        <v>7000</v>
      </c>
      <c r="E181">
        <v>0</v>
      </c>
      <c r="F181">
        <v>26000</v>
      </c>
      <c r="G181">
        <v>119</v>
      </c>
      <c r="H181">
        <v>123</v>
      </c>
    </row>
    <row r="183" spans="1:8" ht="72" x14ac:dyDescent="0.3">
      <c r="A183" s="22" t="s">
        <v>105</v>
      </c>
    </row>
    <row r="184" spans="1:8" x14ac:dyDescent="0.3">
      <c r="A184" s="22" t="s">
        <v>57</v>
      </c>
      <c r="B184" t="s">
        <v>66</v>
      </c>
      <c r="C184" t="s">
        <v>58</v>
      </c>
      <c r="D184" t="s">
        <v>59</v>
      </c>
      <c r="E184" t="s">
        <v>60</v>
      </c>
      <c r="F184" t="s">
        <v>61</v>
      </c>
      <c r="G184" t="s">
        <v>62</v>
      </c>
      <c r="H184" t="s">
        <v>63</v>
      </c>
    </row>
    <row r="185" spans="1:8" x14ac:dyDescent="0.3">
      <c r="A185" s="22" t="s">
        <v>64</v>
      </c>
      <c r="B185" t="s">
        <v>67</v>
      </c>
      <c r="C185" s="26">
        <v>7656.15</v>
      </c>
      <c r="D185">
        <v>6980</v>
      </c>
      <c r="E185">
        <v>0</v>
      </c>
      <c r="F185">
        <v>26000</v>
      </c>
      <c r="G185">
        <v>100</v>
      </c>
      <c r="H185">
        <v>123</v>
      </c>
    </row>
    <row r="186" spans="1:8" x14ac:dyDescent="0.3">
      <c r="A186" s="22" t="s">
        <v>64</v>
      </c>
      <c r="B186" t="s">
        <v>68</v>
      </c>
      <c r="C186" s="26">
        <v>7879.04347826087</v>
      </c>
      <c r="D186">
        <v>8000</v>
      </c>
      <c r="E186">
        <v>1500</v>
      </c>
      <c r="F186">
        <v>22000</v>
      </c>
      <c r="G186">
        <v>23</v>
      </c>
      <c r="H186">
        <v>123</v>
      </c>
    </row>
    <row r="188" spans="1:8" ht="72" x14ac:dyDescent="0.3">
      <c r="A188" s="22" t="s">
        <v>106</v>
      </c>
    </row>
    <row r="189" spans="1:8" x14ac:dyDescent="0.3">
      <c r="A189" s="22" t="s">
        <v>57</v>
      </c>
      <c r="B189" t="s">
        <v>66</v>
      </c>
      <c r="C189" t="s">
        <v>58</v>
      </c>
      <c r="D189" t="s">
        <v>59</v>
      </c>
      <c r="E189" t="s">
        <v>60</v>
      </c>
      <c r="F189" t="s">
        <v>61</v>
      </c>
      <c r="G189" t="s">
        <v>62</v>
      </c>
      <c r="H189" t="s">
        <v>63</v>
      </c>
    </row>
    <row r="190" spans="1:8" x14ac:dyDescent="0.3">
      <c r="A190" s="22" t="s">
        <v>64</v>
      </c>
      <c r="B190" t="s">
        <v>67</v>
      </c>
      <c r="C190" s="26">
        <v>8215.8673469387759</v>
      </c>
      <c r="D190">
        <v>7767</v>
      </c>
      <c r="E190">
        <v>0</v>
      </c>
      <c r="F190">
        <v>26000</v>
      </c>
      <c r="G190">
        <v>98</v>
      </c>
      <c r="H190">
        <v>123</v>
      </c>
    </row>
    <row r="191" spans="1:8" x14ac:dyDescent="0.3">
      <c r="A191" s="22" t="s">
        <v>64</v>
      </c>
      <c r="B191" t="s">
        <v>68</v>
      </c>
      <c r="C191" s="26">
        <v>5667.12</v>
      </c>
      <c r="D191">
        <v>6000</v>
      </c>
      <c r="E191">
        <v>860</v>
      </c>
      <c r="F191">
        <v>16000</v>
      </c>
      <c r="G191">
        <v>25</v>
      </c>
      <c r="H191">
        <v>123</v>
      </c>
    </row>
    <row r="193" spans="1:8" ht="86.4" x14ac:dyDescent="0.3">
      <c r="A193" s="22" t="s">
        <v>107</v>
      </c>
    </row>
    <row r="194" spans="1:8" x14ac:dyDescent="0.3">
      <c r="A194" s="22" t="s">
        <v>57</v>
      </c>
      <c r="B194" t="s">
        <v>66</v>
      </c>
      <c r="C194" t="s">
        <v>58</v>
      </c>
      <c r="D194" t="s">
        <v>59</v>
      </c>
      <c r="E194" t="s">
        <v>60</v>
      </c>
      <c r="F194" t="s">
        <v>61</v>
      </c>
      <c r="G194" t="s">
        <v>62</v>
      </c>
      <c r="H194" t="s">
        <v>63</v>
      </c>
    </row>
    <row r="195" spans="1:8" x14ac:dyDescent="0.3">
      <c r="A195" s="22" t="s">
        <v>64</v>
      </c>
      <c r="B195" t="s">
        <v>67</v>
      </c>
      <c r="C195" s="26">
        <v>8429.0543478260861</v>
      </c>
      <c r="D195">
        <v>7800</v>
      </c>
      <c r="E195">
        <v>0</v>
      </c>
      <c r="F195">
        <v>26000</v>
      </c>
      <c r="G195">
        <v>92</v>
      </c>
      <c r="H195">
        <v>123</v>
      </c>
    </row>
    <row r="196" spans="1:8" x14ac:dyDescent="0.3">
      <c r="A196" s="22" t="s">
        <v>64</v>
      </c>
      <c r="B196" t="s">
        <v>68</v>
      </c>
      <c r="C196" s="26">
        <v>5527.7419354838712</v>
      </c>
      <c r="D196">
        <v>6000</v>
      </c>
      <c r="E196">
        <v>0</v>
      </c>
      <c r="F196">
        <v>16000</v>
      </c>
      <c r="G196">
        <v>31</v>
      </c>
      <c r="H196">
        <v>123</v>
      </c>
    </row>
    <row r="198" spans="1:8" ht="86.4" x14ac:dyDescent="0.3">
      <c r="A198" s="22" t="s">
        <v>108</v>
      </c>
    </row>
    <row r="199" spans="1:8" x14ac:dyDescent="0.3">
      <c r="A199" s="22" t="s">
        <v>57</v>
      </c>
      <c r="B199" t="s">
        <v>66</v>
      </c>
      <c r="C199" t="s">
        <v>58</v>
      </c>
      <c r="D199" t="s">
        <v>59</v>
      </c>
      <c r="E199" t="s">
        <v>60</v>
      </c>
      <c r="F199" t="s">
        <v>61</v>
      </c>
      <c r="G199" t="s">
        <v>62</v>
      </c>
      <c r="H199" t="s">
        <v>63</v>
      </c>
    </row>
    <row r="200" spans="1:8" x14ac:dyDescent="0.3">
      <c r="A200" s="22" t="s">
        <v>64</v>
      </c>
      <c r="B200" t="s">
        <v>67</v>
      </c>
      <c r="C200" s="26">
        <v>8026.7232142857147</v>
      </c>
      <c r="D200">
        <v>7000</v>
      </c>
      <c r="E200">
        <v>0</v>
      </c>
      <c r="F200">
        <v>26000</v>
      </c>
      <c r="G200">
        <v>112</v>
      </c>
      <c r="H200">
        <v>123</v>
      </c>
    </row>
    <row r="201" spans="1:8" x14ac:dyDescent="0.3">
      <c r="A201" s="22" t="s">
        <v>64</v>
      </c>
      <c r="B201" t="s">
        <v>68</v>
      </c>
      <c r="C201" s="26">
        <v>4349.090909090909</v>
      </c>
      <c r="D201">
        <v>4500</v>
      </c>
      <c r="E201">
        <v>0</v>
      </c>
      <c r="F201">
        <v>12000</v>
      </c>
      <c r="G201">
        <v>11</v>
      </c>
      <c r="H201">
        <v>123</v>
      </c>
    </row>
    <row r="203" spans="1:8" ht="86.4" x14ac:dyDescent="0.3">
      <c r="A203" s="22" t="s">
        <v>109</v>
      </c>
    </row>
    <row r="204" spans="1:8" x14ac:dyDescent="0.3">
      <c r="A204" s="22" t="s">
        <v>57</v>
      </c>
      <c r="B204" t="s">
        <v>66</v>
      </c>
      <c r="C204" t="s">
        <v>58</v>
      </c>
      <c r="D204" t="s">
        <v>59</v>
      </c>
      <c r="E204" t="s">
        <v>60</v>
      </c>
      <c r="F204" t="s">
        <v>61</v>
      </c>
      <c r="G204" t="s">
        <v>62</v>
      </c>
      <c r="H204" t="s">
        <v>63</v>
      </c>
    </row>
    <row r="205" spans="1:8" x14ac:dyDescent="0.3">
      <c r="A205" s="22" t="s">
        <v>64</v>
      </c>
      <c r="B205" t="s">
        <v>67</v>
      </c>
      <c r="C205" s="26">
        <v>7697.8292682926831</v>
      </c>
      <c r="D205">
        <v>7000</v>
      </c>
      <c r="E205">
        <v>0</v>
      </c>
      <c r="F205">
        <v>26000</v>
      </c>
      <c r="G205">
        <v>123</v>
      </c>
      <c r="H205">
        <v>123</v>
      </c>
    </row>
    <row r="207" spans="1:8" ht="72" x14ac:dyDescent="0.3">
      <c r="A207" s="22" t="s">
        <v>110</v>
      </c>
    </row>
    <row r="208" spans="1:8" x14ac:dyDescent="0.3">
      <c r="A208" s="22" t="s">
        <v>57</v>
      </c>
      <c r="B208" t="s">
        <v>66</v>
      </c>
      <c r="C208" t="s">
        <v>58</v>
      </c>
      <c r="D208" t="s">
        <v>59</v>
      </c>
      <c r="E208" t="s">
        <v>60</v>
      </c>
      <c r="F208" t="s">
        <v>61</v>
      </c>
      <c r="G208" t="s">
        <v>62</v>
      </c>
      <c r="H208" t="s">
        <v>63</v>
      </c>
    </row>
    <row r="209" spans="1:8" x14ac:dyDescent="0.3">
      <c r="A209" s="22" t="s">
        <v>64</v>
      </c>
      <c r="B209" t="s">
        <v>67</v>
      </c>
      <c r="C209" s="26">
        <v>7436.708333333333</v>
      </c>
      <c r="D209">
        <v>6500</v>
      </c>
      <c r="E209">
        <v>0</v>
      </c>
      <c r="F209">
        <v>26000</v>
      </c>
      <c r="G209">
        <v>72</v>
      </c>
      <c r="H209">
        <v>123</v>
      </c>
    </row>
    <row r="210" spans="1:8" x14ac:dyDescent="0.3">
      <c r="A210" s="22" t="s">
        <v>64</v>
      </c>
      <c r="B210" t="s">
        <v>68</v>
      </c>
      <c r="C210" s="26">
        <v>8066.4705882352937</v>
      </c>
      <c r="D210">
        <v>8000</v>
      </c>
      <c r="E210">
        <v>0</v>
      </c>
      <c r="F210">
        <v>22000</v>
      </c>
      <c r="G210">
        <v>51</v>
      </c>
      <c r="H210">
        <v>123</v>
      </c>
    </row>
    <row r="212" spans="1:8" ht="86.4" x14ac:dyDescent="0.3">
      <c r="A212" s="22" t="s">
        <v>111</v>
      </c>
    </row>
    <row r="213" spans="1:8" x14ac:dyDescent="0.3">
      <c r="A213" s="22" t="s">
        <v>57</v>
      </c>
      <c r="B213" t="s">
        <v>66</v>
      </c>
      <c r="C213" t="s">
        <v>58</v>
      </c>
      <c r="D213" t="s">
        <v>59</v>
      </c>
      <c r="E213" t="s">
        <v>60</v>
      </c>
      <c r="F213" t="s">
        <v>61</v>
      </c>
      <c r="G213" t="s">
        <v>62</v>
      </c>
      <c r="H213" t="s">
        <v>63</v>
      </c>
    </row>
    <row r="214" spans="1:8" x14ac:dyDescent="0.3">
      <c r="A214" s="22" t="s">
        <v>64</v>
      </c>
      <c r="B214" t="s">
        <v>67</v>
      </c>
      <c r="C214" s="26">
        <v>7799.5648148148148</v>
      </c>
      <c r="D214">
        <v>6600</v>
      </c>
      <c r="E214">
        <v>0</v>
      </c>
      <c r="F214">
        <v>26000</v>
      </c>
      <c r="G214">
        <v>108</v>
      </c>
      <c r="H214">
        <v>123</v>
      </c>
    </row>
    <row r="215" spans="1:8" x14ac:dyDescent="0.3">
      <c r="A215" s="22" t="s">
        <v>64</v>
      </c>
      <c r="B215" t="s">
        <v>68</v>
      </c>
      <c r="C215" s="26">
        <v>6965.333333333333</v>
      </c>
      <c r="D215">
        <v>8000</v>
      </c>
      <c r="E215">
        <v>0</v>
      </c>
      <c r="F215">
        <v>12000</v>
      </c>
      <c r="G215">
        <v>15</v>
      </c>
      <c r="H215">
        <v>123</v>
      </c>
    </row>
    <row r="217" spans="1:8" ht="72" x14ac:dyDescent="0.3">
      <c r="A217" s="22" t="s">
        <v>112</v>
      </c>
    </row>
    <row r="218" spans="1:8" x14ac:dyDescent="0.3">
      <c r="A218" s="22" t="s">
        <v>57</v>
      </c>
      <c r="B218" t="s">
        <v>66</v>
      </c>
      <c r="C218" t="s">
        <v>58</v>
      </c>
      <c r="D218" t="s">
        <v>59</v>
      </c>
      <c r="E218" t="s">
        <v>60</v>
      </c>
      <c r="F218" t="s">
        <v>61</v>
      </c>
      <c r="G218" t="s">
        <v>62</v>
      </c>
      <c r="H218" t="s">
        <v>63</v>
      </c>
    </row>
    <row r="219" spans="1:8" x14ac:dyDescent="0.3">
      <c r="A219" s="22" t="s">
        <v>64</v>
      </c>
      <c r="B219" t="s">
        <v>81</v>
      </c>
      <c r="C219" s="26">
        <v>8323.0357142857138</v>
      </c>
      <c r="D219">
        <v>7000</v>
      </c>
      <c r="E219">
        <v>0</v>
      </c>
      <c r="F219">
        <v>20000</v>
      </c>
      <c r="G219">
        <v>28</v>
      </c>
      <c r="H219">
        <v>123</v>
      </c>
    </row>
    <row r="220" spans="1:8" x14ac:dyDescent="0.3">
      <c r="A220" s="22" t="s">
        <v>64</v>
      </c>
      <c r="B220" t="s">
        <v>82</v>
      </c>
      <c r="C220" s="26">
        <v>6964.545454545455</v>
      </c>
      <c r="D220">
        <v>6000</v>
      </c>
      <c r="E220">
        <v>0</v>
      </c>
      <c r="F220">
        <v>22000</v>
      </c>
      <c r="G220">
        <v>33</v>
      </c>
      <c r="H220">
        <v>123</v>
      </c>
    </row>
    <row r="221" spans="1:8" x14ac:dyDescent="0.3">
      <c r="A221" s="22" t="s">
        <v>64</v>
      </c>
      <c r="B221" t="s">
        <v>83</v>
      </c>
      <c r="C221" s="26">
        <v>7811.8125</v>
      </c>
      <c r="D221">
        <v>6400</v>
      </c>
      <c r="E221">
        <v>0</v>
      </c>
      <c r="F221">
        <v>26000</v>
      </c>
      <c r="G221">
        <v>32</v>
      </c>
      <c r="H221">
        <v>123</v>
      </c>
    </row>
    <row r="222" spans="1:8" x14ac:dyDescent="0.3">
      <c r="A222" s="22" t="s">
        <v>64</v>
      </c>
      <c r="B222" t="s">
        <v>84</v>
      </c>
      <c r="C222" s="26">
        <v>7799.333333333333</v>
      </c>
      <c r="D222">
        <v>8000</v>
      </c>
      <c r="E222">
        <v>0</v>
      </c>
      <c r="F222">
        <v>18000</v>
      </c>
      <c r="G222">
        <v>30</v>
      </c>
      <c r="H222">
        <v>123</v>
      </c>
    </row>
    <row r="224" spans="1:8" ht="57.6" x14ac:dyDescent="0.3">
      <c r="A224" s="22" t="s">
        <v>113</v>
      </c>
    </row>
    <row r="225" spans="1:8" x14ac:dyDescent="0.3">
      <c r="A225" s="22" t="s">
        <v>57</v>
      </c>
      <c r="B225" t="s">
        <v>58</v>
      </c>
      <c r="C225" t="s">
        <v>59</v>
      </c>
      <c r="D225" t="s">
        <v>60</v>
      </c>
      <c r="E225" t="s">
        <v>61</v>
      </c>
      <c r="F225" t="s">
        <v>62</v>
      </c>
      <c r="G225" t="s">
        <v>63</v>
      </c>
    </row>
    <row r="226" spans="1:8" x14ac:dyDescent="0.3">
      <c r="A226" s="22" t="s">
        <v>64</v>
      </c>
      <c r="B226">
        <v>3114.964227642276</v>
      </c>
      <c r="C226">
        <v>2750</v>
      </c>
      <c r="D226">
        <v>0</v>
      </c>
      <c r="E226">
        <v>11000</v>
      </c>
      <c r="F226">
        <v>123</v>
      </c>
      <c r="G226">
        <v>123</v>
      </c>
    </row>
    <row r="228" spans="1:8" ht="86.4" x14ac:dyDescent="0.3">
      <c r="A228" s="22" t="s">
        <v>114</v>
      </c>
    </row>
    <row r="229" spans="1:8" x14ac:dyDescent="0.3">
      <c r="A229" s="22" t="s">
        <v>57</v>
      </c>
      <c r="B229" t="s">
        <v>66</v>
      </c>
      <c r="C229" t="s">
        <v>58</v>
      </c>
      <c r="D229" t="s">
        <v>59</v>
      </c>
      <c r="E229" t="s">
        <v>60</v>
      </c>
      <c r="F229" t="s">
        <v>61</v>
      </c>
      <c r="G229" t="s">
        <v>62</v>
      </c>
      <c r="H229" t="s">
        <v>63</v>
      </c>
    </row>
    <row r="230" spans="1:8" x14ac:dyDescent="0.3">
      <c r="A230" s="22" t="s">
        <v>64</v>
      </c>
      <c r="B230" t="s">
        <v>67</v>
      </c>
      <c r="C230" s="26">
        <v>3213.4524216524219</v>
      </c>
      <c r="D230">
        <v>2900</v>
      </c>
      <c r="E230">
        <v>0</v>
      </c>
      <c r="F230">
        <v>11000</v>
      </c>
      <c r="G230">
        <v>117</v>
      </c>
      <c r="H230">
        <v>123</v>
      </c>
    </row>
    <row r="231" spans="1:8" x14ac:dyDescent="0.3">
      <c r="A231" s="22" t="s">
        <v>64</v>
      </c>
      <c r="B231" t="s">
        <v>68</v>
      </c>
      <c r="C231" s="26">
        <v>1194.444444444445</v>
      </c>
      <c r="D231">
        <v>1300</v>
      </c>
      <c r="E231">
        <v>0</v>
      </c>
      <c r="F231">
        <v>2250</v>
      </c>
      <c r="G231">
        <v>6</v>
      </c>
      <c r="H231">
        <v>123</v>
      </c>
    </row>
    <row r="233" spans="1:8" x14ac:dyDescent="0.3">
      <c r="A233"/>
    </row>
    <row r="234" spans="1:8" x14ac:dyDescent="0.3">
      <c r="A234"/>
    </row>
    <row r="235" spans="1:8" x14ac:dyDescent="0.3">
      <c r="A235"/>
    </row>
    <row r="237" spans="1:8" ht="72" x14ac:dyDescent="0.3">
      <c r="A237" s="22" t="s">
        <v>115</v>
      </c>
    </row>
    <row r="238" spans="1:8" x14ac:dyDescent="0.3">
      <c r="A238" s="22" t="s">
        <v>57</v>
      </c>
      <c r="B238" t="s">
        <v>66</v>
      </c>
      <c r="C238" t="s">
        <v>58</v>
      </c>
      <c r="D238" t="s">
        <v>59</v>
      </c>
      <c r="E238" t="s">
        <v>60</v>
      </c>
      <c r="F238" t="s">
        <v>61</v>
      </c>
      <c r="G238" t="s">
        <v>62</v>
      </c>
      <c r="H238" t="s">
        <v>63</v>
      </c>
    </row>
    <row r="239" spans="1:8" x14ac:dyDescent="0.3">
      <c r="A239" s="22" t="s">
        <v>64</v>
      </c>
      <c r="B239" t="s">
        <v>67</v>
      </c>
      <c r="C239" s="26">
        <v>3134.9054131054131</v>
      </c>
      <c r="D239">
        <v>2800</v>
      </c>
      <c r="E239">
        <v>0</v>
      </c>
      <c r="F239">
        <v>11000</v>
      </c>
      <c r="G239">
        <v>117</v>
      </c>
      <c r="H239">
        <v>123</v>
      </c>
    </row>
    <row r="240" spans="1:8" x14ac:dyDescent="0.3">
      <c r="A240" s="22" t="s">
        <v>64</v>
      </c>
      <c r="B240" t="s">
        <v>68</v>
      </c>
      <c r="C240" s="26">
        <v>2726.1111111111122</v>
      </c>
      <c r="D240">
        <v>2000</v>
      </c>
      <c r="E240">
        <v>1475</v>
      </c>
      <c r="F240">
        <v>4715</v>
      </c>
      <c r="G240">
        <v>6</v>
      </c>
      <c r="H240">
        <v>123</v>
      </c>
    </row>
    <row r="242" spans="1:8" ht="72" x14ac:dyDescent="0.3">
      <c r="A242" s="22" t="s">
        <v>116</v>
      </c>
    </row>
    <row r="243" spans="1:8" x14ac:dyDescent="0.3">
      <c r="A243" s="22" t="s">
        <v>57</v>
      </c>
      <c r="B243" t="s">
        <v>66</v>
      </c>
      <c r="C243" t="s">
        <v>58</v>
      </c>
      <c r="D243" t="s">
        <v>59</v>
      </c>
      <c r="E243" t="s">
        <v>60</v>
      </c>
      <c r="F243" t="s">
        <v>61</v>
      </c>
      <c r="G243" t="s">
        <v>62</v>
      </c>
      <c r="H243" t="s">
        <v>63</v>
      </c>
    </row>
    <row r="244" spans="1:8" x14ac:dyDescent="0.3">
      <c r="A244" s="22" t="s">
        <v>64</v>
      </c>
      <c r="B244" t="s">
        <v>67</v>
      </c>
      <c r="C244" s="26">
        <v>3116.453005464482</v>
      </c>
      <c r="D244" s="26">
        <v>2666.6666666666702</v>
      </c>
      <c r="E244">
        <v>0</v>
      </c>
      <c r="F244">
        <v>11000</v>
      </c>
      <c r="G244">
        <v>122</v>
      </c>
      <c r="H244">
        <v>123</v>
      </c>
    </row>
    <row r="245" spans="1:8" x14ac:dyDescent="0.3">
      <c r="A245" s="22" t="s">
        <v>64</v>
      </c>
      <c r="B245" t="s">
        <v>68</v>
      </c>
      <c r="C245" s="26">
        <v>2933.3333333333298</v>
      </c>
      <c r="D245" s="26">
        <v>2933.3333333333298</v>
      </c>
      <c r="E245" s="26">
        <v>2933.3333333333298</v>
      </c>
      <c r="F245" s="26">
        <v>2933.3333333333298</v>
      </c>
      <c r="G245">
        <v>1</v>
      </c>
      <c r="H245">
        <v>123</v>
      </c>
    </row>
    <row r="247" spans="1:8" ht="86.4" x14ac:dyDescent="0.3">
      <c r="A247" s="22" t="s">
        <v>117</v>
      </c>
    </row>
    <row r="248" spans="1:8" x14ac:dyDescent="0.3">
      <c r="A248" s="22" t="s">
        <v>57</v>
      </c>
      <c r="B248" t="s">
        <v>66</v>
      </c>
      <c r="C248" t="s">
        <v>58</v>
      </c>
      <c r="D248" t="s">
        <v>59</v>
      </c>
      <c r="E248" t="s">
        <v>60</v>
      </c>
      <c r="F248" t="s">
        <v>61</v>
      </c>
      <c r="G248" t="s">
        <v>62</v>
      </c>
      <c r="H248" t="s">
        <v>63</v>
      </c>
    </row>
    <row r="249" spans="1:8" x14ac:dyDescent="0.3">
      <c r="A249" s="22" t="s">
        <v>64</v>
      </c>
      <c r="B249" t="s">
        <v>67</v>
      </c>
      <c r="C249" s="26">
        <v>3061.7596491228069</v>
      </c>
      <c r="D249" s="26">
        <v>2666.6666666666702</v>
      </c>
      <c r="E249">
        <v>0</v>
      </c>
      <c r="F249">
        <v>11000</v>
      </c>
      <c r="G249">
        <v>114</v>
      </c>
      <c r="H249">
        <v>123</v>
      </c>
    </row>
    <row r="250" spans="1:8" x14ac:dyDescent="0.3">
      <c r="A250" s="22" t="s">
        <v>64</v>
      </c>
      <c r="B250" t="s">
        <v>68</v>
      </c>
      <c r="C250" s="26">
        <v>3788.8888888888891</v>
      </c>
      <c r="D250">
        <v>4750</v>
      </c>
      <c r="E250">
        <v>500</v>
      </c>
      <c r="F250" s="26">
        <v>6666.6666666666697</v>
      </c>
      <c r="G250">
        <v>9</v>
      </c>
      <c r="H250">
        <v>123</v>
      </c>
    </row>
    <row r="252" spans="1:8" ht="86.4" x14ac:dyDescent="0.3">
      <c r="A252" s="22" t="s">
        <v>118</v>
      </c>
    </row>
    <row r="253" spans="1:8" x14ac:dyDescent="0.3">
      <c r="A253" s="22" t="s">
        <v>57</v>
      </c>
      <c r="B253" t="s">
        <v>66</v>
      </c>
      <c r="C253" t="s">
        <v>58</v>
      </c>
      <c r="D253" t="s">
        <v>59</v>
      </c>
      <c r="E253" t="s">
        <v>60</v>
      </c>
      <c r="F253" t="s">
        <v>61</v>
      </c>
      <c r="G253" t="s">
        <v>62</v>
      </c>
      <c r="H253" t="s">
        <v>63</v>
      </c>
    </row>
    <row r="254" spans="1:8" x14ac:dyDescent="0.3">
      <c r="A254" s="22" t="s">
        <v>64</v>
      </c>
      <c r="B254" t="s">
        <v>67</v>
      </c>
      <c r="C254" s="26">
        <v>1357.5</v>
      </c>
      <c r="D254">
        <v>430</v>
      </c>
      <c r="E254">
        <v>0</v>
      </c>
      <c r="F254">
        <v>3000</v>
      </c>
      <c r="G254">
        <v>4</v>
      </c>
      <c r="H254">
        <v>123</v>
      </c>
    </row>
    <row r="255" spans="1:8" x14ac:dyDescent="0.3">
      <c r="A255" s="22" t="s">
        <v>64</v>
      </c>
      <c r="B255" t="s">
        <v>68</v>
      </c>
      <c r="C255" s="26">
        <v>3174.038655462185</v>
      </c>
      <c r="D255">
        <v>2800</v>
      </c>
      <c r="E255">
        <v>0</v>
      </c>
      <c r="F255">
        <v>11000</v>
      </c>
      <c r="G255">
        <v>119</v>
      </c>
      <c r="H255">
        <v>123</v>
      </c>
    </row>
    <row r="257" spans="1:8" ht="86.4" x14ac:dyDescent="0.3">
      <c r="A257" s="22" t="s">
        <v>119</v>
      </c>
    </row>
    <row r="258" spans="1:8" x14ac:dyDescent="0.3">
      <c r="A258" s="22" t="s">
        <v>57</v>
      </c>
      <c r="B258" t="s">
        <v>66</v>
      </c>
      <c r="C258" t="s">
        <v>58</v>
      </c>
      <c r="D258" t="s">
        <v>59</v>
      </c>
      <c r="E258" t="s">
        <v>60</v>
      </c>
      <c r="F258" t="s">
        <v>61</v>
      </c>
      <c r="G258" t="s">
        <v>62</v>
      </c>
      <c r="H258" t="s">
        <v>63</v>
      </c>
    </row>
    <row r="259" spans="1:8" x14ac:dyDescent="0.3">
      <c r="A259" s="22" t="s">
        <v>64</v>
      </c>
      <c r="B259" t="s">
        <v>67</v>
      </c>
      <c r="C259" s="26">
        <v>2665.8926666666671</v>
      </c>
      <c r="D259">
        <v>2175</v>
      </c>
      <c r="E259">
        <v>0</v>
      </c>
      <c r="F259">
        <v>10000</v>
      </c>
      <c r="G259">
        <v>100</v>
      </c>
      <c r="H259">
        <v>123</v>
      </c>
    </row>
    <row r="260" spans="1:8" x14ac:dyDescent="0.3">
      <c r="A260" s="22" t="s">
        <v>64</v>
      </c>
      <c r="B260" t="s">
        <v>68</v>
      </c>
      <c r="C260" s="26">
        <v>5067.449275362319</v>
      </c>
      <c r="D260">
        <v>4500</v>
      </c>
      <c r="E260">
        <v>1375</v>
      </c>
      <c r="F260">
        <v>11000</v>
      </c>
      <c r="G260">
        <v>23</v>
      </c>
      <c r="H260">
        <v>123</v>
      </c>
    </row>
    <row r="262" spans="1:8" ht="72" x14ac:dyDescent="0.3">
      <c r="A262" s="22" t="s">
        <v>120</v>
      </c>
    </row>
    <row r="263" spans="1:8" x14ac:dyDescent="0.3">
      <c r="A263" s="22" t="s">
        <v>57</v>
      </c>
      <c r="B263" t="s">
        <v>66</v>
      </c>
      <c r="C263" t="s">
        <v>58</v>
      </c>
      <c r="D263" t="s">
        <v>59</v>
      </c>
      <c r="E263" t="s">
        <v>60</v>
      </c>
      <c r="F263" t="s">
        <v>61</v>
      </c>
      <c r="G263" t="s">
        <v>62</v>
      </c>
      <c r="H263" t="s">
        <v>63</v>
      </c>
    </row>
    <row r="264" spans="1:8" x14ac:dyDescent="0.3">
      <c r="A264" s="22" t="s">
        <v>64</v>
      </c>
      <c r="B264" t="s">
        <v>67</v>
      </c>
      <c r="C264" s="26">
        <v>3141.4210884353752</v>
      </c>
      <c r="D264">
        <v>2750</v>
      </c>
      <c r="E264">
        <v>0</v>
      </c>
      <c r="F264">
        <v>11000</v>
      </c>
      <c r="G264">
        <v>98</v>
      </c>
      <c r="H264">
        <v>123</v>
      </c>
    </row>
    <row r="265" spans="1:8" x14ac:dyDescent="0.3">
      <c r="A265" s="22" t="s">
        <v>64</v>
      </c>
      <c r="B265" t="s">
        <v>68</v>
      </c>
      <c r="C265" s="26">
        <v>3011.2533333333331</v>
      </c>
      <c r="D265">
        <v>2900</v>
      </c>
      <c r="E265">
        <v>430</v>
      </c>
      <c r="F265">
        <v>11000</v>
      </c>
      <c r="G265">
        <v>25</v>
      </c>
      <c r="H265">
        <v>123</v>
      </c>
    </row>
    <row r="267" spans="1:8" ht="86.4" x14ac:dyDescent="0.3">
      <c r="A267" s="22" t="s">
        <v>121</v>
      </c>
    </row>
    <row r="268" spans="1:8" x14ac:dyDescent="0.3">
      <c r="A268" s="22" t="s">
        <v>57</v>
      </c>
      <c r="B268" t="s">
        <v>66</v>
      </c>
      <c r="C268" t="s">
        <v>58</v>
      </c>
      <c r="D268" t="s">
        <v>59</v>
      </c>
      <c r="E268" t="s">
        <v>60</v>
      </c>
      <c r="F268" t="s">
        <v>61</v>
      </c>
      <c r="G268" t="s">
        <v>62</v>
      </c>
      <c r="H268" t="s">
        <v>63</v>
      </c>
    </row>
    <row r="269" spans="1:8" x14ac:dyDescent="0.3">
      <c r="A269" s="22" t="s">
        <v>64</v>
      </c>
      <c r="B269" t="s">
        <v>67</v>
      </c>
      <c r="C269" s="26">
        <v>3451.0028985507251</v>
      </c>
      <c r="D269" s="26">
        <v>2933.3333333333298</v>
      </c>
      <c r="E269">
        <v>0</v>
      </c>
      <c r="F269">
        <v>11000</v>
      </c>
      <c r="G269">
        <v>92</v>
      </c>
      <c r="H269">
        <v>123</v>
      </c>
    </row>
    <row r="270" spans="1:8" x14ac:dyDescent="0.3">
      <c r="A270" s="22" t="s">
        <v>64</v>
      </c>
      <c r="B270" t="s">
        <v>68</v>
      </c>
      <c r="C270" s="26">
        <v>2117.688172043011</v>
      </c>
      <c r="D270">
        <v>2000</v>
      </c>
      <c r="E270">
        <v>0</v>
      </c>
      <c r="F270" s="26">
        <v>5333.3333333333303</v>
      </c>
      <c r="G270">
        <v>31</v>
      </c>
      <c r="H270">
        <v>123</v>
      </c>
    </row>
    <row r="272" spans="1:8" ht="86.4" x14ac:dyDescent="0.3">
      <c r="A272" s="22" t="s">
        <v>122</v>
      </c>
    </row>
    <row r="273" spans="1:8" x14ac:dyDescent="0.3">
      <c r="A273" s="22" t="s">
        <v>57</v>
      </c>
      <c r="B273" t="s">
        <v>66</v>
      </c>
      <c r="C273" t="s">
        <v>58</v>
      </c>
      <c r="D273" t="s">
        <v>59</v>
      </c>
      <c r="E273" t="s">
        <v>60</v>
      </c>
      <c r="F273" t="s">
        <v>61</v>
      </c>
      <c r="G273" t="s">
        <v>62</v>
      </c>
      <c r="H273" t="s">
        <v>63</v>
      </c>
    </row>
    <row r="274" spans="1:8" x14ac:dyDescent="0.3">
      <c r="A274" s="22" t="s">
        <v>64</v>
      </c>
      <c r="B274" t="s">
        <v>67</v>
      </c>
      <c r="C274" s="26">
        <v>3240.0648809523809</v>
      </c>
      <c r="D274">
        <v>2750</v>
      </c>
      <c r="E274">
        <v>0</v>
      </c>
      <c r="F274">
        <v>11000</v>
      </c>
      <c r="G274">
        <v>112</v>
      </c>
      <c r="H274">
        <v>123</v>
      </c>
    </row>
    <row r="275" spans="1:8" x14ac:dyDescent="0.3">
      <c r="A275" s="22" t="s">
        <v>64</v>
      </c>
      <c r="B275" t="s">
        <v>68</v>
      </c>
      <c r="C275" s="26">
        <v>1841.212121212121</v>
      </c>
      <c r="D275">
        <v>2250</v>
      </c>
      <c r="E275">
        <v>0</v>
      </c>
      <c r="F275">
        <v>4000</v>
      </c>
      <c r="G275">
        <v>11</v>
      </c>
      <c r="H275">
        <v>123</v>
      </c>
    </row>
    <row r="277" spans="1:8" ht="86.4" x14ac:dyDescent="0.3">
      <c r="A277" s="22" t="s">
        <v>123</v>
      </c>
    </row>
    <row r="278" spans="1:8" x14ac:dyDescent="0.3">
      <c r="A278" s="22" t="s">
        <v>57</v>
      </c>
      <c r="B278" t="s">
        <v>66</v>
      </c>
      <c r="C278" t="s">
        <v>58</v>
      </c>
      <c r="D278" t="s">
        <v>59</v>
      </c>
      <c r="E278" t="s">
        <v>60</v>
      </c>
      <c r="F278" t="s">
        <v>61</v>
      </c>
      <c r="G278" t="s">
        <v>62</v>
      </c>
      <c r="H278" t="s">
        <v>63</v>
      </c>
    </row>
    <row r="279" spans="1:8" x14ac:dyDescent="0.3">
      <c r="A279" s="22" t="s">
        <v>64</v>
      </c>
      <c r="B279" t="s">
        <v>67</v>
      </c>
      <c r="C279" s="26">
        <v>3114.964227642276</v>
      </c>
      <c r="D279">
        <v>2750</v>
      </c>
      <c r="E279">
        <v>0</v>
      </c>
      <c r="F279">
        <v>11000</v>
      </c>
      <c r="G279">
        <v>123</v>
      </c>
      <c r="H279">
        <v>123</v>
      </c>
    </row>
    <row r="281" spans="1:8" ht="72" x14ac:dyDescent="0.3">
      <c r="A281" s="22" t="s">
        <v>124</v>
      </c>
    </row>
    <row r="282" spans="1:8" x14ac:dyDescent="0.3">
      <c r="A282" s="22" t="s">
        <v>57</v>
      </c>
      <c r="B282" t="s">
        <v>66</v>
      </c>
      <c r="C282" t="s">
        <v>58</v>
      </c>
      <c r="D282" t="s">
        <v>59</v>
      </c>
      <c r="E282" t="s">
        <v>60</v>
      </c>
      <c r="F282" t="s">
        <v>61</v>
      </c>
      <c r="G282" t="s">
        <v>62</v>
      </c>
      <c r="H282" t="s">
        <v>63</v>
      </c>
    </row>
    <row r="283" spans="1:8" x14ac:dyDescent="0.3">
      <c r="A283" s="22" t="s">
        <v>64</v>
      </c>
      <c r="B283" t="s">
        <v>67</v>
      </c>
      <c r="C283" s="26">
        <v>3146.8138888888889</v>
      </c>
      <c r="D283" s="26">
        <v>2666.6666666666702</v>
      </c>
      <c r="E283">
        <v>0</v>
      </c>
      <c r="F283">
        <v>11000</v>
      </c>
      <c r="G283">
        <v>72</v>
      </c>
      <c r="H283">
        <v>123</v>
      </c>
    </row>
    <row r="284" spans="1:8" x14ac:dyDescent="0.3">
      <c r="A284" s="22" t="s">
        <v>64</v>
      </c>
      <c r="B284" t="s">
        <v>68</v>
      </c>
      <c r="C284">
        <v>3070</v>
      </c>
      <c r="D284">
        <v>2800</v>
      </c>
      <c r="E284">
        <v>0</v>
      </c>
      <c r="F284">
        <v>11000</v>
      </c>
      <c r="G284">
        <v>51</v>
      </c>
      <c r="H284">
        <v>123</v>
      </c>
    </row>
    <row r="286" spans="1:8" ht="86.4" x14ac:dyDescent="0.3">
      <c r="A286" s="22" t="s">
        <v>125</v>
      </c>
    </row>
    <row r="287" spans="1:8" x14ac:dyDescent="0.3">
      <c r="A287" s="22" t="s">
        <v>57</v>
      </c>
      <c r="B287" t="s">
        <v>66</v>
      </c>
      <c r="C287" t="s">
        <v>58</v>
      </c>
      <c r="D287" t="s">
        <v>59</v>
      </c>
      <c r="E287" t="s">
        <v>60</v>
      </c>
      <c r="F287" t="s">
        <v>61</v>
      </c>
      <c r="G287" t="s">
        <v>62</v>
      </c>
      <c r="H287" t="s">
        <v>63</v>
      </c>
    </row>
    <row r="288" spans="1:8" x14ac:dyDescent="0.3">
      <c r="A288" s="22" t="s">
        <v>64</v>
      </c>
      <c r="B288" t="s">
        <v>67</v>
      </c>
      <c r="C288" s="26">
        <v>3013.0302469135809</v>
      </c>
      <c r="D288">
        <v>2500</v>
      </c>
      <c r="E288">
        <v>0</v>
      </c>
      <c r="F288">
        <v>11000</v>
      </c>
      <c r="G288">
        <v>108</v>
      </c>
      <c r="H288">
        <v>123</v>
      </c>
    </row>
    <row r="289" spans="1:16" x14ac:dyDescent="0.3">
      <c r="A289" s="22" t="s">
        <v>64</v>
      </c>
      <c r="B289" t="s">
        <v>68</v>
      </c>
      <c r="C289" s="26">
        <v>3848.8888888888891</v>
      </c>
      <c r="D289">
        <v>3200</v>
      </c>
      <c r="E289">
        <v>0</v>
      </c>
      <c r="F289">
        <v>10000</v>
      </c>
      <c r="G289">
        <v>15</v>
      </c>
      <c r="H289">
        <v>123</v>
      </c>
    </row>
    <row r="291" spans="1:16" ht="72" x14ac:dyDescent="0.3">
      <c r="A291" s="22" t="s">
        <v>126</v>
      </c>
    </row>
    <row r="292" spans="1:16" x14ac:dyDescent="0.3">
      <c r="A292" s="22" t="s">
        <v>57</v>
      </c>
      <c r="B292" t="s">
        <v>66</v>
      </c>
      <c r="C292" t="s">
        <v>58</v>
      </c>
      <c r="D292" t="s">
        <v>59</v>
      </c>
      <c r="E292" t="s">
        <v>60</v>
      </c>
      <c r="F292" t="s">
        <v>61</v>
      </c>
      <c r="G292" t="s">
        <v>62</v>
      </c>
      <c r="H292" t="s">
        <v>63</v>
      </c>
    </row>
    <row r="293" spans="1:16" x14ac:dyDescent="0.3">
      <c r="A293" s="22" t="s">
        <v>64</v>
      </c>
      <c r="B293" t="s">
        <v>81</v>
      </c>
      <c r="C293" s="26">
        <v>4056.1428571428569</v>
      </c>
      <c r="D293">
        <v>3500</v>
      </c>
      <c r="E293">
        <v>0</v>
      </c>
      <c r="F293">
        <v>11000</v>
      </c>
      <c r="G293">
        <v>28</v>
      </c>
      <c r="H293">
        <v>123</v>
      </c>
    </row>
    <row r="294" spans="1:16" x14ac:dyDescent="0.3">
      <c r="A294" s="22" t="s">
        <v>64</v>
      </c>
      <c r="B294" t="s">
        <v>82</v>
      </c>
      <c r="C294" s="26">
        <v>3194.848484848485</v>
      </c>
      <c r="D294">
        <v>2900</v>
      </c>
      <c r="E294">
        <v>0</v>
      </c>
      <c r="F294">
        <v>11000</v>
      </c>
      <c r="G294">
        <v>33</v>
      </c>
      <c r="H294">
        <v>123</v>
      </c>
    </row>
    <row r="295" spans="1:16" x14ac:dyDescent="0.3">
      <c r="A295" s="22" t="s">
        <v>64</v>
      </c>
      <c r="B295" t="s">
        <v>83</v>
      </c>
      <c r="C295" s="26">
        <v>2822.3</v>
      </c>
      <c r="D295">
        <v>2250</v>
      </c>
      <c r="E295">
        <v>0</v>
      </c>
      <c r="F295" s="26">
        <v>8666.6666666666697</v>
      </c>
      <c r="G295">
        <v>32</v>
      </c>
      <c r="H295">
        <v>123</v>
      </c>
    </row>
    <row r="296" spans="1:16" x14ac:dyDescent="0.3">
      <c r="A296" s="22" t="s">
        <v>64</v>
      </c>
      <c r="B296" t="s">
        <v>84</v>
      </c>
      <c r="C296" s="26">
        <v>2460.833333333333</v>
      </c>
      <c r="D296">
        <v>2175</v>
      </c>
      <c r="E296">
        <v>0</v>
      </c>
      <c r="F296">
        <v>6000</v>
      </c>
      <c r="G296">
        <v>30</v>
      </c>
      <c r="H296">
        <v>123</v>
      </c>
    </row>
    <row r="298" spans="1:16" ht="43.2" x14ac:dyDescent="0.3">
      <c r="A298" s="22" t="s">
        <v>127</v>
      </c>
    </row>
    <row r="299" spans="1:16" x14ac:dyDescent="0.3">
      <c r="A299" s="22" t="s">
        <v>62</v>
      </c>
      <c r="B299" t="s">
        <v>57</v>
      </c>
      <c r="C299" t="s">
        <v>63</v>
      </c>
      <c r="D299" t="s">
        <v>128</v>
      </c>
      <c r="E299" t="s">
        <v>129</v>
      </c>
      <c r="F299" t="s">
        <v>130</v>
      </c>
      <c r="G299" t="s">
        <v>131</v>
      </c>
      <c r="H299" t="s">
        <v>132</v>
      </c>
      <c r="I299" t="s">
        <v>133</v>
      </c>
      <c r="J299" t="s">
        <v>134</v>
      </c>
      <c r="K299" t="s">
        <v>135</v>
      </c>
      <c r="L299" t="s">
        <v>136</v>
      </c>
      <c r="M299" t="s">
        <v>137</v>
      </c>
      <c r="N299" t="s">
        <v>138</v>
      </c>
      <c r="O299" t="s">
        <v>139</v>
      </c>
    </row>
    <row r="300" spans="1:16" x14ac:dyDescent="0.3">
      <c r="A300" s="22">
        <v>195</v>
      </c>
      <c r="B300" t="s">
        <v>64</v>
      </c>
      <c r="C300">
        <v>195</v>
      </c>
      <c r="D300" s="8">
        <v>3.0800000000000001E-2</v>
      </c>
      <c r="E300" s="8">
        <v>3.5900000000000001E-2</v>
      </c>
      <c r="F300" s="8">
        <v>6.1499999999999999E-2</v>
      </c>
      <c r="G300" s="8">
        <v>1.54E-2</v>
      </c>
      <c r="H300" s="8">
        <v>6.1499999999999999E-2</v>
      </c>
      <c r="I300" s="8">
        <v>5.1000000000000004E-3</v>
      </c>
      <c r="J300" s="8">
        <v>1.03E-2</v>
      </c>
      <c r="K300" s="8">
        <v>0.13850000000000001</v>
      </c>
      <c r="L300" s="8">
        <v>1.03E-2</v>
      </c>
      <c r="M300" s="8">
        <v>0.1641</v>
      </c>
      <c r="N300" s="8">
        <v>0.36919999999999997</v>
      </c>
      <c r="O300" s="8">
        <v>0.2974</v>
      </c>
    </row>
    <row r="302" spans="1:16" ht="57.6" x14ac:dyDescent="0.3">
      <c r="A302" s="22" t="s">
        <v>140</v>
      </c>
    </row>
    <row r="303" spans="1:16" x14ac:dyDescent="0.3">
      <c r="A303" s="22" t="s">
        <v>66</v>
      </c>
      <c r="B303" t="s">
        <v>62</v>
      </c>
      <c r="C303" t="s">
        <v>57</v>
      </c>
      <c r="D303" t="s">
        <v>63</v>
      </c>
      <c r="E303" t="s">
        <v>128</v>
      </c>
      <c r="F303" t="s">
        <v>129</v>
      </c>
      <c r="G303" t="s">
        <v>130</v>
      </c>
      <c r="H303" t="s">
        <v>131</v>
      </c>
      <c r="I303" t="s">
        <v>132</v>
      </c>
      <c r="J303" t="s">
        <v>133</v>
      </c>
      <c r="K303" t="s">
        <v>134</v>
      </c>
      <c r="L303" t="s">
        <v>135</v>
      </c>
      <c r="M303" t="s">
        <v>136</v>
      </c>
      <c r="N303" t="s">
        <v>137</v>
      </c>
      <c r="O303" t="s">
        <v>138</v>
      </c>
      <c r="P303" t="s">
        <v>139</v>
      </c>
    </row>
    <row r="304" spans="1:16" x14ac:dyDescent="0.3">
      <c r="A304" s="22" t="s">
        <v>67</v>
      </c>
      <c r="B304">
        <v>186</v>
      </c>
      <c r="C304" t="s">
        <v>64</v>
      </c>
      <c r="D304">
        <v>195</v>
      </c>
      <c r="E304" s="8">
        <v>2.69E-2</v>
      </c>
      <c r="F304" s="8">
        <v>3.7600000000000001E-2</v>
      </c>
      <c r="G304" s="8">
        <v>5.91E-2</v>
      </c>
      <c r="H304" s="8">
        <v>1.61E-2</v>
      </c>
      <c r="I304" s="8">
        <v>5.3800000000000001E-2</v>
      </c>
      <c r="J304" s="8">
        <v>5.4000000000000003E-3</v>
      </c>
      <c r="K304" s="8">
        <v>1.0800000000000001E-2</v>
      </c>
      <c r="L304" s="8">
        <v>0.13980000000000001</v>
      </c>
      <c r="M304" s="8">
        <v>1.0800000000000001E-2</v>
      </c>
      <c r="N304" s="8">
        <v>0.13980000000000001</v>
      </c>
      <c r="O304" s="8">
        <v>0.3871</v>
      </c>
      <c r="P304" s="8">
        <v>0.30109999999999998</v>
      </c>
    </row>
    <row r="305" spans="1:16" x14ac:dyDescent="0.3">
      <c r="A305" s="22" t="s">
        <v>68</v>
      </c>
      <c r="B305">
        <v>9</v>
      </c>
      <c r="C305" t="s">
        <v>64</v>
      </c>
      <c r="D305">
        <v>195</v>
      </c>
      <c r="E305" s="8">
        <v>0.1111</v>
      </c>
      <c r="G305" s="8">
        <v>0.1111</v>
      </c>
      <c r="I305" s="8">
        <v>0.22220000000000001</v>
      </c>
      <c r="L305" s="8">
        <v>0.1111</v>
      </c>
      <c r="N305" s="8">
        <v>0.66669999999999996</v>
      </c>
      <c r="P305" s="8">
        <v>0.22220000000000001</v>
      </c>
    </row>
    <row r="307" spans="1:16" x14ac:dyDescent="0.3">
      <c r="A307"/>
    </row>
    <row r="308" spans="1:16" x14ac:dyDescent="0.3">
      <c r="A308"/>
    </row>
    <row r="309" spans="1:16" x14ac:dyDescent="0.3">
      <c r="A309"/>
    </row>
    <row r="311" spans="1:16" ht="57.6" x14ac:dyDescent="0.3">
      <c r="A311" s="22" t="s">
        <v>141</v>
      </c>
    </row>
    <row r="312" spans="1:16" x14ac:dyDescent="0.3">
      <c r="A312" s="22" t="s">
        <v>66</v>
      </c>
      <c r="B312" t="s">
        <v>62</v>
      </c>
      <c r="C312" t="s">
        <v>57</v>
      </c>
      <c r="D312" t="s">
        <v>63</v>
      </c>
      <c r="E312" t="s">
        <v>128</v>
      </c>
      <c r="F312" t="s">
        <v>129</v>
      </c>
      <c r="G312" t="s">
        <v>130</v>
      </c>
      <c r="H312" t="s">
        <v>131</v>
      </c>
      <c r="I312" t="s">
        <v>132</v>
      </c>
      <c r="J312" t="s">
        <v>133</v>
      </c>
      <c r="K312" t="s">
        <v>134</v>
      </c>
      <c r="L312" t="s">
        <v>135</v>
      </c>
      <c r="M312" t="s">
        <v>136</v>
      </c>
      <c r="N312" t="s">
        <v>137</v>
      </c>
      <c r="O312" t="s">
        <v>138</v>
      </c>
      <c r="P312" t="s">
        <v>139</v>
      </c>
    </row>
    <row r="313" spans="1:16" x14ac:dyDescent="0.3">
      <c r="A313" s="22" t="s">
        <v>67</v>
      </c>
      <c r="B313">
        <v>186</v>
      </c>
      <c r="C313" t="s">
        <v>64</v>
      </c>
      <c r="D313">
        <v>195</v>
      </c>
      <c r="E313" s="8">
        <v>3.2300000000000002E-2</v>
      </c>
      <c r="F313" s="8">
        <v>3.2300000000000002E-2</v>
      </c>
      <c r="G313" s="8">
        <v>5.91E-2</v>
      </c>
      <c r="H313" s="8">
        <v>1.61E-2</v>
      </c>
      <c r="I313" s="8">
        <v>6.4500000000000002E-2</v>
      </c>
      <c r="J313" s="8">
        <v>5.4000000000000003E-3</v>
      </c>
      <c r="K313" s="8">
        <v>1.0800000000000001E-2</v>
      </c>
      <c r="L313" s="8">
        <v>0.13980000000000001</v>
      </c>
      <c r="M313" s="8">
        <v>1.0800000000000001E-2</v>
      </c>
      <c r="N313" s="8">
        <v>0.15049999999999999</v>
      </c>
      <c r="O313" s="8">
        <v>0.38169999999999998</v>
      </c>
      <c r="P313" s="8">
        <v>0.29570000000000002</v>
      </c>
    </row>
    <row r="314" spans="1:16" x14ac:dyDescent="0.3">
      <c r="A314" s="22" t="s">
        <v>68</v>
      </c>
      <c r="B314">
        <v>9</v>
      </c>
      <c r="C314" t="s">
        <v>64</v>
      </c>
      <c r="D314">
        <v>195</v>
      </c>
      <c r="F314" s="8">
        <v>0.1111</v>
      </c>
      <c r="G314" s="8">
        <v>0.1111</v>
      </c>
      <c r="L314" s="8">
        <v>0.1111</v>
      </c>
      <c r="N314" s="8">
        <v>0.44440000000000002</v>
      </c>
      <c r="O314" s="8">
        <v>0.1111</v>
      </c>
      <c r="P314" s="8">
        <v>0.33329999999999999</v>
      </c>
    </row>
    <row r="316" spans="1:16" ht="57.6" x14ac:dyDescent="0.3">
      <c r="A316" s="22" t="s">
        <v>142</v>
      </c>
    </row>
    <row r="317" spans="1:16" x14ac:dyDescent="0.3">
      <c r="A317" s="22" t="s">
        <v>66</v>
      </c>
      <c r="B317" t="s">
        <v>62</v>
      </c>
      <c r="C317" t="s">
        <v>57</v>
      </c>
      <c r="D317" t="s">
        <v>63</v>
      </c>
      <c r="E317" t="s">
        <v>128</v>
      </c>
      <c r="F317" t="s">
        <v>129</v>
      </c>
      <c r="G317" t="s">
        <v>130</v>
      </c>
      <c r="H317" t="s">
        <v>131</v>
      </c>
      <c r="I317" t="s">
        <v>132</v>
      </c>
      <c r="J317" t="s">
        <v>133</v>
      </c>
      <c r="K317" t="s">
        <v>134</v>
      </c>
      <c r="L317" t="s">
        <v>135</v>
      </c>
      <c r="M317" t="s">
        <v>136</v>
      </c>
      <c r="N317" t="s">
        <v>137</v>
      </c>
      <c r="O317" t="s">
        <v>138</v>
      </c>
      <c r="P317" t="s">
        <v>139</v>
      </c>
    </row>
    <row r="318" spans="1:16" x14ac:dyDescent="0.3">
      <c r="A318" s="22" t="s">
        <v>67</v>
      </c>
      <c r="B318">
        <v>194</v>
      </c>
      <c r="C318" t="s">
        <v>64</v>
      </c>
      <c r="D318">
        <v>195</v>
      </c>
      <c r="E318" s="8">
        <v>3.09E-2</v>
      </c>
      <c r="F318" s="8">
        <v>3.61E-2</v>
      </c>
      <c r="G318" s="8">
        <v>6.1899999999999997E-2</v>
      </c>
      <c r="H318" s="8">
        <v>1.55E-2</v>
      </c>
      <c r="I318" s="8">
        <v>6.1899999999999997E-2</v>
      </c>
      <c r="J318" s="8">
        <v>5.1999999999999998E-3</v>
      </c>
      <c r="K318" s="8">
        <v>1.03E-2</v>
      </c>
      <c r="L318" s="8">
        <v>0.13919999999999999</v>
      </c>
      <c r="M318" s="8">
        <v>1.03E-2</v>
      </c>
      <c r="N318" s="8">
        <v>0.16489999999999999</v>
      </c>
      <c r="O318" s="8">
        <v>0.37109999999999999</v>
      </c>
      <c r="P318" s="8">
        <v>0.29380000000000001</v>
      </c>
    </row>
    <row r="319" spans="1:16" x14ac:dyDescent="0.3">
      <c r="A319" s="22" t="s">
        <v>68</v>
      </c>
      <c r="B319">
        <v>1</v>
      </c>
      <c r="C319" t="s">
        <v>64</v>
      </c>
      <c r="D319">
        <v>195</v>
      </c>
      <c r="P319" s="8">
        <v>1</v>
      </c>
    </row>
    <row r="321" spans="1:16" ht="57.6" x14ac:dyDescent="0.3">
      <c r="A321" s="22" t="s">
        <v>143</v>
      </c>
    </row>
    <row r="322" spans="1:16" x14ac:dyDescent="0.3">
      <c r="A322" s="22" t="s">
        <v>66</v>
      </c>
      <c r="B322" t="s">
        <v>62</v>
      </c>
      <c r="C322" t="s">
        <v>57</v>
      </c>
      <c r="D322" t="s">
        <v>63</v>
      </c>
      <c r="E322" t="s">
        <v>128</v>
      </c>
      <c r="F322" t="s">
        <v>129</v>
      </c>
      <c r="G322" t="s">
        <v>130</v>
      </c>
      <c r="H322" t="s">
        <v>131</v>
      </c>
      <c r="I322" t="s">
        <v>132</v>
      </c>
      <c r="J322" t="s">
        <v>133</v>
      </c>
      <c r="K322" t="s">
        <v>134</v>
      </c>
      <c r="L322" t="s">
        <v>135</v>
      </c>
      <c r="M322" t="s">
        <v>136</v>
      </c>
      <c r="N322" t="s">
        <v>137</v>
      </c>
      <c r="O322" t="s">
        <v>138</v>
      </c>
      <c r="P322" t="s">
        <v>139</v>
      </c>
    </row>
    <row r="323" spans="1:16" x14ac:dyDescent="0.3">
      <c r="A323" s="22" t="s">
        <v>67</v>
      </c>
      <c r="B323">
        <v>182</v>
      </c>
      <c r="C323" t="s">
        <v>64</v>
      </c>
      <c r="D323">
        <v>195</v>
      </c>
      <c r="E323" s="8">
        <v>3.3000000000000002E-2</v>
      </c>
      <c r="F323" s="8">
        <v>3.85E-2</v>
      </c>
      <c r="G323" s="8">
        <v>6.59E-2</v>
      </c>
      <c r="H323" s="8">
        <v>1.6500000000000001E-2</v>
      </c>
      <c r="I323" s="8">
        <v>6.59E-2</v>
      </c>
      <c r="J323" s="8">
        <v>5.4999999999999997E-3</v>
      </c>
      <c r="K323" s="8">
        <v>1.0999999999999999E-2</v>
      </c>
      <c r="L323" s="8">
        <v>0.13739999999999999</v>
      </c>
      <c r="M323" s="8">
        <v>1.0999999999999999E-2</v>
      </c>
      <c r="N323" s="8">
        <v>0.1484</v>
      </c>
      <c r="O323" s="8">
        <v>0.35709999999999997</v>
      </c>
      <c r="P323" s="8">
        <v>0.29670000000000002</v>
      </c>
    </row>
    <row r="324" spans="1:16" x14ac:dyDescent="0.3">
      <c r="A324" s="22" t="s">
        <v>68</v>
      </c>
      <c r="B324">
        <v>13</v>
      </c>
      <c r="C324" t="s">
        <v>64</v>
      </c>
      <c r="D324">
        <v>195</v>
      </c>
      <c r="L324" s="8">
        <v>0.15379999999999999</v>
      </c>
      <c r="N324" s="8">
        <v>0.3846</v>
      </c>
      <c r="O324" s="8">
        <v>0.53849999999999998</v>
      </c>
      <c r="P324" s="8">
        <v>0.30769999999999997</v>
      </c>
    </row>
    <row r="326" spans="1:16" ht="57.6" x14ac:dyDescent="0.3">
      <c r="A326" s="22" t="s">
        <v>144</v>
      </c>
    </row>
    <row r="327" spans="1:16" x14ac:dyDescent="0.3">
      <c r="A327" s="22" t="s">
        <v>66</v>
      </c>
      <c r="B327" t="s">
        <v>62</v>
      </c>
      <c r="C327" t="s">
        <v>57</v>
      </c>
      <c r="D327" t="s">
        <v>63</v>
      </c>
      <c r="E327" t="s">
        <v>128</v>
      </c>
      <c r="F327" t="s">
        <v>129</v>
      </c>
      <c r="G327" t="s">
        <v>130</v>
      </c>
      <c r="H327" t="s">
        <v>131</v>
      </c>
      <c r="I327" t="s">
        <v>132</v>
      </c>
      <c r="J327" t="s">
        <v>133</v>
      </c>
      <c r="K327" t="s">
        <v>134</v>
      </c>
      <c r="L327" t="s">
        <v>135</v>
      </c>
      <c r="M327" t="s">
        <v>136</v>
      </c>
      <c r="N327" t="s">
        <v>137</v>
      </c>
      <c r="O327" t="s">
        <v>138</v>
      </c>
      <c r="P327" t="s">
        <v>139</v>
      </c>
    </row>
    <row r="328" spans="1:16" x14ac:dyDescent="0.3">
      <c r="A328" s="22" t="s">
        <v>67</v>
      </c>
      <c r="B328">
        <v>5</v>
      </c>
      <c r="C328" t="s">
        <v>64</v>
      </c>
      <c r="D328">
        <v>195</v>
      </c>
      <c r="G328" s="8">
        <v>0.2</v>
      </c>
      <c r="K328" s="8">
        <v>0.2</v>
      </c>
      <c r="L328" s="8">
        <v>0.4</v>
      </c>
      <c r="N328" s="8">
        <v>0.4</v>
      </c>
    </row>
    <row r="329" spans="1:16" x14ac:dyDescent="0.3">
      <c r="A329" s="22" t="s">
        <v>68</v>
      </c>
      <c r="B329">
        <v>190</v>
      </c>
      <c r="C329" t="s">
        <v>64</v>
      </c>
      <c r="D329">
        <v>195</v>
      </c>
      <c r="E329" s="8">
        <v>3.1600000000000003E-2</v>
      </c>
      <c r="F329" s="8">
        <v>3.6799999999999999E-2</v>
      </c>
      <c r="G329" s="8">
        <v>5.79E-2</v>
      </c>
      <c r="H329" s="8">
        <v>1.5800000000000002E-2</v>
      </c>
      <c r="I329" s="8">
        <v>6.3200000000000006E-2</v>
      </c>
      <c r="J329" s="8">
        <v>5.3E-3</v>
      </c>
      <c r="K329" s="8">
        <v>5.3E-3</v>
      </c>
      <c r="L329" s="8">
        <v>0.13159999999999999</v>
      </c>
      <c r="M329" s="8">
        <v>1.0500000000000001E-2</v>
      </c>
      <c r="N329" s="8">
        <v>0.15790000000000001</v>
      </c>
      <c r="O329" s="8">
        <v>0.37890000000000001</v>
      </c>
      <c r="P329" s="8">
        <v>0.30530000000000002</v>
      </c>
    </row>
    <row r="331" spans="1:16" ht="57.6" x14ac:dyDescent="0.3">
      <c r="A331" s="22" t="s">
        <v>145</v>
      </c>
    </row>
    <row r="332" spans="1:16" x14ac:dyDescent="0.3">
      <c r="A332" s="22" t="s">
        <v>66</v>
      </c>
      <c r="B332" t="s">
        <v>62</v>
      </c>
      <c r="C332" t="s">
        <v>57</v>
      </c>
      <c r="D332" t="s">
        <v>63</v>
      </c>
      <c r="E332" t="s">
        <v>128</v>
      </c>
      <c r="F332" t="s">
        <v>129</v>
      </c>
      <c r="G332" t="s">
        <v>130</v>
      </c>
      <c r="H332" t="s">
        <v>131</v>
      </c>
      <c r="I332" t="s">
        <v>132</v>
      </c>
      <c r="J332" t="s">
        <v>133</v>
      </c>
      <c r="K332" t="s">
        <v>134</v>
      </c>
      <c r="L332" t="s">
        <v>135</v>
      </c>
      <c r="M332" t="s">
        <v>136</v>
      </c>
      <c r="N332" t="s">
        <v>137</v>
      </c>
      <c r="O332" t="s">
        <v>138</v>
      </c>
      <c r="P332" t="s">
        <v>139</v>
      </c>
    </row>
    <row r="333" spans="1:16" x14ac:dyDescent="0.3">
      <c r="A333" s="22" t="s">
        <v>67</v>
      </c>
      <c r="B333">
        <v>155</v>
      </c>
      <c r="C333" t="s">
        <v>64</v>
      </c>
      <c r="D333">
        <v>195</v>
      </c>
      <c r="E333" s="8">
        <v>2.58E-2</v>
      </c>
      <c r="F333" s="8">
        <v>3.2300000000000002E-2</v>
      </c>
      <c r="G333" s="8">
        <v>6.4500000000000002E-2</v>
      </c>
      <c r="H333" s="8">
        <v>1.9400000000000001E-2</v>
      </c>
      <c r="I333" s="8">
        <v>7.0999999999999994E-2</v>
      </c>
      <c r="J333" s="8">
        <v>6.4999999999999997E-3</v>
      </c>
      <c r="K333" s="8">
        <v>1.29E-2</v>
      </c>
      <c r="L333" s="8">
        <v>0.1613</v>
      </c>
      <c r="M333" s="8">
        <v>6.4999999999999997E-3</v>
      </c>
      <c r="N333" s="8">
        <v>0.2</v>
      </c>
      <c r="O333" s="8">
        <v>0.2387</v>
      </c>
      <c r="P333" s="8">
        <v>0.36130000000000001</v>
      </c>
    </row>
    <row r="334" spans="1:16" x14ac:dyDescent="0.3">
      <c r="A334" s="22" t="s">
        <v>68</v>
      </c>
      <c r="B334">
        <v>40</v>
      </c>
      <c r="C334" t="s">
        <v>64</v>
      </c>
      <c r="D334">
        <v>195</v>
      </c>
      <c r="E334" s="8">
        <v>0.05</v>
      </c>
      <c r="F334" s="8">
        <v>0.05</v>
      </c>
      <c r="G334" s="8">
        <v>0.05</v>
      </c>
      <c r="I334" s="8">
        <v>2.5000000000000001E-2</v>
      </c>
      <c r="L334" s="8">
        <v>0.05</v>
      </c>
      <c r="M334" s="8">
        <v>2.5000000000000001E-2</v>
      </c>
      <c r="N334" s="8">
        <v>2.5000000000000001E-2</v>
      </c>
      <c r="O334" s="8">
        <v>0.875</v>
      </c>
      <c r="P334" s="8">
        <v>0.05</v>
      </c>
    </row>
    <row r="336" spans="1:16" ht="57.6" x14ac:dyDescent="0.3">
      <c r="A336" s="22" t="s">
        <v>146</v>
      </c>
    </row>
    <row r="337" spans="1:16" x14ac:dyDescent="0.3">
      <c r="A337" s="22" t="s">
        <v>66</v>
      </c>
      <c r="B337" t="s">
        <v>62</v>
      </c>
      <c r="C337" t="s">
        <v>57</v>
      </c>
      <c r="D337" t="s">
        <v>63</v>
      </c>
      <c r="E337" t="s">
        <v>128</v>
      </c>
      <c r="F337" t="s">
        <v>129</v>
      </c>
      <c r="G337" t="s">
        <v>130</v>
      </c>
      <c r="H337" t="s">
        <v>131</v>
      </c>
      <c r="I337" t="s">
        <v>132</v>
      </c>
      <c r="J337" t="s">
        <v>133</v>
      </c>
      <c r="K337" t="s">
        <v>134</v>
      </c>
      <c r="L337" t="s">
        <v>135</v>
      </c>
      <c r="M337" t="s">
        <v>136</v>
      </c>
      <c r="N337" t="s">
        <v>137</v>
      </c>
      <c r="O337" t="s">
        <v>138</v>
      </c>
      <c r="P337" t="s">
        <v>139</v>
      </c>
    </row>
    <row r="338" spans="1:16" x14ac:dyDescent="0.3">
      <c r="A338" s="22" t="s">
        <v>67</v>
      </c>
      <c r="B338">
        <v>152</v>
      </c>
      <c r="C338" t="s">
        <v>64</v>
      </c>
      <c r="D338">
        <v>195</v>
      </c>
      <c r="E338" s="8">
        <v>2.63E-2</v>
      </c>
      <c r="F338" s="8">
        <v>3.2899999999999999E-2</v>
      </c>
      <c r="G338" s="8">
        <v>3.95E-2</v>
      </c>
      <c r="H338" s="8">
        <v>1.32E-2</v>
      </c>
      <c r="I338" s="8">
        <v>5.9200000000000003E-2</v>
      </c>
      <c r="J338" s="8">
        <v>6.6E-3</v>
      </c>
      <c r="L338" s="8">
        <v>0.1711</v>
      </c>
      <c r="M338" s="8">
        <v>6.6E-3</v>
      </c>
      <c r="N338" s="8">
        <v>0.16450000000000001</v>
      </c>
      <c r="O338" s="8">
        <v>0.3553</v>
      </c>
      <c r="P338" s="8">
        <v>0.31580000000000003</v>
      </c>
    </row>
    <row r="339" spans="1:16" x14ac:dyDescent="0.3">
      <c r="A339" s="22" t="s">
        <v>68</v>
      </c>
      <c r="B339">
        <v>43</v>
      </c>
      <c r="C339" t="s">
        <v>64</v>
      </c>
      <c r="D339">
        <v>195</v>
      </c>
      <c r="E339" s="8">
        <v>4.65E-2</v>
      </c>
      <c r="F339" s="8">
        <v>4.65E-2</v>
      </c>
      <c r="G339" s="8">
        <v>0.13950000000000001</v>
      </c>
      <c r="H339" s="8">
        <v>2.3300000000000001E-2</v>
      </c>
      <c r="I339" s="8">
        <v>6.9800000000000001E-2</v>
      </c>
      <c r="K339" s="8">
        <v>4.65E-2</v>
      </c>
      <c r="L339" s="8">
        <v>2.3300000000000001E-2</v>
      </c>
      <c r="M339" s="8">
        <v>2.3300000000000001E-2</v>
      </c>
      <c r="N339" s="8">
        <v>0.1628</v>
      </c>
      <c r="O339" s="8">
        <v>0.41860000000000003</v>
      </c>
      <c r="P339" s="8">
        <v>0.2326</v>
      </c>
    </row>
    <row r="341" spans="1:16" ht="57.6" x14ac:dyDescent="0.3">
      <c r="A341" s="22" t="s">
        <v>147</v>
      </c>
    </row>
    <row r="342" spans="1:16" x14ac:dyDescent="0.3">
      <c r="A342" s="22" t="s">
        <v>66</v>
      </c>
      <c r="B342" t="s">
        <v>62</v>
      </c>
      <c r="C342" t="s">
        <v>57</v>
      </c>
      <c r="D342" t="s">
        <v>63</v>
      </c>
      <c r="E342" t="s">
        <v>128</v>
      </c>
      <c r="F342" t="s">
        <v>129</v>
      </c>
      <c r="G342" t="s">
        <v>130</v>
      </c>
      <c r="H342" t="s">
        <v>131</v>
      </c>
      <c r="I342" t="s">
        <v>132</v>
      </c>
      <c r="J342" t="s">
        <v>133</v>
      </c>
      <c r="K342" t="s">
        <v>134</v>
      </c>
      <c r="L342" t="s">
        <v>135</v>
      </c>
      <c r="M342" t="s">
        <v>136</v>
      </c>
      <c r="N342" t="s">
        <v>137</v>
      </c>
      <c r="O342" t="s">
        <v>138</v>
      </c>
      <c r="P342" t="s">
        <v>139</v>
      </c>
    </row>
    <row r="343" spans="1:16" x14ac:dyDescent="0.3">
      <c r="A343" s="22" t="s">
        <v>67</v>
      </c>
      <c r="B343">
        <v>147</v>
      </c>
      <c r="C343" t="s">
        <v>64</v>
      </c>
      <c r="D343">
        <v>195</v>
      </c>
      <c r="E343" s="8">
        <v>3.4000000000000002E-2</v>
      </c>
      <c r="F343" s="8">
        <v>3.4000000000000002E-2</v>
      </c>
      <c r="G343" s="8">
        <v>4.7600000000000003E-2</v>
      </c>
      <c r="H343" s="8">
        <v>2.0400000000000001E-2</v>
      </c>
      <c r="I343" s="8">
        <v>6.8000000000000005E-2</v>
      </c>
      <c r="L343" s="8">
        <v>0.1429</v>
      </c>
      <c r="M343" s="8">
        <v>6.7999999999999996E-3</v>
      </c>
      <c r="N343" s="8">
        <v>0.1633</v>
      </c>
      <c r="O343" s="8">
        <v>0.34689999999999999</v>
      </c>
      <c r="P343" s="8">
        <v>0.31969999999999998</v>
      </c>
    </row>
    <row r="344" spans="1:16" x14ac:dyDescent="0.3">
      <c r="A344" s="22" t="s">
        <v>68</v>
      </c>
      <c r="B344">
        <v>48</v>
      </c>
      <c r="C344" t="s">
        <v>64</v>
      </c>
      <c r="D344">
        <v>195</v>
      </c>
      <c r="E344" s="8">
        <v>2.0799999999999999E-2</v>
      </c>
      <c r="F344" s="8">
        <v>4.1700000000000001E-2</v>
      </c>
      <c r="G344" s="8">
        <v>0.1042</v>
      </c>
      <c r="I344" s="8">
        <v>4.1700000000000001E-2</v>
      </c>
      <c r="J344" s="8">
        <v>2.0799999999999999E-2</v>
      </c>
      <c r="K344" s="8">
        <v>4.1700000000000001E-2</v>
      </c>
      <c r="L344" s="8">
        <v>0.125</v>
      </c>
      <c r="M344" s="8">
        <v>2.0799999999999999E-2</v>
      </c>
      <c r="N344" s="8">
        <v>0.16669999999999999</v>
      </c>
      <c r="O344" s="8">
        <v>0.4375</v>
      </c>
      <c r="P344" s="8">
        <v>0.22919999999999999</v>
      </c>
    </row>
    <row r="346" spans="1:16" ht="72" x14ac:dyDescent="0.3">
      <c r="A346" s="22" t="s">
        <v>148</v>
      </c>
    </row>
    <row r="347" spans="1:16" x14ac:dyDescent="0.3">
      <c r="A347" s="22" t="s">
        <v>66</v>
      </c>
      <c r="B347" t="s">
        <v>62</v>
      </c>
      <c r="C347" t="s">
        <v>57</v>
      </c>
      <c r="D347" t="s">
        <v>63</v>
      </c>
      <c r="E347" t="s">
        <v>128</v>
      </c>
      <c r="F347" t="s">
        <v>129</v>
      </c>
      <c r="G347" t="s">
        <v>130</v>
      </c>
      <c r="H347" t="s">
        <v>131</v>
      </c>
      <c r="I347" t="s">
        <v>132</v>
      </c>
      <c r="J347" t="s">
        <v>133</v>
      </c>
      <c r="K347" t="s">
        <v>134</v>
      </c>
      <c r="L347" t="s">
        <v>135</v>
      </c>
      <c r="M347" t="s">
        <v>136</v>
      </c>
      <c r="N347" t="s">
        <v>137</v>
      </c>
      <c r="O347" t="s">
        <v>138</v>
      </c>
      <c r="P347" t="s">
        <v>139</v>
      </c>
    </row>
    <row r="348" spans="1:16" x14ac:dyDescent="0.3">
      <c r="A348" s="22" t="s">
        <v>67</v>
      </c>
      <c r="B348">
        <v>182</v>
      </c>
      <c r="C348" t="s">
        <v>64</v>
      </c>
      <c r="D348">
        <v>195</v>
      </c>
      <c r="E348" s="8">
        <v>3.3000000000000002E-2</v>
      </c>
      <c r="F348" s="8">
        <v>3.85E-2</v>
      </c>
      <c r="G348" s="8">
        <v>4.9500000000000002E-2</v>
      </c>
      <c r="H348" s="8">
        <v>1.6500000000000001E-2</v>
      </c>
      <c r="I348" s="8">
        <v>6.59E-2</v>
      </c>
      <c r="J348" s="8">
        <v>5.4999999999999997E-3</v>
      </c>
      <c r="K348" s="8">
        <v>1.0999999999999999E-2</v>
      </c>
      <c r="L348" s="8">
        <v>0.13189999999999999</v>
      </c>
      <c r="M348" s="8">
        <v>1.0999999999999999E-2</v>
      </c>
      <c r="N348" s="8">
        <v>0.17030000000000001</v>
      </c>
      <c r="O348" s="8">
        <v>0.3846</v>
      </c>
      <c r="P348" s="8">
        <v>0.29120000000000001</v>
      </c>
    </row>
    <row r="349" spans="1:16" x14ac:dyDescent="0.3">
      <c r="A349" s="22" t="s">
        <v>68</v>
      </c>
      <c r="B349">
        <v>13</v>
      </c>
      <c r="C349" t="s">
        <v>64</v>
      </c>
      <c r="D349">
        <v>195</v>
      </c>
      <c r="G349" s="8">
        <v>0.23080000000000001</v>
      </c>
      <c r="L349" s="8">
        <v>0.23080000000000001</v>
      </c>
      <c r="N349" s="8">
        <v>7.6899999999999996E-2</v>
      </c>
      <c r="O349" s="8">
        <v>0.15379999999999999</v>
      </c>
      <c r="P349" s="8">
        <v>0.3846</v>
      </c>
    </row>
    <row r="351" spans="1:16" ht="72" x14ac:dyDescent="0.3">
      <c r="A351" s="22" t="s">
        <v>149</v>
      </c>
    </row>
    <row r="352" spans="1:16" x14ac:dyDescent="0.3">
      <c r="A352" s="22" t="s">
        <v>66</v>
      </c>
      <c r="B352" t="s">
        <v>62</v>
      </c>
      <c r="C352" t="s">
        <v>57</v>
      </c>
      <c r="D352" t="s">
        <v>63</v>
      </c>
      <c r="E352" t="s">
        <v>128</v>
      </c>
      <c r="F352" t="s">
        <v>129</v>
      </c>
      <c r="G352" t="s">
        <v>130</v>
      </c>
      <c r="H352" t="s">
        <v>131</v>
      </c>
      <c r="I352" t="s">
        <v>132</v>
      </c>
      <c r="J352" t="s">
        <v>133</v>
      </c>
      <c r="K352" t="s">
        <v>134</v>
      </c>
      <c r="L352" t="s">
        <v>135</v>
      </c>
      <c r="M352" t="s">
        <v>136</v>
      </c>
      <c r="N352" t="s">
        <v>137</v>
      </c>
      <c r="O352" t="s">
        <v>138</v>
      </c>
      <c r="P352" t="s">
        <v>139</v>
      </c>
    </row>
    <row r="353" spans="1:16" x14ac:dyDescent="0.3">
      <c r="A353" s="22" t="s">
        <v>67</v>
      </c>
      <c r="B353">
        <v>195</v>
      </c>
      <c r="C353" t="s">
        <v>64</v>
      </c>
      <c r="D353">
        <v>195</v>
      </c>
      <c r="E353" s="8">
        <v>3.0800000000000001E-2</v>
      </c>
      <c r="F353" s="8">
        <v>3.5900000000000001E-2</v>
      </c>
      <c r="G353" s="8">
        <v>6.1499999999999999E-2</v>
      </c>
      <c r="H353" s="8">
        <v>1.54E-2</v>
      </c>
      <c r="I353" s="8">
        <v>6.1499999999999999E-2</v>
      </c>
      <c r="J353" s="8">
        <v>5.1000000000000004E-3</v>
      </c>
      <c r="K353" s="8">
        <v>1.03E-2</v>
      </c>
      <c r="L353" s="8">
        <v>0.13850000000000001</v>
      </c>
      <c r="M353" s="8">
        <v>1.03E-2</v>
      </c>
      <c r="N353" s="8">
        <v>0.1641</v>
      </c>
      <c r="O353" s="8">
        <v>0.36919999999999997</v>
      </c>
      <c r="P353" s="8">
        <v>0.2974</v>
      </c>
    </row>
    <row r="355" spans="1:16" ht="57.6" x14ac:dyDescent="0.3">
      <c r="A355" s="22" t="s">
        <v>150</v>
      </c>
    </row>
    <row r="356" spans="1:16" x14ac:dyDescent="0.3">
      <c r="A356" s="22" t="s">
        <v>66</v>
      </c>
      <c r="B356" t="s">
        <v>62</v>
      </c>
      <c r="C356" t="s">
        <v>57</v>
      </c>
      <c r="D356" t="s">
        <v>63</v>
      </c>
      <c r="E356" t="s">
        <v>128</v>
      </c>
      <c r="F356" t="s">
        <v>129</v>
      </c>
      <c r="G356" t="s">
        <v>130</v>
      </c>
      <c r="H356" t="s">
        <v>131</v>
      </c>
      <c r="I356" t="s">
        <v>132</v>
      </c>
      <c r="J356" t="s">
        <v>133</v>
      </c>
      <c r="K356" t="s">
        <v>134</v>
      </c>
      <c r="L356" t="s">
        <v>135</v>
      </c>
      <c r="M356" t="s">
        <v>136</v>
      </c>
      <c r="N356" t="s">
        <v>137</v>
      </c>
      <c r="O356" t="s">
        <v>138</v>
      </c>
      <c r="P356" t="s">
        <v>139</v>
      </c>
    </row>
    <row r="357" spans="1:16" x14ac:dyDescent="0.3">
      <c r="A357" s="22" t="s">
        <v>67</v>
      </c>
      <c r="B357">
        <v>123</v>
      </c>
      <c r="C357" t="s">
        <v>64</v>
      </c>
      <c r="D357">
        <v>195</v>
      </c>
      <c r="E357" s="8">
        <v>3.2500000000000001E-2</v>
      </c>
      <c r="F357" s="8">
        <v>4.8800000000000003E-2</v>
      </c>
      <c r="G357" s="8">
        <v>3.2500000000000001E-2</v>
      </c>
      <c r="H357" s="8">
        <v>1.6299999999999999E-2</v>
      </c>
      <c r="I357" s="8">
        <v>7.3200000000000001E-2</v>
      </c>
      <c r="J357" s="8">
        <v>8.0999999999999996E-3</v>
      </c>
      <c r="K357" s="8">
        <v>1.6299999999999999E-2</v>
      </c>
      <c r="L357" s="8">
        <v>0.1057</v>
      </c>
      <c r="M357" s="8">
        <v>1.6299999999999999E-2</v>
      </c>
      <c r="N357" s="8">
        <v>0.17069999999999999</v>
      </c>
      <c r="O357" s="8">
        <v>0.39839999999999998</v>
      </c>
      <c r="P357" s="8">
        <v>0.26829999999999998</v>
      </c>
    </row>
    <row r="358" spans="1:16" x14ac:dyDescent="0.3">
      <c r="A358" s="22" t="s">
        <v>68</v>
      </c>
      <c r="B358">
        <v>72</v>
      </c>
      <c r="C358" t="s">
        <v>64</v>
      </c>
      <c r="D358">
        <v>195</v>
      </c>
      <c r="E358" s="8">
        <v>2.7799999999999998E-2</v>
      </c>
      <c r="F358" s="8">
        <v>1.3899999999999999E-2</v>
      </c>
      <c r="G358" s="8">
        <v>0.1111</v>
      </c>
      <c r="H358" s="8">
        <v>1.3899999999999999E-2</v>
      </c>
      <c r="I358" s="8">
        <v>4.1700000000000001E-2</v>
      </c>
      <c r="L358" s="8">
        <v>0.19439999999999999</v>
      </c>
      <c r="N358" s="8">
        <v>0.15279999999999999</v>
      </c>
      <c r="O358" s="8">
        <v>0.31940000000000002</v>
      </c>
      <c r="P358" s="8">
        <v>0.34720000000000001</v>
      </c>
    </row>
    <row r="360" spans="1:16" ht="72" x14ac:dyDescent="0.3">
      <c r="A360" s="22" t="s">
        <v>151</v>
      </c>
    </row>
    <row r="361" spans="1:16" x14ac:dyDescent="0.3">
      <c r="A361" s="22" t="s">
        <v>66</v>
      </c>
      <c r="B361" t="s">
        <v>62</v>
      </c>
      <c r="C361" t="s">
        <v>57</v>
      </c>
      <c r="D361" t="s">
        <v>63</v>
      </c>
      <c r="E361" t="s">
        <v>128</v>
      </c>
      <c r="F361" t="s">
        <v>129</v>
      </c>
      <c r="G361" t="s">
        <v>130</v>
      </c>
      <c r="H361" t="s">
        <v>131</v>
      </c>
      <c r="I361" t="s">
        <v>132</v>
      </c>
      <c r="J361" t="s">
        <v>133</v>
      </c>
      <c r="K361" t="s">
        <v>134</v>
      </c>
      <c r="L361" t="s">
        <v>135</v>
      </c>
      <c r="M361" t="s">
        <v>136</v>
      </c>
      <c r="N361" t="s">
        <v>137</v>
      </c>
      <c r="O361" t="s">
        <v>138</v>
      </c>
      <c r="P361" t="s">
        <v>139</v>
      </c>
    </row>
    <row r="362" spans="1:16" x14ac:dyDescent="0.3">
      <c r="A362" s="22" t="s">
        <v>67</v>
      </c>
      <c r="B362">
        <v>176</v>
      </c>
      <c r="C362" t="s">
        <v>64</v>
      </c>
      <c r="D362">
        <v>195</v>
      </c>
      <c r="E362" s="8">
        <v>3.4099999999999998E-2</v>
      </c>
      <c r="F362" s="8">
        <v>3.4099999999999998E-2</v>
      </c>
      <c r="G362" s="8">
        <v>6.25E-2</v>
      </c>
      <c r="H362" s="8">
        <v>1.7000000000000001E-2</v>
      </c>
      <c r="I362" s="8">
        <v>6.25E-2</v>
      </c>
      <c r="J362" s="8">
        <v>5.7000000000000002E-3</v>
      </c>
      <c r="K362" s="8">
        <v>1.14E-2</v>
      </c>
      <c r="L362" s="8">
        <v>0.14199999999999999</v>
      </c>
      <c r="M362" s="8">
        <v>1.14E-2</v>
      </c>
      <c r="N362" s="8">
        <v>0.15909999999999999</v>
      </c>
      <c r="O362" s="8">
        <v>0.35799999999999998</v>
      </c>
      <c r="P362" s="8">
        <v>0.30680000000000002</v>
      </c>
    </row>
    <row r="363" spans="1:16" x14ac:dyDescent="0.3">
      <c r="A363" s="22" t="s">
        <v>68</v>
      </c>
      <c r="B363">
        <v>19</v>
      </c>
      <c r="C363" t="s">
        <v>64</v>
      </c>
      <c r="D363">
        <v>195</v>
      </c>
      <c r="F363" s="8">
        <v>5.2600000000000001E-2</v>
      </c>
      <c r="G363" s="8">
        <v>5.2600000000000001E-2</v>
      </c>
      <c r="I363" s="8">
        <v>5.2600000000000001E-2</v>
      </c>
      <c r="L363" s="8">
        <v>0.1053</v>
      </c>
      <c r="N363" s="8">
        <v>0.21049999999999999</v>
      </c>
      <c r="O363" s="8">
        <v>0.47370000000000001</v>
      </c>
      <c r="P363" s="8">
        <v>0.21049999999999999</v>
      </c>
    </row>
    <row r="365" spans="1:16" ht="43.2" x14ac:dyDescent="0.3">
      <c r="A365" s="22" t="s">
        <v>152</v>
      </c>
    </row>
    <row r="366" spans="1:16" x14ac:dyDescent="0.3">
      <c r="A366" s="22" t="s">
        <v>66</v>
      </c>
      <c r="B366" t="s">
        <v>62</v>
      </c>
      <c r="C366" t="s">
        <v>57</v>
      </c>
      <c r="D366" t="s">
        <v>63</v>
      </c>
      <c r="E366" t="s">
        <v>128</v>
      </c>
      <c r="F366" t="s">
        <v>129</v>
      </c>
      <c r="G366" t="s">
        <v>130</v>
      </c>
      <c r="H366" t="s">
        <v>131</v>
      </c>
      <c r="I366" t="s">
        <v>132</v>
      </c>
      <c r="J366" t="s">
        <v>133</v>
      </c>
      <c r="K366" t="s">
        <v>134</v>
      </c>
      <c r="L366" t="s">
        <v>135</v>
      </c>
      <c r="M366" t="s">
        <v>136</v>
      </c>
      <c r="N366" t="s">
        <v>137</v>
      </c>
      <c r="O366" t="s">
        <v>138</v>
      </c>
      <c r="P366" t="s">
        <v>139</v>
      </c>
    </row>
    <row r="367" spans="1:16" x14ac:dyDescent="0.3">
      <c r="A367" s="22" t="s">
        <v>81</v>
      </c>
      <c r="B367">
        <v>55</v>
      </c>
      <c r="C367" t="s">
        <v>64</v>
      </c>
      <c r="D367">
        <v>195</v>
      </c>
      <c r="E367" s="8">
        <v>3.6400000000000002E-2</v>
      </c>
      <c r="F367" s="8">
        <v>3.6400000000000002E-2</v>
      </c>
      <c r="G367" s="8">
        <v>1.8200000000000001E-2</v>
      </c>
      <c r="H367" s="8">
        <v>1.8200000000000001E-2</v>
      </c>
      <c r="I367" s="8">
        <v>1.8200000000000001E-2</v>
      </c>
      <c r="L367" s="8">
        <v>0.1091</v>
      </c>
      <c r="N367" s="8">
        <v>0.1273</v>
      </c>
      <c r="O367" s="8">
        <v>0.43640000000000001</v>
      </c>
      <c r="P367" s="8">
        <v>0.36359999999999998</v>
      </c>
    </row>
    <row r="368" spans="1:16" x14ac:dyDescent="0.3">
      <c r="A368" s="22" t="s">
        <v>82</v>
      </c>
      <c r="B368">
        <v>47</v>
      </c>
      <c r="C368" t="s">
        <v>64</v>
      </c>
      <c r="D368">
        <v>195</v>
      </c>
      <c r="E368" s="8">
        <v>4.2599999999999999E-2</v>
      </c>
      <c r="F368" s="8">
        <v>6.3799999999999996E-2</v>
      </c>
      <c r="G368" s="8">
        <v>8.5099999999999995E-2</v>
      </c>
      <c r="I368" s="8">
        <v>0.10639999999999999</v>
      </c>
      <c r="J368" s="8">
        <v>2.1299999999999999E-2</v>
      </c>
      <c r="K368" s="8">
        <v>4.2599999999999999E-2</v>
      </c>
      <c r="L368" s="8">
        <v>6.3799999999999996E-2</v>
      </c>
      <c r="M368" s="8">
        <v>4.2599999999999999E-2</v>
      </c>
      <c r="N368" s="8">
        <v>0.1489</v>
      </c>
      <c r="O368" s="8">
        <v>0.44679999999999997</v>
      </c>
      <c r="P368" s="8">
        <v>0.23400000000000001</v>
      </c>
    </row>
    <row r="369" spans="1:16" x14ac:dyDescent="0.3">
      <c r="A369" s="22" t="s">
        <v>83</v>
      </c>
      <c r="B369">
        <v>48</v>
      </c>
      <c r="C369" t="s">
        <v>64</v>
      </c>
      <c r="D369">
        <v>195</v>
      </c>
      <c r="E369" s="8">
        <v>2.0799999999999999E-2</v>
      </c>
      <c r="F369" s="8">
        <v>4.1700000000000001E-2</v>
      </c>
      <c r="G369" s="8">
        <v>0.1042</v>
      </c>
      <c r="H369" s="8">
        <v>4.1700000000000001E-2</v>
      </c>
      <c r="I369" s="8">
        <v>6.25E-2</v>
      </c>
      <c r="L369" s="8">
        <v>0.1042</v>
      </c>
      <c r="N369" s="8">
        <v>0.14580000000000001</v>
      </c>
      <c r="O369" s="8">
        <v>0.3125</v>
      </c>
      <c r="P369" s="8">
        <v>0.29170000000000001</v>
      </c>
    </row>
    <row r="370" spans="1:16" x14ac:dyDescent="0.3">
      <c r="A370" s="22" t="s">
        <v>84</v>
      </c>
      <c r="B370">
        <v>45</v>
      </c>
      <c r="C370" t="s">
        <v>64</v>
      </c>
      <c r="D370">
        <v>195</v>
      </c>
      <c r="E370" s="8">
        <v>2.2200000000000001E-2</v>
      </c>
      <c r="G370" s="8">
        <v>4.4400000000000002E-2</v>
      </c>
      <c r="I370" s="8">
        <v>6.6699999999999995E-2</v>
      </c>
      <c r="L370" s="8">
        <v>0.28889999999999999</v>
      </c>
      <c r="N370" s="8">
        <v>0.24440000000000001</v>
      </c>
      <c r="O370" s="8">
        <v>0.26669999999999999</v>
      </c>
      <c r="P370" s="8">
        <v>0.28889999999999999</v>
      </c>
    </row>
    <row r="372" spans="1:16" ht="43.2" x14ac:dyDescent="0.3">
      <c r="A372" s="22" t="s">
        <v>153</v>
      </c>
    </row>
    <row r="373" spans="1:16" x14ac:dyDescent="0.3">
      <c r="A373" s="22" t="s">
        <v>62</v>
      </c>
      <c r="B373" t="s">
        <v>57</v>
      </c>
      <c r="C373" t="s">
        <v>63</v>
      </c>
      <c r="D373" t="s">
        <v>128</v>
      </c>
      <c r="E373" t="s">
        <v>154</v>
      </c>
      <c r="F373" t="s">
        <v>129</v>
      </c>
      <c r="G373" t="s">
        <v>130</v>
      </c>
      <c r="H373" t="s">
        <v>131</v>
      </c>
      <c r="I373" t="s">
        <v>132</v>
      </c>
      <c r="J373" t="s">
        <v>134</v>
      </c>
      <c r="K373" t="s">
        <v>135</v>
      </c>
      <c r="L373" t="s">
        <v>137</v>
      </c>
      <c r="M373" t="s">
        <v>138</v>
      </c>
      <c r="N373" t="s">
        <v>139</v>
      </c>
      <c r="O373" t="s">
        <v>155</v>
      </c>
    </row>
    <row r="374" spans="1:16" x14ac:dyDescent="0.3">
      <c r="A374" s="22">
        <v>130</v>
      </c>
      <c r="B374" t="s">
        <v>64</v>
      </c>
      <c r="C374">
        <v>130</v>
      </c>
      <c r="D374" s="8">
        <v>8.4599999999999995E-2</v>
      </c>
      <c r="E374" s="8">
        <v>7.7000000000000002E-3</v>
      </c>
      <c r="F374" s="8">
        <v>7.6899999999999996E-2</v>
      </c>
      <c r="G374" s="8">
        <v>6.1499999999999999E-2</v>
      </c>
      <c r="H374" s="8">
        <v>2.3099999999999999E-2</v>
      </c>
      <c r="I374" s="8">
        <v>7.6899999999999996E-2</v>
      </c>
      <c r="J374" s="8">
        <v>2.3099999999999999E-2</v>
      </c>
      <c r="K374" s="8">
        <v>3.85E-2</v>
      </c>
      <c r="L374" s="8">
        <v>0.26150000000000001</v>
      </c>
      <c r="M374" s="8">
        <v>0.39229999999999998</v>
      </c>
      <c r="N374" s="8">
        <v>0.28460000000000002</v>
      </c>
      <c r="O374" s="8">
        <v>1.54E-2</v>
      </c>
    </row>
    <row r="376" spans="1:16" ht="72" x14ac:dyDescent="0.3">
      <c r="A376" s="22" t="s">
        <v>156</v>
      </c>
    </row>
    <row r="377" spans="1:16" x14ac:dyDescent="0.3">
      <c r="A377" s="22" t="s">
        <v>66</v>
      </c>
      <c r="B377" t="s">
        <v>62</v>
      </c>
      <c r="C377" t="s">
        <v>57</v>
      </c>
      <c r="D377" t="s">
        <v>63</v>
      </c>
      <c r="E377" t="s">
        <v>128</v>
      </c>
      <c r="F377" t="s">
        <v>154</v>
      </c>
      <c r="G377" t="s">
        <v>129</v>
      </c>
      <c r="H377" t="s">
        <v>130</v>
      </c>
      <c r="I377" t="s">
        <v>131</v>
      </c>
      <c r="J377" t="s">
        <v>132</v>
      </c>
      <c r="K377" t="s">
        <v>134</v>
      </c>
      <c r="L377" t="s">
        <v>135</v>
      </c>
      <c r="M377" t="s">
        <v>137</v>
      </c>
      <c r="N377" t="s">
        <v>138</v>
      </c>
      <c r="O377" t="s">
        <v>139</v>
      </c>
      <c r="P377" t="s">
        <v>155</v>
      </c>
    </row>
    <row r="378" spans="1:16" x14ac:dyDescent="0.3">
      <c r="A378" s="22" t="s">
        <v>67</v>
      </c>
      <c r="B378">
        <v>123</v>
      </c>
      <c r="C378" t="s">
        <v>64</v>
      </c>
      <c r="D378">
        <v>130</v>
      </c>
      <c r="E378" s="8">
        <v>8.9399999999999993E-2</v>
      </c>
      <c r="F378" s="8">
        <v>8.0999999999999996E-3</v>
      </c>
      <c r="G378" s="8">
        <v>7.3200000000000001E-2</v>
      </c>
      <c r="H378" s="8">
        <v>6.5000000000000002E-2</v>
      </c>
      <c r="I378" s="8">
        <v>2.4400000000000002E-2</v>
      </c>
      <c r="J378" s="8">
        <v>8.1299999999999997E-2</v>
      </c>
      <c r="K378" s="8">
        <v>2.4400000000000002E-2</v>
      </c>
      <c r="L378" s="8">
        <v>3.2500000000000001E-2</v>
      </c>
      <c r="M378" s="8">
        <v>0.24390000000000001</v>
      </c>
      <c r="N378" s="8">
        <v>0.41460000000000002</v>
      </c>
      <c r="O378" s="8">
        <v>0.27639999999999998</v>
      </c>
      <c r="P378" s="8">
        <v>1.6299999999999999E-2</v>
      </c>
    </row>
    <row r="379" spans="1:16" x14ac:dyDescent="0.3">
      <c r="A379" s="22" t="s">
        <v>68</v>
      </c>
      <c r="B379">
        <v>7</v>
      </c>
      <c r="C379" t="s">
        <v>64</v>
      </c>
      <c r="D379">
        <v>130</v>
      </c>
      <c r="G379" s="8">
        <v>0.1429</v>
      </c>
      <c r="L379" s="8">
        <v>0.1429</v>
      </c>
      <c r="M379" s="8">
        <v>0.57140000000000002</v>
      </c>
      <c r="O379" s="8">
        <v>0.42859999999999998</v>
      </c>
    </row>
    <row r="381" spans="1:16" x14ac:dyDescent="0.3">
      <c r="A381"/>
    </row>
    <row r="382" spans="1:16" x14ac:dyDescent="0.3">
      <c r="A382"/>
    </row>
    <row r="383" spans="1:16" x14ac:dyDescent="0.3">
      <c r="A383"/>
    </row>
    <row r="385" spans="1:16" ht="72" x14ac:dyDescent="0.3">
      <c r="A385" s="22" t="s">
        <v>157</v>
      </c>
    </row>
    <row r="386" spans="1:16" x14ac:dyDescent="0.3">
      <c r="A386" s="22" t="s">
        <v>66</v>
      </c>
      <c r="B386" t="s">
        <v>62</v>
      </c>
      <c r="C386" t="s">
        <v>57</v>
      </c>
      <c r="D386" t="s">
        <v>63</v>
      </c>
      <c r="E386" t="s">
        <v>128</v>
      </c>
      <c r="F386" t="s">
        <v>154</v>
      </c>
      <c r="G386" t="s">
        <v>129</v>
      </c>
      <c r="H386" t="s">
        <v>130</v>
      </c>
      <c r="I386" t="s">
        <v>131</v>
      </c>
      <c r="J386" t="s">
        <v>132</v>
      </c>
      <c r="K386" t="s">
        <v>134</v>
      </c>
      <c r="L386" t="s">
        <v>135</v>
      </c>
      <c r="M386" t="s">
        <v>137</v>
      </c>
      <c r="N386" t="s">
        <v>138</v>
      </c>
      <c r="O386" t="s">
        <v>139</v>
      </c>
      <c r="P386" t="s">
        <v>155</v>
      </c>
    </row>
    <row r="387" spans="1:16" x14ac:dyDescent="0.3">
      <c r="A387" s="22" t="s">
        <v>67</v>
      </c>
      <c r="B387">
        <v>124</v>
      </c>
      <c r="C387" t="s">
        <v>64</v>
      </c>
      <c r="D387">
        <v>130</v>
      </c>
      <c r="E387" s="8">
        <v>8.8700000000000001E-2</v>
      </c>
      <c r="F387" s="8">
        <v>8.0999999999999996E-3</v>
      </c>
      <c r="G387" s="8">
        <v>8.0600000000000005E-2</v>
      </c>
      <c r="H387" s="8">
        <v>5.6500000000000002E-2</v>
      </c>
      <c r="I387" s="8">
        <v>2.4199999999999999E-2</v>
      </c>
      <c r="J387" s="8">
        <v>8.0600000000000005E-2</v>
      </c>
      <c r="K387" s="8">
        <v>2.4199999999999999E-2</v>
      </c>
      <c r="L387" s="8">
        <v>4.0300000000000002E-2</v>
      </c>
      <c r="M387" s="8">
        <v>0.25</v>
      </c>
      <c r="N387" s="8">
        <v>0.4032</v>
      </c>
      <c r="O387" s="8">
        <v>0.2742</v>
      </c>
      <c r="P387" s="8">
        <v>1.61E-2</v>
      </c>
    </row>
    <row r="388" spans="1:16" x14ac:dyDescent="0.3">
      <c r="A388" s="22" t="s">
        <v>68</v>
      </c>
      <c r="B388">
        <v>6</v>
      </c>
      <c r="C388" t="s">
        <v>64</v>
      </c>
      <c r="D388">
        <v>130</v>
      </c>
      <c r="H388" s="8">
        <v>0.16669999999999999</v>
      </c>
      <c r="M388" s="8">
        <v>0.5</v>
      </c>
      <c r="N388" s="8">
        <v>0.16669999999999999</v>
      </c>
      <c r="O388" s="8">
        <v>0.5</v>
      </c>
    </row>
    <row r="390" spans="1:16" ht="72" x14ac:dyDescent="0.3">
      <c r="A390" s="22" t="s">
        <v>158</v>
      </c>
    </row>
    <row r="391" spans="1:16" x14ac:dyDescent="0.3">
      <c r="A391" s="22" t="s">
        <v>66</v>
      </c>
      <c r="B391" t="s">
        <v>62</v>
      </c>
      <c r="C391" t="s">
        <v>57</v>
      </c>
      <c r="D391" t="s">
        <v>63</v>
      </c>
      <c r="E391" t="s">
        <v>128</v>
      </c>
      <c r="F391" t="s">
        <v>154</v>
      </c>
      <c r="G391" t="s">
        <v>129</v>
      </c>
      <c r="H391" t="s">
        <v>130</v>
      </c>
      <c r="I391" t="s">
        <v>131</v>
      </c>
      <c r="J391" t="s">
        <v>132</v>
      </c>
      <c r="K391" t="s">
        <v>134</v>
      </c>
      <c r="L391" t="s">
        <v>135</v>
      </c>
      <c r="M391" t="s">
        <v>137</v>
      </c>
      <c r="N391" t="s">
        <v>138</v>
      </c>
      <c r="O391" t="s">
        <v>139</v>
      </c>
      <c r="P391" t="s">
        <v>155</v>
      </c>
    </row>
    <row r="392" spans="1:16" x14ac:dyDescent="0.3">
      <c r="A392" s="22" t="s">
        <v>67</v>
      </c>
      <c r="B392">
        <v>129</v>
      </c>
      <c r="C392" t="s">
        <v>64</v>
      </c>
      <c r="D392">
        <v>130</v>
      </c>
      <c r="E392" s="8">
        <v>8.5300000000000001E-2</v>
      </c>
      <c r="F392" s="8">
        <v>7.7999999999999996E-3</v>
      </c>
      <c r="G392" s="8">
        <v>7.7499999999999999E-2</v>
      </c>
      <c r="H392" s="8">
        <v>6.2E-2</v>
      </c>
      <c r="I392" s="8">
        <v>2.3300000000000001E-2</v>
      </c>
      <c r="J392" s="8">
        <v>7.7499999999999999E-2</v>
      </c>
      <c r="K392" s="8">
        <v>2.3300000000000001E-2</v>
      </c>
      <c r="L392" s="8">
        <v>3.8800000000000001E-2</v>
      </c>
      <c r="M392" s="8">
        <v>0.2636</v>
      </c>
      <c r="N392" s="8">
        <v>0.39529999999999998</v>
      </c>
      <c r="O392" s="8">
        <v>0.27910000000000001</v>
      </c>
      <c r="P392" s="8">
        <v>1.55E-2</v>
      </c>
    </row>
    <row r="393" spans="1:16" x14ac:dyDescent="0.3">
      <c r="A393" s="22" t="s">
        <v>68</v>
      </c>
      <c r="B393">
        <v>1</v>
      </c>
      <c r="C393" t="s">
        <v>64</v>
      </c>
      <c r="D393">
        <v>130</v>
      </c>
      <c r="O393" s="8">
        <v>1</v>
      </c>
    </row>
    <row r="395" spans="1:16" ht="72" x14ac:dyDescent="0.3">
      <c r="A395" s="22" t="s">
        <v>159</v>
      </c>
    </row>
    <row r="396" spans="1:16" x14ac:dyDescent="0.3">
      <c r="A396" s="22" t="s">
        <v>66</v>
      </c>
      <c r="B396" t="s">
        <v>62</v>
      </c>
      <c r="C396" t="s">
        <v>57</v>
      </c>
      <c r="D396" t="s">
        <v>63</v>
      </c>
      <c r="E396" t="s">
        <v>128</v>
      </c>
      <c r="F396" t="s">
        <v>154</v>
      </c>
      <c r="G396" t="s">
        <v>129</v>
      </c>
      <c r="H396" t="s">
        <v>130</v>
      </c>
      <c r="I396" t="s">
        <v>131</v>
      </c>
      <c r="J396" t="s">
        <v>132</v>
      </c>
      <c r="K396" t="s">
        <v>134</v>
      </c>
      <c r="L396" t="s">
        <v>135</v>
      </c>
      <c r="M396" t="s">
        <v>137</v>
      </c>
      <c r="N396" t="s">
        <v>138</v>
      </c>
      <c r="O396" t="s">
        <v>139</v>
      </c>
      <c r="P396" t="s">
        <v>155</v>
      </c>
    </row>
    <row r="397" spans="1:16" x14ac:dyDescent="0.3">
      <c r="A397" s="22" t="s">
        <v>67</v>
      </c>
      <c r="B397">
        <v>120</v>
      </c>
      <c r="C397" t="s">
        <v>64</v>
      </c>
      <c r="D397">
        <v>130</v>
      </c>
      <c r="E397" s="8">
        <v>9.1700000000000004E-2</v>
      </c>
      <c r="F397" s="8">
        <v>8.3000000000000001E-3</v>
      </c>
      <c r="G397" s="8">
        <v>7.4999999999999997E-2</v>
      </c>
      <c r="H397" s="8">
        <v>5.8299999999999998E-2</v>
      </c>
      <c r="I397" s="8">
        <v>2.5000000000000001E-2</v>
      </c>
      <c r="J397" s="8">
        <v>7.4999999999999997E-2</v>
      </c>
      <c r="K397" s="8">
        <v>2.5000000000000001E-2</v>
      </c>
      <c r="L397" s="8">
        <v>4.1700000000000001E-2</v>
      </c>
      <c r="M397" s="8">
        <v>0.22500000000000001</v>
      </c>
      <c r="N397" s="8">
        <v>0.39169999999999999</v>
      </c>
      <c r="O397" s="8">
        <v>0.27500000000000002</v>
      </c>
      <c r="P397" s="8">
        <v>1.67E-2</v>
      </c>
    </row>
    <row r="398" spans="1:16" x14ac:dyDescent="0.3">
      <c r="A398" s="22" t="s">
        <v>68</v>
      </c>
      <c r="B398">
        <v>10</v>
      </c>
      <c r="C398" t="s">
        <v>64</v>
      </c>
      <c r="D398">
        <v>130</v>
      </c>
      <c r="G398" s="8">
        <v>0.1</v>
      </c>
      <c r="H398" s="8">
        <v>0.1</v>
      </c>
      <c r="J398" s="8">
        <v>0.1</v>
      </c>
      <c r="M398" s="8">
        <v>0.7</v>
      </c>
      <c r="N398" s="8">
        <v>0.4</v>
      </c>
      <c r="O398" s="8">
        <v>0.4</v>
      </c>
    </row>
    <row r="400" spans="1:16" ht="72" x14ac:dyDescent="0.3">
      <c r="A400" s="22" t="s">
        <v>160</v>
      </c>
    </row>
    <row r="401" spans="1:16" x14ac:dyDescent="0.3">
      <c r="A401" s="22" t="s">
        <v>66</v>
      </c>
      <c r="B401" t="s">
        <v>62</v>
      </c>
      <c r="C401" t="s">
        <v>57</v>
      </c>
      <c r="D401" t="s">
        <v>63</v>
      </c>
      <c r="E401" t="s">
        <v>128</v>
      </c>
      <c r="F401" t="s">
        <v>154</v>
      </c>
      <c r="G401" t="s">
        <v>129</v>
      </c>
      <c r="H401" t="s">
        <v>130</v>
      </c>
      <c r="I401" t="s">
        <v>131</v>
      </c>
      <c r="J401" t="s">
        <v>132</v>
      </c>
      <c r="K401" t="s">
        <v>134</v>
      </c>
      <c r="L401" t="s">
        <v>135</v>
      </c>
      <c r="M401" t="s">
        <v>137</v>
      </c>
      <c r="N401" t="s">
        <v>138</v>
      </c>
      <c r="O401" t="s">
        <v>139</v>
      </c>
      <c r="P401" t="s">
        <v>155</v>
      </c>
    </row>
    <row r="402" spans="1:16" x14ac:dyDescent="0.3">
      <c r="A402" s="22" t="s">
        <v>67</v>
      </c>
      <c r="B402">
        <v>5</v>
      </c>
      <c r="C402" t="s">
        <v>64</v>
      </c>
      <c r="D402">
        <v>130</v>
      </c>
      <c r="E402" s="8">
        <v>0.2</v>
      </c>
      <c r="G402" s="8">
        <v>0.2</v>
      </c>
      <c r="H402" s="8">
        <v>0.2</v>
      </c>
      <c r="K402" s="8">
        <v>0.2</v>
      </c>
      <c r="L402" s="8">
        <v>0.2</v>
      </c>
      <c r="M402" s="8">
        <v>0.2</v>
      </c>
    </row>
    <row r="403" spans="1:16" x14ac:dyDescent="0.3">
      <c r="A403" s="22" t="s">
        <v>68</v>
      </c>
      <c r="B403">
        <v>125</v>
      </c>
      <c r="C403" t="s">
        <v>64</v>
      </c>
      <c r="D403">
        <v>130</v>
      </c>
      <c r="E403" s="8">
        <v>0.08</v>
      </c>
      <c r="F403" s="8">
        <v>8.0000000000000002E-3</v>
      </c>
      <c r="G403" s="8">
        <v>7.1999999999999995E-2</v>
      </c>
      <c r="H403" s="8">
        <v>5.6000000000000001E-2</v>
      </c>
      <c r="I403" s="8">
        <v>2.4E-2</v>
      </c>
      <c r="J403" s="8">
        <v>0.08</v>
      </c>
      <c r="K403" s="8">
        <v>1.6E-2</v>
      </c>
      <c r="L403" s="8">
        <v>3.2000000000000001E-2</v>
      </c>
      <c r="M403" s="8">
        <v>0.26400000000000001</v>
      </c>
      <c r="N403" s="8">
        <v>0.40799999999999997</v>
      </c>
      <c r="O403" s="8">
        <v>0.29599999999999999</v>
      </c>
      <c r="P403" s="8">
        <v>1.6E-2</v>
      </c>
    </row>
    <row r="405" spans="1:16" ht="72" x14ac:dyDescent="0.3">
      <c r="A405" s="22" t="s">
        <v>161</v>
      </c>
    </row>
    <row r="406" spans="1:16" x14ac:dyDescent="0.3">
      <c r="A406" s="22" t="s">
        <v>66</v>
      </c>
      <c r="B406" t="s">
        <v>62</v>
      </c>
      <c r="C406" t="s">
        <v>57</v>
      </c>
      <c r="D406" t="s">
        <v>63</v>
      </c>
      <c r="E406" t="s">
        <v>128</v>
      </c>
      <c r="F406" t="s">
        <v>154</v>
      </c>
      <c r="G406" t="s">
        <v>129</v>
      </c>
      <c r="H406" t="s">
        <v>130</v>
      </c>
      <c r="I406" t="s">
        <v>131</v>
      </c>
      <c r="J406" t="s">
        <v>132</v>
      </c>
      <c r="K406" t="s">
        <v>134</v>
      </c>
      <c r="L406" t="s">
        <v>135</v>
      </c>
      <c r="M406" t="s">
        <v>137</v>
      </c>
      <c r="N406" t="s">
        <v>138</v>
      </c>
      <c r="O406" t="s">
        <v>139</v>
      </c>
      <c r="P406" t="s">
        <v>155</v>
      </c>
    </row>
    <row r="407" spans="1:16" x14ac:dyDescent="0.3">
      <c r="A407" s="22" t="s">
        <v>67</v>
      </c>
      <c r="B407">
        <v>106</v>
      </c>
      <c r="C407" t="s">
        <v>64</v>
      </c>
      <c r="D407">
        <v>130</v>
      </c>
      <c r="E407" s="8">
        <v>0.1038</v>
      </c>
      <c r="F407" s="8">
        <v>9.4000000000000004E-3</v>
      </c>
      <c r="G407" s="8">
        <v>5.6599999999999998E-2</v>
      </c>
      <c r="H407" s="8">
        <v>5.6599999999999998E-2</v>
      </c>
      <c r="I407" s="8">
        <v>2.8299999999999999E-2</v>
      </c>
      <c r="J407" s="8">
        <v>9.4299999999999995E-2</v>
      </c>
      <c r="K407" s="8">
        <v>2.8299999999999999E-2</v>
      </c>
      <c r="L407" s="8">
        <v>4.7199999999999999E-2</v>
      </c>
      <c r="M407" s="8">
        <v>0.28299999999999997</v>
      </c>
      <c r="N407" s="8">
        <v>0.27360000000000001</v>
      </c>
      <c r="O407" s="8">
        <v>0.32079999999999997</v>
      </c>
      <c r="P407" s="8">
        <v>9.4000000000000004E-3</v>
      </c>
    </row>
    <row r="408" spans="1:16" x14ac:dyDescent="0.3">
      <c r="A408" s="22" t="s">
        <v>68</v>
      </c>
      <c r="B408">
        <v>24</v>
      </c>
      <c r="C408" t="s">
        <v>64</v>
      </c>
      <c r="D408">
        <v>130</v>
      </c>
      <c r="G408" s="8">
        <v>0.16669999999999999</v>
      </c>
      <c r="H408" s="8">
        <v>8.3299999999999999E-2</v>
      </c>
      <c r="M408" s="8">
        <v>0.16669999999999999</v>
      </c>
      <c r="N408" s="8">
        <v>0.91669999999999996</v>
      </c>
      <c r="O408" s="8">
        <v>0.125</v>
      </c>
      <c r="P408" s="8">
        <v>4.1700000000000001E-2</v>
      </c>
    </row>
    <row r="410" spans="1:16" ht="72" x14ac:dyDescent="0.3">
      <c r="A410" s="22" t="s">
        <v>162</v>
      </c>
    </row>
    <row r="411" spans="1:16" x14ac:dyDescent="0.3">
      <c r="A411" s="22" t="s">
        <v>66</v>
      </c>
      <c r="B411" t="s">
        <v>62</v>
      </c>
      <c r="C411" t="s">
        <v>57</v>
      </c>
      <c r="D411" t="s">
        <v>63</v>
      </c>
      <c r="E411" t="s">
        <v>128</v>
      </c>
      <c r="F411" t="s">
        <v>154</v>
      </c>
      <c r="G411" t="s">
        <v>129</v>
      </c>
      <c r="H411" t="s">
        <v>130</v>
      </c>
      <c r="I411" t="s">
        <v>131</v>
      </c>
      <c r="J411" t="s">
        <v>132</v>
      </c>
      <c r="K411" t="s">
        <v>134</v>
      </c>
      <c r="L411" t="s">
        <v>135</v>
      </c>
      <c r="M411" t="s">
        <v>137</v>
      </c>
      <c r="N411" t="s">
        <v>138</v>
      </c>
      <c r="O411" t="s">
        <v>139</v>
      </c>
      <c r="P411" t="s">
        <v>155</v>
      </c>
    </row>
    <row r="412" spans="1:16" x14ac:dyDescent="0.3">
      <c r="A412" s="22" t="s">
        <v>67</v>
      </c>
      <c r="B412">
        <v>101</v>
      </c>
      <c r="C412" t="s">
        <v>64</v>
      </c>
      <c r="D412">
        <v>130</v>
      </c>
      <c r="E412" s="8">
        <v>6.93E-2</v>
      </c>
      <c r="F412" s="8">
        <v>9.9000000000000008E-3</v>
      </c>
      <c r="G412" s="8">
        <v>5.9400000000000001E-2</v>
      </c>
      <c r="H412" s="8">
        <v>5.9400000000000001E-2</v>
      </c>
      <c r="I412" s="8">
        <v>1.9800000000000002E-2</v>
      </c>
      <c r="J412" s="8">
        <v>6.93E-2</v>
      </c>
      <c r="K412" s="8">
        <v>9.9000000000000008E-3</v>
      </c>
      <c r="L412" s="8">
        <v>4.9500000000000002E-2</v>
      </c>
      <c r="M412" s="8">
        <v>0.25740000000000002</v>
      </c>
      <c r="N412" s="8">
        <v>0.4158</v>
      </c>
      <c r="O412" s="8">
        <v>0.30690000000000001</v>
      </c>
      <c r="P412" s="8">
        <v>1.9800000000000002E-2</v>
      </c>
    </row>
    <row r="413" spans="1:16" x14ac:dyDescent="0.3">
      <c r="A413" s="22" t="s">
        <v>68</v>
      </c>
      <c r="B413">
        <v>29</v>
      </c>
      <c r="C413" t="s">
        <v>64</v>
      </c>
      <c r="D413">
        <v>130</v>
      </c>
      <c r="E413" s="8">
        <v>0.13789999999999999</v>
      </c>
      <c r="G413" s="8">
        <v>0.13789999999999999</v>
      </c>
      <c r="H413" s="8">
        <v>6.9000000000000006E-2</v>
      </c>
      <c r="I413" s="8">
        <v>3.4500000000000003E-2</v>
      </c>
      <c r="J413" s="8">
        <v>0.10340000000000001</v>
      </c>
      <c r="K413" s="8">
        <v>6.9000000000000006E-2</v>
      </c>
      <c r="M413" s="8">
        <v>0.27589999999999998</v>
      </c>
      <c r="N413" s="8">
        <v>0.31030000000000002</v>
      </c>
      <c r="O413" s="8">
        <v>0.2069</v>
      </c>
    </row>
    <row r="415" spans="1:16" ht="72" x14ac:dyDescent="0.3">
      <c r="A415" s="22" t="s">
        <v>163</v>
      </c>
    </row>
    <row r="416" spans="1:16" x14ac:dyDescent="0.3">
      <c r="A416" s="22" t="s">
        <v>66</v>
      </c>
      <c r="B416" t="s">
        <v>62</v>
      </c>
      <c r="C416" t="s">
        <v>57</v>
      </c>
      <c r="D416" t="s">
        <v>63</v>
      </c>
      <c r="E416" t="s">
        <v>128</v>
      </c>
      <c r="F416" t="s">
        <v>154</v>
      </c>
      <c r="G416" t="s">
        <v>129</v>
      </c>
      <c r="H416" t="s">
        <v>130</v>
      </c>
      <c r="I416" t="s">
        <v>131</v>
      </c>
      <c r="J416" t="s">
        <v>132</v>
      </c>
      <c r="K416" t="s">
        <v>134</v>
      </c>
      <c r="L416" t="s">
        <v>135</v>
      </c>
      <c r="M416" t="s">
        <v>137</v>
      </c>
      <c r="N416" t="s">
        <v>138</v>
      </c>
      <c r="O416" t="s">
        <v>139</v>
      </c>
      <c r="P416" t="s">
        <v>155</v>
      </c>
    </row>
    <row r="417" spans="1:16" x14ac:dyDescent="0.3">
      <c r="A417" s="22" t="s">
        <v>67</v>
      </c>
      <c r="B417">
        <v>98</v>
      </c>
      <c r="C417" t="s">
        <v>64</v>
      </c>
      <c r="D417">
        <v>130</v>
      </c>
      <c r="E417" s="8">
        <v>7.1400000000000005E-2</v>
      </c>
      <c r="F417" s="8">
        <v>1.0200000000000001E-2</v>
      </c>
      <c r="G417" s="8">
        <v>8.1600000000000006E-2</v>
      </c>
      <c r="H417" s="8">
        <v>8.1600000000000006E-2</v>
      </c>
      <c r="I417" s="8">
        <v>3.0599999999999999E-2</v>
      </c>
      <c r="J417" s="8">
        <v>7.1400000000000005E-2</v>
      </c>
      <c r="K417" s="8">
        <v>1.0200000000000001E-2</v>
      </c>
      <c r="L417" s="8">
        <v>3.0599999999999999E-2</v>
      </c>
      <c r="M417" s="8">
        <v>0.24490000000000001</v>
      </c>
      <c r="N417" s="8">
        <v>0.36730000000000002</v>
      </c>
      <c r="O417" s="8">
        <v>0.35709999999999997</v>
      </c>
      <c r="P417" s="8">
        <v>2.0400000000000001E-2</v>
      </c>
    </row>
    <row r="418" spans="1:16" x14ac:dyDescent="0.3">
      <c r="A418" s="22" t="s">
        <v>68</v>
      </c>
      <c r="B418">
        <v>32</v>
      </c>
      <c r="C418" t="s">
        <v>64</v>
      </c>
      <c r="D418">
        <v>130</v>
      </c>
      <c r="E418" s="8">
        <v>0.125</v>
      </c>
      <c r="G418" s="8">
        <v>6.25E-2</v>
      </c>
      <c r="J418" s="8">
        <v>9.3799999999999994E-2</v>
      </c>
      <c r="K418" s="8">
        <v>6.25E-2</v>
      </c>
      <c r="L418" s="8">
        <v>6.25E-2</v>
      </c>
      <c r="M418" s="8">
        <v>0.3125</v>
      </c>
      <c r="N418" s="8">
        <v>0.46879999999999999</v>
      </c>
      <c r="O418" s="8">
        <v>6.25E-2</v>
      </c>
    </row>
    <row r="420" spans="1:16" ht="86.4" x14ac:dyDescent="0.3">
      <c r="A420" s="22" t="s">
        <v>164</v>
      </c>
    </row>
    <row r="421" spans="1:16" x14ac:dyDescent="0.3">
      <c r="A421" s="22" t="s">
        <v>66</v>
      </c>
      <c r="B421" t="s">
        <v>62</v>
      </c>
      <c r="C421" t="s">
        <v>57</v>
      </c>
      <c r="D421" t="s">
        <v>63</v>
      </c>
      <c r="E421" t="s">
        <v>128</v>
      </c>
      <c r="F421" t="s">
        <v>154</v>
      </c>
      <c r="G421" t="s">
        <v>129</v>
      </c>
      <c r="H421" t="s">
        <v>130</v>
      </c>
      <c r="I421" t="s">
        <v>131</v>
      </c>
      <c r="J421" t="s">
        <v>132</v>
      </c>
      <c r="K421" t="s">
        <v>134</v>
      </c>
      <c r="L421" t="s">
        <v>135</v>
      </c>
      <c r="M421" t="s">
        <v>137</v>
      </c>
      <c r="N421" t="s">
        <v>138</v>
      </c>
      <c r="O421" t="s">
        <v>139</v>
      </c>
      <c r="P421" t="s">
        <v>155</v>
      </c>
    </row>
    <row r="422" spans="1:16" x14ac:dyDescent="0.3">
      <c r="A422" s="22" t="s">
        <v>67</v>
      </c>
      <c r="B422">
        <v>118</v>
      </c>
      <c r="C422" t="s">
        <v>64</v>
      </c>
      <c r="D422">
        <v>130</v>
      </c>
      <c r="E422" s="8">
        <v>8.4699999999999998E-2</v>
      </c>
      <c r="F422" s="8">
        <v>8.5000000000000006E-3</v>
      </c>
      <c r="G422" s="8">
        <v>8.4699999999999998E-2</v>
      </c>
      <c r="H422" s="8">
        <v>4.24E-2</v>
      </c>
      <c r="I422" s="8">
        <v>2.5399999999999999E-2</v>
      </c>
      <c r="J422" s="8">
        <v>8.4699999999999998E-2</v>
      </c>
      <c r="K422" s="8">
        <v>1.6899999999999998E-2</v>
      </c>
      <c r="L422" s="8">
        <v>2.5399999999999999E-2</v>
      </c>
      <c r="M422" s="8">
        <v>0.26269999999999999</v>
      </c>
      <c r="N422" s="8">
        <v>0.4153</v>
      </c>
      <c r="O422" s="8">
        <v>0.2797</v>
      </c>
      <c r="P422" s="8">
        <v>1.6899999999999998E-2</v>
      </c>
    </row>
    <row r="423" spans="1:16" x14ac:dyDescent="0.3">
      <c r="A423" s="22" t="s">
        <v>68</v>
      </c>
      <c r="B423">
        <v>12</v>
      </c>
      <c r="C423" t="s">
        <v>64</v>
      </c>
      <c r="D423">
        <v>130</v>
      </c>
      <c r="E423" s="8">
        <v>8.3299999999999999E-2</v>
      </c>
      <c r="H423" s="8">
        <v>0.25</v>
      </c>
      <c r="K423" s="8">
        <v>8.3299999999999999E-2</v>
      </c>
      <c r="L423" s="8">
        <v>0.16669999999999999</v>
      </c>
      <c r="M423" s="8">
        <v>0.25</v>
      </c>
      <c r="N423" s="8">
        <v>0.16669999999999999</v>
      </c>
      <c r="O423" s="8">
        <v>0.33329999999999999</v>
      </c>
    </row>
    <row r="425" spans="1:16" ht="86.4" x14ac:dyDescent="0.3">
      <c r="A425" s="22" t="s">
        <v>165</v>
      </c>
    </row>
    <row r="426" spans="1:16" x14ac:dyDescent="0.3">
      <c r="A426" s="22" t="s">
        <v>66</v>
      </c>
      <c r="B426" t="s">
        <v>62</v>
      </c>
      <c r="C426" t="s">
        <v>57</v>
      </c>
      <c r="D426" t="s">
        <v>63</v>
      </c>
      <c r="E426" t="s">
        <v>128</v>
      </c>
      <c r="F426" t="s">
        <v>154</v>
      </c>
      <c r="G426" t="s">
        <v>129</v>
      </c>
      <c r="H426" t="s">
        <v>130</v>
      </c>
      <c r="I426" t="s">
        <v>131</v>
      </c>
      <c r="J426" t="s">
        <v>132</v>
      </c>
      <c r="K426" t="s">
        <v>134</v>
      </c>
      <c r="L426" t="s">
        <v>135</v>
      </c>
      <c r="M426" t="s">
        <v>137</v>
      </c>
      <c r="N426" t="s">
        <v>138</v>
      </c>
      <c r="O426" t="s">
        <v>139</v>
      </c>
      <c r="P426" t="s">
        <v>155</v>
      </c>
    </row>
    <row r="427" spans="1:16" x14ac:dyDescent="0.3">
      <c r="A427" s="22" t="s">
        <v>67</v>
      </c>
      <c r="B427">
        <v>130</v>
      </c>
      <c r="C427" t="s">
        <v>64</v>
      </c>
      <c r="D427">
        <v>130</v>
      </c>
      <c r="E427" s="8">
        <v>8.4599999999999995E-2</v>
      </c>
      <c r="F427" s="8">
        <v>7.7000000000000002E-3</v>
      </c>
      <c r="G427" s="8">
        <v>7.6899999999999996E-2</v>
      </c>
      <c r="H427" s="8">
        <v>6.1499999999999999E-2</v>
      </c>
      <c r="I427" s="8">
        <v>2.3099999999999999E-2</v>
      </c>
      <c r="J427" s="8">
        <v>7.6899999999999996E-2</v>
      </c>
      <c r="K427" s="8">
        <v>2.3099999999999999E-2</v>
      </c>
      <c r="L427" s="8">
        <v>3.85E-2</v>
      </c>
      <c r="M427" s="8">
        <v>0.26150000000000001</v>
      </c>
      <c r="N427" s="8">
        <v>0.39229999999999998</v>
      </c>
      <c r="O427" s="8">
        <v>0.28460000000000002</v>
      </c>
      <c r="P427" s="8">
        <v>1.54E-2</v>
      </c>
    </row>
    <row r="429" spans="1:16" ht="72" x14ac:dyDescent="0.3">
      <c r="A429" s="22" t="s">
        <v>166</v>
      </c>
    </row>
    <row r="430" spans="1:16" x14ac:dyDescent="0.3">
      <c r="A430" s="22" t="s">
        <v>66</v>
      </c>
      <c r="B430" t="s">
        <v>62</v>
      </c>
      <c r="C430" t="s">
        <v>57</v>
      </c>
      <c r="D430" t="s">
        <v>63</v>
      </c>
      <c r="E430" t="s">
        <v>128</v>
      </c>
      <c r="F430" t="s">
        <v>154</v>
      </c>
      <c r="G430" t="s">
        <v>129</v>
      </c>
      <c r="H430" t="s">
        <v>130</v>
      </c>
      <c r="I430" t="s">
        <v>131</v>
      </c>
      <c r="J430" t="s">
        <v>132</v>
      </c>
      <c r="K430" t="s">
        <v>134</v>
      </c>
      <c r="L430" t="s">
        <v>135</v>
      </c>
      <c r="M430" t="s">
        <v>137</v>
      </c>
      <c r="N430" t="s">
        <v>138</v>
      </c>
      <c r="O430" t="s">
        <v>139</v>
      </c>
      <c r="P430" t="s">
        <v>155</v>
      </c>
    </row>
    <row r="431" spans="1:16" x14ac:dyDescent="0.3">
      <c r="A431" s="22" t="s">
        <v>67</v>
      </c>
      <c r="B431">
        <v>77</v>
      </c>
      <c r="C431" t="s">
        <v>64</v>
      </c>
      <c r="D431">
        <v>130</v>
      </c>
      <c r="E431" s="8">
        <v>9.0899999999999995E-2</v>
      </c>
      <c r="F431" s="8">
        <v>1.2999999999999999E-2</v>
      </c>
      <c r="G431" s="8">
        <v>6.4899999999999999E-2</v>
      </c>
      <c r="H431" s="8">
        <v>3.9E-2</v>
      </c>
      <c r="I431" s="8">
        <v>3.9E-2</v>
      </c>
      <c r="J431" s="8">
        <v>7.7899999999999997E-2</v>
      </c>
      <c r="K431" s="8">
        <v>2.5999999999999999E-2</v>
      </c>
      <c r="L431" s="8">
        <v>3.9E-2</v>
      </c>
      <c r="M431" s="8">
        <v>0.28570000000000001</v>
      </c>
      <c r="N431" s="8">
        <v>0.42859999999999998</v>
      </c>
      <c r="O431" s="8">
        <v>0.24679999999999999</v>
      </c>
      <c r="P431" s="8">
        <v>2.5999999999999999E-2</v>
      </c>
    </row>
    <row r="432" spans="1:16" x14ac:dyDescent="0.3">
      <c r="A432" s="22" t="s">
        <v>68</v>
      </c>
      <c r="B432">
        <v>53</v>
      </c>
      <c r="C432" t="s">
        <v>64</v>
      </c>
      <c r="D432">
        <v>130</v>
      </c>
      <c r="E432" s="8">
        <v>7.5499999999999998E-2</v>
      </c>
      <c r="G432" s="8">
        <v>9.4299999999999995E-2</v>
      </c>
      <c r="H432" s="8">
        <v>9.4299999999999995E-2</v>
      </c>
      <c r="J432" s="8">
        <v>7.5499999999999998E-2</v>
      </c>
      <c r="K432" s="8">
        <v>1.89E-2</v>
      </c>
      <c r="L432" s="8">
        <v>3.7699999999999997E-2</v>
      </c>
      <c r="M432" s="8">
        <v>0.22639999999999999</v>
      </c>
      <c r="N432" s="8">
        <v>0.33960000000000001</v>
      </c>
      <c r="O432" s="8">
        <v>0.33960000000000001</v>
      </c>
    </row>
    <row r="434" spans="1:16" ht="72" x14ac:dyDescent="0.3">
      <c r="A434" s="22" t="s">
        <v>167</v>
      </c>
    </row>
    <row r="435" spans="1:16" x14ac:dyDescent="0.3">
      <c r="A435" s="22" t="s">
        <v>66</v>
      </c>
      <c r="B435" t="s">
        <v>62</v>
      </c>
      <c r="C435" t="s">
        <v>57</v>
      </c>
      <c r="D435" t="s">
        <v>63</v>
      </c>
      <c r="E435" t="s">
        <v>128</v>
      </c>
      <c r="F435" t="s">
        <v>154</v>
      </c>
      <c r="G435" t="s">
        <v>129</v>
      </c>
      <c r="H435" t="s">
        <v>130</v>
      </c>
      <c r="I435" t="s">
        <v>131</v>
      </c>
      <c r="J435" t="s">
        <v>132</v>
      </c>
      <c r="K435" t="s">
        <v>134</v>
      </c>
      <c r="L435" t="s">
        <v>135</v>
      </c>
      <c r="M435" t="s">
        <v>137</v>
      </c>
      <c r="N435" t="s">
        <v>138</v>
      </c>
      <c r="O435" t="s">
        <v>139</v>
      </c>
      <c r="P435" t="s">
        <v>155</v>
      </c>
    </row>
    <row r="436" spans="1:16" x14ac:dyDescent="0.3">
      <c r="A436" s="22" t="s">
        <v>67</v>
      </c>
      <c r="B436">
        <v>114</v>
      </c>
      <c r="C436" t="s">
        <v>64</v>
      </c>
      <c r="D436">
        <v>130</v>
      </c>
      <c r="E436" s="8">
        <v>9.6500000000000002E-2</v>
      </c>
      <c r="G436" s="8">
        <v>7.8899999999999998E-2</v>
      </c>
      <c r="H436" s="8">
        <v>5.2600000000000001E-2</v>
      </c>
      <c r="I436" s="8">
        <v>2.63E-2</v>
      </c>
      <c r="J436" s="8">
        <v>7.8899999999999998E-2</v>
      </c>
      <c r="K436" s="8">
        <v>2.63E-2</v>
      </c>
      <c r="L436" s="8">
        <v>3.5099999999999999E-2</v>
      </c>
      <c r="M436" s="8">
        <v>0.23680000000000001</v>
      </c>
      <c r="N436" s="8">
        <v>0.38600000000000001</v>
      </c>
      <c r="O436" s="8">
        <v>0.29820000000000002</v>
      </c>
      <c r="P436" s="8">
        <v>1.7500000000000002E-2</v>
      </c>
    </row>
    <row r="437" spans="1:16" x14ac:dyDescent="0.3">
      <c r="A437" s="22" t="s">
        <v>68</v>
      </c>
      <c r="B437">
        <v>16</v>
      </c>
      <c r="C437" t="s">
        <v>64</v>
      </c>
      <c r="D437">
        <v>130</v>
      </c>
      <c r="F437" s="8">
        <v>6.25E-2</v>
      </c>
      <c r="G437" s="8">
        <v>6.25E-2</v>
      </c>
      <c r="H437" s="8">
        <v>0.125</v>
      </c>
      <c r="J437" s="8">
        <v>6.25E-2</v>
      </c>
      <c r="L437" s="8">
        <v>6.25E-2</v>
      </c>
      <c r="M437" s="8">
        <v>0.4375</v>
      </c>
      <c r="N437" s="8">
        <v>0.4375</v>
      </c>
      <c r="O437" s="8">
        <v>0.1875</v>
      </c>
    </row>
    <row r="439" spans="1:16" ht="57.6" x14ac:dyDescent="0.3">
      <c r="A439" s="22" t="s">
        <v>168</v>
      </c>
    </row>
    <row r="440" spans="1:16" x14ac:dyDescent="0.3">
      <c r="A440" s="22" t="s">
        <v>66</v>
      </c>
      <c r="B440" t="s">
        <v>62</v>
      </c>
      <c r="C440" t="s">
        <v>57</v>
      </c>
      <c r="D440" t="s">
        <v>63</v>
      </c>
      <c r="E440" t="s">
        <v>128</v>
      </c>
      <c r="F440" t="s">
        <v>154</v>
      </c>
      <c r="G440" t="s">
        <v>129</v>
      </c>
      <c r="H440" t="s">
        <v>130</v>
      </c>
      <c r="I440" t="s">
        <v>131</v>
      </c>
      <c r="J440" t="s">
        <v>132</v>
      </c>
      <c r="K440" t="s">
        <v>134</v>
      </c>
      <c r="L440" t="s">
        <v>135</v>
      </c>
      <c r="M440" t="s">
        <v>137</v>
      </c>
      <c r="N440" t="s">
        <v>138</v>
      </c>
      <c r="O440" t="s">
        <v>139</v>
      </c>
      <c r="P440" t="s">
        <v>155</v>
      </c>
    </row>
    <row r="441" spans="1:16" x14ac:dyDescent="0.3">
      <c r="A441" s="22" t="s">
        <v>81</v>
      </c>
      <c r="B441">
        <v>32</v>
      </c>
      <c r="C441" t="s">
        <v>64</v>
      </c>
      <c r="D441">
        <v>130</v>
      </c>
      <c r="E441" s="8">
        <v>9.3799999999999994E-2</v>
      </c>
      <c r="G441" s="8">
        <v>9.3799999999999994E-2</v>
      </c>
      <c r="I441" s="8">
        <v>3.1199999999999999E-2</v>
      </c>
      <c r="L441" s="8">
        <v>3.1199999999999999E-2</v>
      </c>
      <c r="M441" s="8">
        <v>0.34379999999999999</v>
      </c>
      <c r="N441" s="8">
        <v>0.4375</v>
      </c>
      <c r="O441" s="8">
        <v>0.34379999999999999</v>
      </c>
    </row>
    <row r="442" spans="1:16" x14ac:dyDescent="0.3">
      <c r="A442" s="22" t="s">
        <v>82</v>
      </c>
      <c r="B442">
        <v>34</v>
      </c>
      <c r="C442" t="s">
        <v>64</v>
      </c>
      <c r="D442">
        <v>130</v>
      </c>
      <c r="E442" s="8">
        <v>0.14710000000000001</v>
      </c>
      <c r="G442" s="8">
        <v>2.9399999999999999E-2</v>
      </c>
      <c r="H442" s="8">
        <v>8.8200000000000001E-2</v>
      </c>
      <c r="I442" s="8">
        <v>2.9399999999999999E-2</v>
      </c>
      <c r="J442" s="8">
        <v>5.8799999999999998E-2</v>
      </c>
      <c r="K442" s="8">
        <v>5.8799999999999998E-2</v>
      </c>
      <c r="L442" s="8">
        <v>2.9399999999999999E-2</v>
      </c>
      <c r="M442" s="8">
        <v>0.2059</v>
      </c>
      <c r="N442" s="8">
        <v>0.38240000000000002</v>
      </c>
      <c r="O442" s="8">
        <v>0.23530000000000001</v>
      </c>
      <c r="P442" s="8">
        <v>2.9399999999999999E-2</v>
      </c>
    </row>
    <row r="443" spans="1:16" x14ac:dyDescent="0.3">
      <c r="A443" s="22" t="s">
        <v>83</v>
      </c>
      <c r="B443">
        <v>33</v>
      </c>
      <c r="C443" t="s">
        <v>64</v>
      </c>
      <c r="D443">
        <v>130</v>
      </c>
      <c r="E443" s="8">
        <v>6.0600000000000001E-2</v>
      </c>
      <c r="F443" s="8">
        <v>3.0300000000000001E-2</v>
      </c>
      <c r="G443" s="8">
        <v>6.0600000000000001E-2</v>
      </c>
      <c r="H443" s="8">
        <v>6.0600000000000001E-2</v>
      </c>
      <c r="I443" s="8">
        <v>3.0300000000000001E-2</v>
      </c>
      <c r="J443" s="8">
        <v>0.1212</v>
      </c>
      <c r="K443" s="8">
        <v>3.0300000000000001E-2</v>
      </c>
      <c r="L443" s="8">
        <v>6.0600000000000001E-2</v>
      </c>
      <c r="M443" s="8">
        <v>0.18179999999999999</v>
      </c>
      <c r="N443" s="8">
        <v>0.36359999999999998</v>
      </c>
      <c r="O443" s="8">
        <v>0.2727</v>
      </c>
      <c r="P443" s="8">
        <v>3.0300000000000001E-2</v>
      </c>
    </row>
    <row r="444" spans="1:16" x14ac:dyDescent="0.3">
      <c r="A444" s="22" t="s">
        <v>84</v>
      </c>
      <c r="B444">
        <v>31</v>
      </c>
      <c r="C444" t="s">
        <v>64</v>
      </c>
      <c r="D444">
        <v>130</v>
      </c>
      <c r="E444" s="8">
        <v>3.2300000000000002E-2</v>
      </c>
      <c r="G444" s="8">
        <v>0.129</v>
      </c>
      <c r="H444" s="8">
        <v>9.6799999999999997E-2</v>
      </c>
      <c r="J444" s="8">
        <v>0.129</v>
      </c>
      <c r="L444" s="8">
        <v>3.2300000000000002E-2</v>
      </c>
      <c r="M444" s="8">
        <v>0.3226</v>
      </c>
      <c r="N444" s="8">
        <v>0.3871</v>
      </c>
      <c r="O444" s="8">
        <v>0.2903</v>
      </c>
    </row>
    <row r="446" spans="1:16" ht="57.6" x14ac:dyDescent="0.3">
      <c r="A446" s="22" t="s">
        <v>169</v>
      </c>
    </row>
    <row r="447" spans="1:16" x14ac:dyDescent="0.3">
      <c r="A447" s="22" t="s">
        <v>57</v>
      </c>
      <c r="B447" t="s">
        <v>58</v>
      </c>
      <c r="C447" t="s">
        <v>59</v>
      </c>
      <c r="D447" t="s">
        <v>60</v>
      </c>
      <c r="E447" t="s">
        <v>61</v>
      </c>
      <c r="F447" t="s">
        <v>62</v>
      </c>
      <c r="G447" t="s">
        <v>63</v>
      </c>
    </row>
    <row r="448" spans="1:16" x14ac:dyDescent="0.3">
      <c r="A448" s="22" t="s">
        <v>64</v>
      </c>
      <c r="B448">
        <v>10839.34871794872</v>
      </c>
      <c r="C448">
        <v>8000</v>
      </c>
      <c r="D448">
        <v>0</v>
      </c>
      <c r="E448">
        <v>69600</v>
      </c>
      <c r="F448">
        <v>195</v>
      </c>
      <c r="G448">
        <v>195</v>
      </c>
    </row>
    <row r="450" spans="1:8" ht="72" x14ac:dyDescent="0.3">
      <c r="A450" s="22" t="s">
        <v>170</v>
      </c>
    </row>
    <row r="451" spans="1:8" x14ac:dyDescent="0.3">
      <c r="A451" s="22" t="s">
        <v>57</v>
      </c>
      <c r="B451" t="s">
        <v>66</v>
      </c>
      <c r="C451" t="s">
        <v>58</v>
      </c>
      <c r="D451" t="s">
        <v>59</v>
      </c>
      <c r="E451" t="s">
        <v>60</v>
      </c>
      <c r="F451" t="s">
        <v>61</v>
      </c>
      <c r="G451" t="s">
        <v>62</v>
      </c>
      <c r="H451" t="s">
        <v>63</v>
      </c>
    </row>
    <row r="452" spans="1:8" x14ac:dyDescent="0.3">
      <c r="A452" s="22" t="s">
        <v>64</v>
      </c>
      <c r="B452" t="s">
        <v>67</v>
      </c>
      <c r="C452">
        <v>10723.510752688169</v>
      </c>
      <c r="D452">
        <v>8000</v>
      </c>
      <c r="E452">
        <v>0</v>
      </c>
      <c r="F452">
        <v>69600</v>
      </c>
      <c r="G452">
        <v>186</v>
      </c>
      <c r="H452">
        <v>195</v>
      </c>
    </row>
    <row r="453" spans="1:8" x14ac:dyDescent="0.3">
      <c r="A453" s="22" t="s">
        <v>64</v>
      </c>
      <c r="B453" t="s">
        <v>68</v>
      </c>
      <c r="C453">
        <v>13233.33333333333</v>
      </c>
      <c r="D453">
        <v>8400</v>
      </c>
      <c r="E453">
        <v>0</v>
      </c>
      <c r="F453">
        <v>63000</v>
      </c>
      <c r="G453">
        <v>9</v>
      </c>
      <c r="H453">
        <v>195</v>
      </c>
    </row>
    <row r="455" spans="1:8" x14ac:dyDescent="0.3">
      <c r="A455"/>
    </row>
    <row r="456" spans="1:8" x14ac:dyDescent="0.3">
      <c r="A456"/>
    </row>
    <row r="457" spans="1:8" x14ac:dyDescent="0.3">
      <c r="A457"/>
    </row>
    <row r="459" spans="1:8" ht="72" x14ac:dyDescent="0.3">
      <c r="A459" s="22" t="s">
        <v>171</v>
      </c>
    </row>
    <row r="460" spans="1:8" x14ac:dyDescent="0.3">
      <c r="A460" s="22" t="s">
        <v>57</v>
      </c>
      <c r="B460" t="s">
        <v>66</v>
      </c>
      <c r="C460" t="s">
        <v>58</v>
      </c>
      <c r="D460" t="s">
        <v>59</v>
      </c>
      <c r="E460" t="s">
        <v>60</v>
      </c>
      <c r="F460" t="s">
        <v>61</v>
      </c>
      <c r="G460" t="s">
        <v>62</v>
      </c>
      <c r="H460" t="s">
        <v>63</v>
      </c>
    </row>
    <row r="461" spans="1:8" x14ac:dyDescent="0.3">
      <c r="A461" s="22" t="s">
        <v>64</v>
      </c>
      <c r="B461" t="s">
        <v>67</v>
      </c>
      <c r="C461">
        <v>10637.973118279569</v>
      </c>
      <c r="D461">
        <v>7800</v>
      </c>
      <c r="E461">
        <v>0</v>
      </c>
      <c r="F461">
        <v>69600</v>
      </c>
      <c r="G461">
        <v>186</v>
      </c>
      <c r="H461">
        <v>195</v>
      </c>
    </row>
    <row r="462" spans="1:8" x14ac:dyDescent="0.3">
      <c r="A462" s="22" t="s">
        <v>64</v>
      </c>
      <c r="B462" t="s">
        <v>68</v>
      </c>
      <c r="C462">
        <v>15001.111111111109</v>
      </c>
      <c r="D462">
        <v>10900</v>
      </c>
      <c r="E462">
        <v>2560</v>
      </c>
      <c r="F462">
        <v>45050</v>
      </c>
      <c r="G462">
        <v>9</v>
      </c>
      <c r="H462">
        <v>195</v>
      </c>
    </row>
    <row r="464" spans="1:8" ht="72" x14ac:dyDescent="0.3">
      <c r="A464" s="22" t="s">
        <v>172</v>
      </c>
    </row>
    <row r="465" spans="1:8" x14ac:dyDescent="0.3">
      <c r="A465" s="22" t="s">
        <v>57</v>
      </c>
      <c r="B465" t="s">
        <v>66</v>
      </c>
      <c r="C465" t="s">
        <v>58</v>
      </c>
      <c r="D465" t="s">
        <v>59</v>
      </c>
      <c r="E465" t="s">
        <v>60</v>
      </c>
      <c r="F465" t="s">
        <v>61</v>
      </c>
      <c r="G465" t="s">
        <v>62</v>
      </c>
      <c r="H465" t="s">
        <v>63</v>
      </c>
    </row>
    <row r="466" spans="1:8" x14ac:dyDescent="0.3">
      <c r="A466" s="22" t="s">
        <v>64</v>
      </c>
      <c r="B466" t="s">
        <v>67</v>
      </c>
      <c r="C466">
        <v>10823.05670103093</v>
      </c>
      <c r="D466">
        <v>8000</v>
      </c>
      <c r="E466">
        <v>0</v>
      </c>
      <c r="F466">
        <v>69600</v>
      </c>
      <c r="G466">
        <v>194</v>
      </c>
      <c r="H466">
        <v>195</v>
      </c>
    </row>
    <row r="467" spans="1:8" x14ac:dyDescent="0.3">
      <c r="A467" s="22" t="s">
        <v>64</v>
      </c>
      <c r="B467" t="s">
        <v>68</v>
      </c>
      <c r="C467">
        <v>14000</v>
      </c>
      <c r="D467">
        <v>14000</v>
      </c>
      <c r="E467">
        <v>14000</v>
      </c>
      <c r="F467">
        <v>14000</v>
      </c>
      <c r="G467">
        <v>1</v>
      </c>
      <c r="H467">
        <v>195</v>
      </c>
    </row>
    <row r="469" spans="1:8" ht="72" x14ac:dyDescent="0.3">
      <c r="A469" s="22" t="s">
        <v>173</v>
      </c>
    </row>
    <row r="470" spans="1:8" x14ac:dyDescent="0.3">
      <c r="A470" s="22" t="s">
        <v>57</v>
      </c>
      <c r="B470" t="s">
        <v>66</v>
      </c>
      <c r="C470" t="s">
        <v>58</v>
      </c>
      <c r="D470" t="s">
        <v>59</v>
      </c>
      <c r="E470" t="s">
        <v>60</v>
      </c>
      <c r="F470" t="s">
        <v>61</v>
      </c>
      <c r="G470" t="s">
        <v>62</v>
      </c>
      <c r="H470" t="s">
        <v>63</v>
      </c>
    </row>
    <row r="471" spans="1:8" x14ac:dyDescent="0.3">
      <c r="A471" s="22" t="s">
        <v>64</v>
      </c>
      <c r="B471" t="s">
        <v>67</v>
      </c>
      <c r="C471">
        <v>10809.68681318681</v>
      </c>
      <c r="D471">
        <v>8000</v>
      </c>
      <c r="E471">
        <v>0</v>
      </c>
      <c r="F471">
        <v>69600</v>
      </c>
      <c r="G471">
        <v>182</v>
      </c>
      <c r="H471">
        <v>195</v>
      </c>
    </row>
    <row r="472" spans="1:8" x14ac:dyDescent="0.3">
      <c r="A472" s="22" t="s">
        <v>64</v>
      </c>
      <c r="B472" t="s">
        <v>68</v>
      </c>
      <c r="C472">
        <v>11254.615384615379</v>
      </c>
      <c r="D472">
        <v>12500</v>
      </c>
      <c r="E472">
        <v>160</v>
      </c>
      <c r="F472">
        <v>25200</v>
      </c>
      <c r="G472">
        <v>13</v>
      </c>
      <c r="H472">
        <v>195</v>
      </c>
    </row>
    <row r="474" spans="1:8" ht="72" x14ac:dyDescent="0.3">
      <c r="A474" s="22" t="s">
        <v>174</v>
      </c>
    </row>
    <row r="475" spans="1:8" x14ac:dyDescent="0.3">
      <c r="A475" s="22" t="s">
        <v>57</v>
      </c>
      <c r="B475" t="s">
        <v>66</v>
      </c>
      <c r="C475" t="s">
        <v>58</v>
      </c>
      <c r="D475" t="s">
        <v>59</v>
      </c>
      <c r="E475" t="s">
        <v>60</v>
      </c>
      <c r="F475" t="s">
        <v>61</v>
      </c>
      <c r="G475" t="s">
        <v>62</v>
      </c>
      <c r="H475" t="s">
        <v>63</v>
      </c>
    </row>
    <row r="476" spans="1:8" x14ac:dyDescent="0.3">
      <c r="A476" s="22" t="s">
        <v>64</v>
      </c>
      <c r="B476" t="s">
        <v>67</v>
      </c>
      <c r="C476">
        <v>2530</v>
      </c>
      <c r="D476">
        <v>2500</v>
      </c>
      <c r="E476">
        <v>0</v>
      </c>
      <c r="F476">
        <v>9350</v>
      </c>
      <c r="G476">
        <v>5</v>
      </c>
      <c r="H476">
        <v>195</v>
      </c>
    </row>
    <row r="477" spans="1:8" x14ac:dyDescent="0.3">
      <c r="A477" s="22" t="s">
        <v>64</v>
      </c>
      <c r="B477" t="s">
        <v>68</v>
      </c>
      <c r="C477">
        <v>11058.01578947368</v>
      </c>
      <c r="D477">
        <v>8000</v>
      </c>
      <c r="E477">
        <v>0</v>
      </c>
      <c r="F477">
        <v>69600</v>
      </c>
      <c r="G477">
        <v>190</v>
      </c>
      <c r="H477">
        <v>195</v>
      </c>
    </row>
    <row r="479" spans="1:8" ht="72" x14ac:dyDescent="0.3">
      <c r="A479" s="22" t="s">
        <v>175</v>
      </c>
    </row>
    <row r="480" spans="1:8" x14ac:dyDescent="0.3">
      <c r="A480" s="22" t="s">
        <v>57</v>
      </c>
      <c r="B480" t="s">
        <v>66</v>
      </c>
      <c r="C480" t="s">
        <v>58</v>
      </c>
      <c r="D480" t="s">
        <v>59</v>
      </c>
      <c r="E480" t="s">
        <v>60</v>
      </c>
      <c r="F480" t="s">
        <v>61</v>
      </c>
      <c r="G480" t="s">
        <v>62</v>
      </c>
      <c r="H480" t="s">
        <v>63</v>
      </c>
    </row>
    <row r="481" spans="1:8" x14ac:dyDescent="0.3">
      <c r="A481" s="22" t="s">
        <v>64</v>
      </c>
      <c r="B481" t="s">
        <v>67</v>
      </c>
      <c r="C481">
        <v>11106.187096774191</v>
      </c>
      <c r="D481">
        <v>8200</v>
      </c>
      <c r="E481">
        <v>0</v>
      </c>
      <c r="F481">
        <v>69600</v>
      </c>
      <c r="G481">
        <v>155</v>
      </c>
      <c r="H481">
        <v>195</v>
      </c>
    </row>
    <row r="482" spans="1:8" x14ac:dyDescent="0.3">
      <c r="A482" s="22" t="s">
        <v>64</v>
      </c>
      <c r="B482" t="s">
        <v>68</v>
      </c>
      <c r="C482">
        <v>9805.35</v>
      </c>
      <c r="D482">
        <v>7700</v>
      </c>
      <c r="E482">
        <v>0</v>
      </c>
      <c r="F482">
        <v>44100</v>
      </c>
      <c r="G482">
        <v>40</v>
      </c>
      <c r="H482">
        <v>195</v>
      </c>
    </row>
    <row r="484" spans="1:8" ht="72" x14ac:dyDescent="0.3">
      <c r="A484" s="22" t="s">
        <v>176</v>
      </c>
    </row>
    <row r="485" spans="1:8" x14ac:dyDescent="0.3">
      <c r="A485" s="22" t="s">
        <v>57</v>
      </c>
      <c r="B485" t="s">
        <v>66</v>
      </c>
      <c r="C485" t="s">
        <v>58</v>
      </c>
      <c r="D485" t="s">
        <v>59</v>
      </c>
      <c r="E485" t="s">
        <v>60</v>
      </c>
      <c r="F485" t="s">
        <v>61</v>
      </c>
      <c r="G485" t="s">
        <v>62</v>
      </c>
      <c r="H485" t="s">
        <v>63</v>
      </c>
    </row>
    <row r="486" spans="1:8" x14ac:dyDescent="0.3">
      <c r="A486" s="22" t="s">
        <v>64</v>
      </c>
      <c r="B486" t="s">
        <v>67</v>
      </c>
      <c r="C486">
        <v>10868.8947368421</v>
      </c>
      <c r="D486">
        <v>8100</v>
      </c>
      <c r="E486">
        <v>0</v>
      </c>
      <c r="F486">
        <v>69600</v>
      </c>
      <c r="G486">
        <v>152</v>
      </c>
      <c r="H486">
        <v>195</v>
      </c>
    </row>
    <row r="487" spans="1:8" x14ac:dyDescent="0.3">
      <c r="A487" s="22" t="s">
        <v>64</v>
      </c>
      <c r="B487" t="s">
        <v>68</v>
      </c>
      <c r="C487">
        <v>10734.906976744191</v>
      </c>
      <c r="D487">
        <v>7350</v>
      </c>
      <c r="E487">
        <v>0</v>
      </c>
      <c r="F487">
        <v>63000</v>
      </c>
      <c r="G487">
        <v>43</v>
      </c>
      <c r="H487">
        <v>195</v>
      </c>
    </row>
    <row r="489" spans="1:8" ht="86.4" x14ac:dyDescent="0.3">
      <c r="A489" s="22" t="s">
        <v>177</v>
      </c>
    </row>
    <row r="490" spans="1:8" x14ac:dyDescent="0.3">
      <c r="A490" s="22" t="s">
        <v>57</v>
      </c>
      <c r="B490" t="s">
        <v>66</v>
      </c>
      <c r="C490" t="s">
        <v>58</v>
      </c>
      <c r="D490" t="s">
        <v>59</v>
      </c>
      <c r="E490" t="s">
        <v>60</v>
      </c>
      <c r="F490" t="s">
        <v>61</v>
      </c>
      <c r="G490" t="s">
        <v>62</v>
      </c>
      <c r="H490" t="s">
        <v>63</v>
      </c>
    </row>
    <row r="491" spans="1:8" x14ac:dyDescent="0.3">
      <c r="A491" s="22" t="s">
        <v>64</v>
      </c>
      <c r="B491" t="s">
        <v>67</v>
      </c>
      <c r="C491">
        <v>11367.51700680272</v>
      </c>
      <c r="D491">
        <v>8200</v>
      </c>
      <c r="E491">
        <v>0</v>
      </c>
      <c r="F491">
        <v>69600</v>
      </c>
      <c r="G491">
        <v>147</v>
      </c>
      <c r="H491">
        <v>195</v>
      </c>
    </row>
    <row r="492" spans="1:8" x14ac:dyDescent="0.3">
      <c r="A492" s="22" t="s">
        <v>64</v>
      </c>
      <c r="B492" t="s">
        <v>68</v>
      </c>
      <c r="C492">
        <v>9221.8333333333339</v>
      </c>
      <c r="D492">
        <v>6800</v>
      </c>
      <c r="E492">
        <v>0</v>
      </c>
      <c r="F492">
        <v>37030</v>
      </c>
      <c r="G492">
        <v>48</v>
      </c>
      <c r="H492">
        <v>195</v>
      </c>
    </row>
    <row r="494" spans="1:8" ht="86.4" x14ac:dyDescent="0.3">
      <c r="A494" s="22" t="s">
        <v>178</v>
      </c>
    </row>
    <row r="495" spans="1:8" x14ac:dyDescent="0.3">
      <c r="A495" s="22" t="s">
        <v>57</v>
      </c>
      <c r="B495" t="s">
        <v>66</v>
      </c>
      <c r="C495" t="s">
        <v>58</v>
      </c>
      <c r="D495" t="s">
        <v>59</v>
      </c>
      <c r="E495" t="s">
        <v>60</v>
      </c>
      <c r="F495" t="s">
        <v>61</v>
      </c>
      <c r="G495" t="s">
        <v>62</v>
      </c>
      <c r="H495" t="s">
        <v>63</v>
      </c>
    </row>
    <row r="496" spans="1:8" x14ac:dyDescent="0.3">
      <c r="A496" s="22" t="s">
        <v>64</v>
      </c>
      <c r="B496" t="s">
        <v>67</v>
      </c>
      <c r="C496">
        <v>11037.846153846151</v>
      </c>
      <c r="D496">
        <v>8000</v>
      </c>
      <c r="E496">
        <v>0</v>
      </c>
      <c r="F496">
        <v>69600</v>
      </c>
      <c r="G496">
        <v>182</v>
      </c>
      <c r="H496">
        <v>195</v>
      </c>
    </row>
    <row r="497" spans="1:8" x14ac:dyDescent="0.3">
      <c r="A497" s="22" t="s">
        <v>64</v>
      </c>
      <c r="B497" t="s">
        <v>68</v>
      </c>
      <c r="C497">
        <v>8060.3846153846152</v>
      </c>
      <c r="D497">
        <v>7250</v>
      </c>
      <c r="E497">
        <v>0</v>
      </c>
      <c r="F497">
        <v>24200</v>
      </c>
      <c r="G497">
        <v>13</v>
      </c>
      <c r="H497">
        <v>195</v>
      </c>
    </row>
    <row r="499" spans="1:8" ht="86.4" x14ac:dyDescent="0.3">
      <c r="A499" s="22" t="s">
        <v>179</v>
      </c>
    </row>
    <row r="500" spans="1:8" x14ac:dyDescent="0.3">
      <c r="A500" s="22" t="s">
        <v>57</v>
      </c>
      <c r="B500" t="s">
        <v>66</v>
      </c>
      <c r="C500" t="s">
        <v>58</v>
      </c>
      <c r="D500" t="s">
        <v>59</v>
      </c>
      <c r="E500" t="s">
        <v>60</v>
      </c>
      <c r="F500" t="s">
        <v>61</v>
      </c>
      <c r="G500" t="s">
        <v>62</v>
      </c>
      <c r="H500" t="s">
        <v>63</v>
      </c>
    </row>
    <row r="501" spans="1:8" x14ac:dyDescent="0.3">
      <c r="A501" s="22" t="s">
        <v>64</v>
      </c>
      <c r="B501" t="s">
        <v>67</v>
      </c>
      <c r="C501">
        <v>10839.34871794872</v>
      </c>
      <c r="D501">
        <v>8000</v>
      </c>
      <c r="E501">
        <v>0</v>
      </c>
      <c r="F501">
        <v>69600</v>
      </c>
      <c r="G501">
        <v>195</v>
      </c>
      <c r="H501">
        <v>195</v>
      </c>
    </row>
    <row r="503" spans="1:8" ht="72" x14ac:dyDescent="0.3">
      <c r="A503" s="22" t="s">
        <v>180</v>
      </c>
    </row>
    <row r="504" spans="1:8" x14ac:dyDescent="0.3">
      <c r="A504" s="22" t="s">
        <v>57</v>
      </c>
      <c r="B504" t="s">
        <v>66</v>
      </c>
      <c r="C504" t="s">
        <v>58</v>
      </c>
      <c r="D504" t="s">
        <v>59</v>
      </c>
      <c r="E504" t="s">
        <v>60</v>
      </c>
      <c r="F504" t="s">
        <v>61</v>
      </c>
      <c r="G504" t="s">
        <v>62</v>
      </c>
      <c r="H504" t="s">
        <v>63</v>
      </c>
    </row>
    <row r="505" spans="1:8" x14ac:dyDescent="0.3">
      <c r="A505" s="22" t="s">
        <v>64</v>
      </c>
      <c r="B505" t="s">
        <v>67</v>
      </c>
      <c r="C505">
        <v>10449.9756097561</v>
      </c>
      <c r="D505">
        <v>7500</v>
      </c>
      <c r="E505">
        <v>0</v>
      </c>
      <c r="F505">
        <v>63000</v>
      </c>
      <c r="G505">
        <v>123</v>
      </c>
      <c r="H505">
        <v>195</v>
      </c>
    </row>
    <row r="506" spans="1:8" x14ac:dyDescent="0.3">
      <c r="A506" s="22" t="s">
        <v>64</v>
      </c>
      <c r="B506" t="s">
        <v>68</v>
      </c>
      <c r="C506">
        <v>11504.527777777779</v>
      </c>
      <c r="D506">
        <v>10000</v>
      </c>
      <c r="E506">
        <v>0</v>
      </c>
      <c r="F506">
        <v>69600</v>
      </c>
      <c r="G506">
        <v>72</v>
      </c>
      <c r="H506">
        <v>195</v>
      </c>
    </row>
    <row r="508" spans="1:8" ht="86.4" x14ac:dyDescent="0.3">
      <c r="A508" s="22" t="s">
        <v>181</v>
      </c>
    </row>
    <row r="509" spans="1:8" x14ac:dyDescent="0.3">
      <c r="A509" s="22" t="s">
        <v>57</v>
      </c>
      <c r="B509" t="s">
        <v>66</v>
      </c>
      <c r="C509" t="s">
        <v>58</v>
      </c>
      <c r="D509" t="s">
        <v>59</v>
      </c>
      <c r="E509" t="s">
        <v>60</v>
      </c>
      <c r="F509" t="s">
        <v>61</v>
      </c>
      <c r="G509" t="s">
        <v>62</v>
      </c>
      <c r="H509" t="s">
        <v>63</v>
      </c>
    </row>
    <row r="510" spans="1:8" x14ac:dyDescent="0.3">
      <c r="A510" s="22" t="s">
        <v>64</v>
      </c>
      <c r="B510" t="s">
        <v>67</v>
      </c>
      <c r="C510">
        <v>10960.56818181818</v>
      </c>
      <c r="D510">
        <v>7800</v>
      </c>
      <c r="E510">
        <v>0</v>
      </c>
      <c r="F510">
        <v>69600</v>
      </c>
      <c r="G510">
        <v>176</v>
      </c>
      <c r="H510">
        <v>195</v>
      </c>
    </row>
    <row r="511" spans="1:8" x14ac:dyDescent="0.3">
      <c r="A511" s="22" t="s">
        <v>64</v>
      </c>
      <c r="B511" t="s">
        <v>68</v>
      </c>
      <c r="C511">
        <v>9716.4736842105267</v>
      </c>
      <c r="D511">
        <v>10000</v>
      </c>
      <c r="E511">
        <v>0</v>
      </c>
      <c r="F511">
        <v>26200</v>
      </c>
      <c r="G511">
        <v>19</v>
      </c>
      <c r="H511">
        <v>195</v>
      </c>
    </row>
    <row r="513" spans="1:8" ht="72" x14ac:dyDescent="0.3">
      <c r="A513" s="22" t="s">
        <v>182</v>
      </c>
    </row>
    <row r="514" spans="1:8" x14ac:dyDescent="0.3">
      <c r="A514" s="22" t="s">
        <v>57</v>
      </c>
      <c r="B514" t="s">
        <v>66</v>
      </c>
      <c r="C514" t="s">
        <v>58</v>
      </c>
      <c r="D514" t="s">
        <v>59</v>
      </c>
      <c r="E514" t="s">
        <v>60</v>
      </c>
      <c r="F514" t="s">
        <v>61</v>
      </c>
      <c r="G514" t="s">
        <v>62</v>
      </c>
      <c r="H514" t="s">
        <v>63</v>
      </c>
    </row>
    <row r="515" spans="1:8" x14ac:dyDescent="0.3">
      <c r="A515" s="22" t="s">
        <v>64</v>
      </c>
      <c r="B515" t="s">
        <v>81</v>
      </c>
      <c r="C515">
        <v>12347.890909090909</v>
      </c>
      <c r="D515">
        <v>8400</v>
      </c>
      <c r="E515">
        <v>1930</v>
      </c>
      <c r="F515">
        <v>63000</v>
      </c>
      <c r="G515">
        <v>55</v>
      </c>
      <c r="H515">
        <v>195</v>
      </c>
    </row>
    <row r="516" spans="1:8" x14ac:dyDescent="0.3">
      <c r="A516" s="22" t="s">
        <v>64</v>
      </c>
      <c r="B516" t="s">
        <v>82</v>
      </c>
      <c r="C516">
        <v>9587.2127659574471</v>
      </c>
      <c r="D516">
        <v>7800</v>
      </c>
      <c r="E516">
        <v>0</v>
      </c>
      <c r="F516">
        <v>45050</v>
      </c>
      <c r="G516">
        <v>47</v>
      </c>
      <c r="H516">
        <v>195</v>
      </c>
    </row>
    <row r="517" spans="1:8" x14ac:dyDescent="0.3">
      <c r="A517" s="22" t="s">
        <v>64</v>
      </c>
      <c r="B517" t="s">
        <v>83</v>
      </c>
      <c r="C517">
        <v>11200.52083333333</v>
      </c>
      <c r="D517">
        <v>6900</v>
      </c>
      <c r="E517">
        <v>0</v>
      </c>
      <c r="F517">
        <v>69600</v>
      </c>
      <c r="G517">
        <v>48</v>
      </c>
      <c r="H517">
        <v>195</v>
      </c>
    </row>
    <row r="518" spans="1:8" x14ac:dyDescent="0.3">
      <c r="A518" s="22" t="s">
        <v>64</v>
      </c>
      <c r="B518" t="s">
        <v>84</v>
      </c>
      <c r="C518">
        <v>9918.1111111111113</v>
      </c>
      <c r="D518">
        <v>10000</v>
      </c>
      <c r="E518">
        <v>0</v>
      </c>
      <c r="F518">
        <v>28400</v>
      </c>
      <c r="G518">
        <v>45</v>
      </c>
      <c r="H518">
        <v>195</v>
      </c>
    </row>
    <row r="520" spans="1:8" ht="57.6" x14ac:dyDescent="0.3">
      <c r="A520" s="22" t="s">
        <v>183</v>
      </c>
    </row>
    <row r="521" spans="1:8" x14ac:dyDescent="0.3">
      <c r="A521" s="22" t="s">
        <v>57</v>
      </c>
      <c r="B521" t="s">
        <v>58</v>
      </c>
      <c r="C521" t="s">
        <v>59</v>
      </c>
      <c r="D521" t="s">
        <v>60</v>
      </c>
      <c r="E521" t="s">
        <v>61</v>
      </c>
      <c r="F521" t="s">
        <v>62</v>
      </c>
      <c r="G521" t="s">
        <v>63</v>
      </c>
    </row>
    <row r="522" spans="1:8" x14ac:dyDescent="0.3">
      <c r="A522" s="22" t="s">
        <v>64</v>
      </c>
      <c r="B522">
        <v>4665.8747863247863</v>
      </c>
      <c r="C522">
        <v>3332.5</v>
      </c>
      <c r="D522">
        <v>0</v>
      </c>
      <c r="E522">
        <v>25100</v>
      </c>
      <c r="F522">
        <v>195</v>
      </c>
      <c r="G522">
        <v>195</v>
      </c>
    </row>
    <row r="524" spans="1:8" ht="86.4" x14ac:dyDescent="0.3">
      <c r="A524" s="22" t="s">
        <v>184</v>
      </c>
    </row>
    <row r="525" spans="1:8" x14ac:dyDescent="0.3">
      <c r="A525" s="22" t="s">
        <v>57</v>
      </c>
      <c r="B525" t="s">
        <v>66</v>
      </c>
      <c r="C525" t="s">
        <v>58</v>
      </c>
      <c r="D525" t="s">
        <v>59</v>
      </c>
      <c r="E525" t="s">
        <v>60</v>
      </c>
      <c r="F525" t="s">
        <v>61</v>
      </c>
      <c r="G525" t="s">
        <v>62</v>
      </c>
      <c r="H525" t="s">
        <v>63</v>
      </c>
    </row>
    <row r="526" spans="1:8" x14ac:dyDescent="0.3">
      <c r="A526" s="22" t="s">
        <v>64</v>
      </c>
      <c r="B526" t="s">
        <v>67</v>
      </c>
      <c r="C526">
        <v>4773.7486559139788</v>
      </c>
      <c r="D526">
        <v>3400</v>
      </c>
      <c r="E526">
        <v>0</v>
      </c>
      <c r="F526">
        <v>25100</v>
      </c>
      <c r="G526">
        <v>186</v>
      </c>
      <c r="H526">
        <v>195</v>
      </c>
    </row>
    <row r="527" spans="1:8" x14ac:dyDescent="0.3">
      <c r="A527" s="22" t="s">
        <v>64</v>
      </c>
      <c r="B527" t="s">
        <v>68</v>
      </c>
      <c r="C527">
        <v>2436.4814814814831</v>
      </c>
      <c r="D527">
        <v>1725</v>
      </c>
      <c r="E527">
        <v>0</v>
      </c>
      <c r="F527">
        <v>10500</v>
      </c>
      <c r="G527">
        <v>9</v>
      </c>
      <c r="H527">
        <v>195</v>
      </c>
    </row>
    <row r="529" spans="1:8" x14ac:dyDescent="0.3">
      <c r="A529"/>
    </row>
    <row r="530" spans="1:8" x14ac:dyDescent="0.3">
      <c r="A530"/>
    </row>
    <row r="531" spans="1:8" x14ac:dyDescent="0.3">
      <c r="A531"/>
    </row>
    <row r="533" spans="1:8" ht="72" x14ac:dyDescent="0.3">
      <c r="A533" s="22" t="s">
        <v>185</v>
      </c>
    </row>
    <row r="534" spans="1:8" x14ac:dyDescent="0.3">
      <c r="A534" s="22" t="s">
        <v>57</v>
      </c>
      <c r="B534" t="s">
        <v>66</v>
      </c>
      <c r="C534" t="s">
        <v>58</v>
      </c>
      <c r="D534" t="s">
        <v>59</v>
      </c>
      <c r="E534" t="s">
        <v>60</v>
      </c>
      <c r="F534" t="s">
        <v>61</v>
      </c>
      <c r="G534" t="s">
        <v>62</v>
      </c>
      <c r="H534" t="s">
        <v>63</v>
      </c>
    </row>
    <row r="535" spans="1:8" x14ac:dyDescent="0.3">
      <c r="A535" s="22" t="s">
        <v>64</v>
      </c>
      <c r="B535" t="s">
        <v>67</v>
      </c>
      <c r="C535">
        <v>4727.8615591397847</v>
      </c>
      <c r="D535">
        <v>3400</v>
      </c>
      <c r="E535">
        <v>0</v>
      </c>
      <c r="F535">
        <v>25100</v>
      </c>
      <c r="G535">
        <v>186</v>
      </c>
      <c r="H535">
        <v>195</v>
      </c>
    </row>
    <row r="536" spans="1:8" x14ac:dyDescent="0.3">
      <c r="A536" s="22" t="s">
        <v>64</v>
      </c>
      <c r="B536" t="s">
        <v>68</v>
      </c>
      <c r="C536">
        <v>3384.8148148148148</v>
      </c>
      <c r="D536">
        <v>2625</v>
      </c>
      <c r="E536">
        <v>853.33333333333303</v>
      </c>
      <c r="F536">
        <v>9010</v>
      </c>
      <c r="G536">
        <v>9</v>
      </c>
      <c r="H536">
        <v>195</v>
      </c>
    </row>
    <row r="538" spans="1:8" ht="72" x14ac:dyDescent="0.3">
      <c r="A538" s="22" t="s">
        <v>186</v>
      </c>
    </row>
    <row r="539" spans="1:8" x14ac:dyDescent="0.3">
      <c r="A539" s="22" t="s">
        <v>57</v>
      </c>
      <c r="B539" t="s">
        <v>66</v>
      </c>
      <c r="C539" t="s">
        <v>58</v>
      </c>
      <c r="D539" t="s">
        <v>59</v>
      </c>
      <c r="E539" t="s">
        <v>60</v>
      </c>
      <c r="F539" t="s">
        <v>61</v>
      </c>
      <c r="G539" t="s">
        <v>62</v>
      </c>
      <c r="H539" t="s">
        <v>63</v>
      </c>
    </row>
    <row r="540" spans="1:8" x14ac:dyDescent="0.3">
      <c r="A540" s="22" t="s">
        <v>64</v>
      </c>
      <c r="B540" t="s">
        <v>67</v>
      </c>
      <c r="C540">
        <v>4665.8707044673547</v>
      </c>
      <c r="D540">
        <v>3200</v>
      </c>
      <c r="E540">
        <v>0</v>
      </c>
      <c r="F540">
        <v>25100</v>
      </c>
      <c r="G540">
        <v>194</v>
      </c>
      <c r="H540">
        <v>195</v>
      </c>
    </row>
    <row r="541" spans="1:8" x14ac:dyDescent="0.3">
      <c r="A541" s="22" t="s">
        <v>64</v>
      </c>
      <c r="B541" t="s">
        <v>68</v>
      </c>
      <c r="C541">
        <v>4666.6666666666697</v>
      </c>
      <c r="D541">
        <v>4666.6666666666697</v>
      </c>
      <c r="E541">
        <v>4666.6666666666697</v>
      </c>
      <c r="F541">
        <v>4666.6666666666697</v>
      </c>
      <c r="G541">
        <v>1</v>
      </c>
      <c r="H541">
        <v>195</v>
      </c>
    </row>
    <row r="543" spans="1:8" ht="86.4" x14ac:dyDescent="0.3">
      <c r="A543" s="22" t="s">
        <v>187</v>
      </c>
    </row>
    <row r="544" spans="1:8" x14ac:dyDescent="0.3">
      <c r="A544" s="22" t="s">
        <v>57</v>
      </c>
      <c r="B544" t="s">
        <v>66</v>
      </c>
      <c r="C544" t="s">
        <v>58</v>
      </c>
      <c r="D544" t="s">
        <v>59</v>
      </c>
      <c r="E544" t="s">
        <v>60</v>
      </c>
      <c r="F544" t="s">
        <v>61</v>
      </c>
      <c r="G544" t="s">
        <v>62</v>
      </c>
      <c r="H544" t="s">
        <v>63</v>
      </c>
    </row>
    <row r="545" spans="1:8" x14ac:dyDescent="0.3">
      <c r="A545" s="22" t="s">
        <v>64</v>
      </c>
      <c r="B545" t="s">
        <v>67</v>
      </c>
      <c r="C545">
        <v>4722.0819597069594</v>
      </c>
      <c r="D545">
        <v>3266.6666666666702</v>
      </c>
      <c r="E545">
        <v>0</v>
      </c>
      <c r="F545">
        <v>25100</v>
      </c>
      <c r="G545">
        <v>182</v>
      </c>
      <c r="H545">
        <v>195</v>
      </c>
    </row>
    <row r="546" spans="1:8" x14ac:dyDescent="0.3">
      <c r="A546" s="22" t="s">
        <v>64</v>
      </c>
      <c r="B546" t="s">
        <v>68</v>
      </c>
      <c r="C546">
        <v>3878.9743589743589</v>
      </c>
      <c r="D546">
        <v>4166.6666666666697</v>
      </c>
      <c r="E546">
        <v>53.3333333333333</v>
      </c>
      <c r="F546">
        <v>10600</v>
      </c>
      <c r="G546">
        <v>13</v>
      </c>
      <c r="H546">
        <v>195</v>
      </c>
    </row>
    <row r="548" spans="1:8" ht="86.4" x14ac:dyDescent="0.3">
      <c r="A548" s="22" t="s">
        <v>188</v>
      </c>
    </row>
    <row r="549" spans="1:8" x14ac:dyDescent="0.3">
      <c r="A549" s="22" t="s">
        <v>57</v>
      </c>
      <c r="B549" t="s">
        <v>66</v>
      </c>
      <c r="C549" t="s">
        <v>58</v>
      </c>
      <c r="D549" t="s">
        <v>59</v>
      </c>
      <c r="E549" t="s">
        <v>60</v>
      </c>
      <c r="F549" t="s">
        <v>61</v>
      </c>
      <c r="G549" t="s">
        <v>62</v>
      </c>
      <c r="H549" t="s">
        <v>63</v>
      </c>
    </row>
    <row r="550" spans="1:8" x14ac:dyDescent="0.3">
      <c r="A550" s="22" t="s">
        <v>64</v>
      </c>
      <c r="B550" t="s">
        <v>67</v>
      </c>
      <c r="C550">
        <v>714.16666666666663</v>
      </c>
      <c r="D550">
        <v>833.33333333333303</v>
      </c>
      <c r="E550">
        <v>0</v>
      </c>
      <c r="F550">
        <v>2337.5</v>
      </c>
      <c r="G550">
        <v>5</v>
      </c>
      <c r="H550">
        <v>195</v>
      </c>
    </row>
    <row r="551" spans="1:8" x14ac:dyDescent="0.3">
      <c r="A551" s="22" t="s">
        <v>64</v>
      </c>
      <c r="B551" t="s">
        <v>68</v>
      </c>
      <c r="C551">
        <v>4769.867105263158</v>
      </c>
      <c r="D551">
        <v>3400</v>
      </c>
      <c r="E551">
        <v>0</v>
      </c>
      <c r="F551">
        <v>25100</v>
      </c>
      <c r="G551">
        <v>190</v>
      </c>
      <c r="H551">
        <v>195</v>
      </c>
    </row>
    <row r="553" spans="1:8" ht="86.4" x14ac:dyDescent="0.3">
      <c r="A553" s="22" t="s">
        <v>189</v>
      </c>
    </row>
    <row r="554" spans="1:8" x14ac:dyDescent="0.3">
      <c r="A554" s="22" t="s">
        <v>57</v>
      </c>
      <c r="B554" t="s">
        <v>66</v>
      </c>
      <c r="C554" t="s">
        <v>58</v>
      </c>
      <c r="D554" t="s">
        <v>59</v>
      </c>
      <c r="E554" t="s">
        <v>60</v>
      </c>
      <c r="F554" t="s">
        <v>61</v>
      </c>
      <c r="G554" t="s">
        <v>62</v>
      </c>
      <c r="H554" t="s">
        <v>63</v>
      </c>
    </row>
    <row r="555" spans="1:8" x14ac:dyDescent="0.3">
      <c r="A555" s="22" t="s">
        <v>64</v>
      </c>
      <c r="B555" t="s">
        <v>67</v>
      </c>
      <c r="C555">
        <v>4201.1231182795691</v>
      </c>
      <c r="D555">
        <v>2950</v>
      </c>
      <c r="E555">
        <v>0</v>
      </c>
      <c r="F555">
        <v>25100</v>
      </c>
      <c r="G555">
        <v>155</v>
      </c>
      <c r="H555">
        <v>195</v>
      </c>
    </row>
    <row r="556" spans="1:8" x14ac:dyDescent="0.3">
      <c r="A556" s="22" t="s">
        <v>64</v>
      </c>
      <c r="B556" t="s">
        <v>68</v>
      </c>
      <c r="C556">
        <v>6466.7875000000004</v>
      </c>
      <c r="D556">
        <v>4300</v>
      </c>
      <c r="E556">
        <v>0</v>
      </c>
      <c r="F556">
        <v>24850</v>
      </c>
      <c r="G556">
        <v>40</v>
      </c>
      <c r="H556">
        <v>195</v>
      </c>
    </row>
    <row r="558" spans="1:8" ht="72" x14ac:dyDescent="0.3">
      <c r="A558" s="22" t="s">
        <v>190</v>
      </c>
    </row>
    <row r="559" spans="1:8" x14ac:dyDescent="0.3">
      <c r="A559" s="22" t="s">
        <v>57</v>
      </c>
      <c r="B559" t="s">
        <v>66</v>
      </c>
      <c r="C559" t="s">
        <v>58</v>
      </c>
      <c r="D559" t="s">
        <v>59</v>
      </c>
      <c r="E559" t="s">
        <v>60</v>
      </c>
      <c r="F559" t="s">
        <v>61</v>
      </c>
      <c r="G559" t="s">
        <v>62</v>
      </c>
      <c r="H559" t="s">
        <v>63</v>
      </c>
    </row>
    <row r="560" spans="1:8" x14ac:dyDescent="0.3">
      <c r="A560" s="22" t="s">
        <v>64</v>
      </c>
      <c r="B560" t="s">
        <v>67</v>
      </c>
      <c r="C560">
        <v>4289.6107456140344</v>
      </c>
      <c r="D560">
        <v>3000</v>
      </c>
      <c r="E560">
        <v>0</v>
      </c>
      <c r="F560">
        <v>24200</v>
      </c>
      <c r="G560">
        <v>152</v>
      </c>
      <c r="H560">
        <v>195</v>
      </c>
    </row>
    <row r="561" spans="1:8" x14ac:dyDescent="0.3">
      <c r="A561" s="22" t="s">
        <v>64</v>
      </c>
      <c r="B561" t="s">
        <v>68</v>
      </c>
      <c r="C561">
        <v>5995.9244186046508</v>
      </c>
      <c r="D561">
        <v>4030</v>
      </c>
      <c r="E561">
        <v>0</v>
      </c>
      <c r="F561">
        <v>25100</v>
      </c>
      <c r="G561">
        <v>43</v>
      </c>
      <c r="H561">
        <v>195</v>
      </c>
    </row>
    <row r="563" spans="1:8" ht="86.4" x14ac:dyDescent="0.3">
      <c r="A563" s="22" t="s">
        <v>191</v>
      </c>
    </row>
    <row r="564" spans="1:8" x14ac:dyDescent="0.3">
      <c r="A564" s="22" t="s">
        <v>57</v>
      </c>
      <c r="B564" t="s">
        <v>66</v>
      </c>
      <c r="C564" t="s">
        <v>58</v>
      </c>
      <c r="D564" t="s">
        <v>59</v>
      </c>
      <c r="E564" t="s">
        <v>60</v>
      </c>
      <c r="F564" t="s">
        <v>61</v>
      </c>
      <c r="G564" t="s">
        <v>62</v>
      </c>
      <c r="H564" t="s">
        <v>63</v>
      </c>
    </row>
    <row r="565" spans="1:8" x14ac:dyDescent="0.3">
      <c r="A565" s="22" t="s">
        <v>64</v>
      </c>
      <c r="B565" t="s">
        <v>67</v>
      </c>
      <c r="C565">
        <v>4998.7431972789118</v>
      </c>
      <c r="D565">
        <v>4000</v>
      </c>
      <c r="E565">
        <v>0</v>
      </c>
      <c r="F565">
        <v>25100</v>
      </c>
      <c r="G565">
        <v>147</v>
      </c>
      <c r="H565">
        <v>195</v>
      </c>
    </row>
    <row r="566" spans="1:8" x14ac:dyDescent="0.3">
      <c r="A566" s="22" t="s">
        <v>64</v>
      </c>
      <c r="B566" t="s">
        <v>68</v>
      </c>
      <c r="C566">
        <v>3646.4652777777769</v>
      </c>
      <c r="D566">
        <v>2566.6666666666702</v>
      </c>
      <c r="E566">
        <v>0</v>
      </c>
      <c r="F566">
        <v>18515</v>
      </c>
      <c r="G566">
        <v>48</v>
      </c>
      <c r="H566">
        <v>195</v>
      </c>
    </row>
    <row r="568" spans="1:8" ht="86.4" x14ac:dyDescent="0.3">
      <c r="A568" s="22" t="s">
        <v>192</v>
      </c>
    </row>
    <row r="569" spans="1:8" x14ac:dyDescent="0.3">
      <c r="A569" s="22" t="s">
        <v>57</v>
      </c>
      <c r="B569" t="s">
        <v>66</v>
      </c>
      <c r="C569" t="s">
        <v>58</v>
      </c>
      <c r="D569" t="s">
        <v>59</v>
      </c>
      <c r="E569" t="s">
        <v>60</v>
      </c>
      <c r="F569" t="s">
        <v>61</v>
      </c>
      <c r="G569" t="s">
        <v>62</v>
      </c>
      <c r="H569" t="s">
        <v>63</v>
      </c>
    </row>
    <row r="570" spans="1:8" x14ac:dyDescent="0.3">
      <c r="A570" s="22" t="s">
        <v>64</v>
      </c>
      <c r="B570" t="s">
        <v>67</v>
      </c>
      <c r="C570">
        <v>4661.5645604395604</v>
      </c>
      <c r="D570">
        <v>3266.6666666666702</v>
      </c>
      <c r="E570">
        <v>0</v>
      </c>
      <c r="F570">
        <v>25100</v>
      </c>
      <c r="G570">
        <v>182</v>
      </c>
      <c r="H570">
        <v>195</v>
      </c>
    </row>
    <row r="571" spans="1:8" x14ac:dyDescent="0.3">
      <c r="A571" s="22" t="s">
        <v>64</v>
      </c>
      <c r="B571" t="s">
        <v>68</v>
      </c>
      <c r="C571">
        <v>4726.2179487179492</v>
      </c>
      <c r="D571">
        <v>3625</v>
      </c>
      <c r="E571">
        <v>0</v>
      </c>
      <c r="F571">
        <v>24200</v>
      </c>
      <c r="G571">
        <v>13</v>
      </c>
      <c r="H571">
        <v>195</v>
      </c>
    </row>
    <row r="573" spans="1:8" ht="86.4" x14ac:dyDescent="0.3">
      <c r="A573" s="22" t="s">
        <v>193</v>
      </c>
    </row>
    <row r="574" spans="1:8" x14ac:dyDescent="0.3">
      <c r="A574" s="22" t="s">
        <v>57</v>
      </c>
      <c r="B574" t="s">
        <v>66</v>
      </c>
      <c r="C574" t="s">
        <v>58</v>
      </c>
      <c r="D574" t="s">
        <v>59</v>
      </c>
      <c r="E574" t="s">
        <v>60</v>
      </c>
      <c r="F574" t="s">
        <v>61</v>
      </c>
      <c r="G574" t="s">
        <v>62</v>
      </c>
      <c r="H574" t="s">
        <v>63</v>
      </c>
    </row>
    <row r="575" spans="1:8" x14ac:dyDescent="0.3">
      <c r="A575" s="22" t="s">
        <v>64</v>
      </c>
      <c r="B575" t="s">
        <v>67</v>
      </c>
      <c r="C575">
        <v>4665.8747863247863</v>
      </c>
      <c r="D575">
        <v>3332.5</v>
      </c>
      <c r="E575">
        <v>0</v>
      </c>
      <c r="F575">
        <v>25100</v>
      </c>
      <c r="G575">
        <v>195</v>
      </c>
      <c r="H575">
        <v>195</v>
      </c>
    </row>
    <row r="577" spans="1:8" ht="72" x14ac:dyDescent="0.3">
      <c r="A577" s="22" t="s">
        <v>194</v>
      </c>
    </row>
    <row r="578" spans="1:8" x14ac:dyDescent="0.3">
      <c r="A578" s="22" t="s">
        <v>57</v>
      </c>
      <c r="B578" t="s">
        <v>66</v>
      </c>
      <c r="C578" t="s">
        <v>58</v>
      </c>
      <c r="D578" t="s">
        <v>59</v>
      </c>
      <c r="E578" t="s">
        <v>60</v>
      </c>
      <c r="F578" t="s">
        <v>61</v>
      </c>
      <c r="G578" t="s">
        <v>62</v>
      </c>
      <c r="H578" t="s">
        <v>63</v>
      </c>
    </row>
    <row r="579" spans="1:8" x14ac:dyDescent="0.3">
      <c r="A579" s="22" t="s">
        <v>64</v>
      </c>
      <c r="B579" t="s">
        <v>67</v>
      </c>
      <c r="C579">
        <v>4414.8306233062322</v>
      </c>
      <c r="D579">
        <v>3166.6666666666702</v>
      </c>
      <c r="E579">
        <v>0</v>
      </c>
      <c r="F579">
        <v>25100</v>
      </c>
      <c r="G579">
        <v>123</v>
      </c>
      <c r="H579">
        <v>195</v>
      </c>
    </row>
    <row r="580" spans="1:8" x14ac:dyDescent="0.3">
      <c r="A580" s="22" t="s">
        <v>64</v>
      </c>
      <c r="B580" t="s">
        <v>68</v>
      </c>
      <c r="C580">
        <v>5094.7418981481478</v>
      </c>
      <c r="D580">
        <v>3625</v>
      </c>
      <c r="E580">
        <v>0</v>
      </c>
      <c r="F580">
        <v>24850</v>
      </c>
      <c r="G580">
        <v>72</v>
      </c>
      <c r="H580">
        <v>195</v>
      </c>
    </row>
    <row r="582" spans="1:8" ht="86.4" x14ac:dyDescent="0.3">
      <c r="A582" s="22" t="s">
        <v>195</v>
      </c>
    </row>
    <row r="583" spans="1:8" x14ac:dyDescent="0.3">
      <c r="A583" s="22" t="s">
        <v>57</v>
      </c>
      <c r="B583" t="s">
        <v>66</v>
      </c>
      <c r="C583" t="s">
        <v>58</v>
      </c>
      <c r="D583" t="s">
        <v>59</v>
      </c>
      <c r="E583" t="s">
        <v>60</v>
      </c>
      <c r="F583" t="s">
        <v>61</v>
      </c>
      <c r="G583" t="s">
        <v>62</v>
      </c>
      <c r="H583" t="s">
        <v>63</v>
      </c>
    </row>
    <row r="584" spans="1:8" x14ac:dyDescent="0.3">
      <c r="A584" s="22" t="s">
        <v>64</v>
      </c>
      <c r="B584" t="s">
        <v>67</v>
      </c>
      <c r="C584">
        <v>4704.1112689393931</v>
      </c>
      <c r="D584">
        <v>3200</v>
      </c>
      <c r="E584">
        <v>0</v>
      </c>
      <c r="F584">
        <v>25100</v>
      </c>
      <c r="G584">
        <v>176</v>
      </c>
      <c r="H584">
        <v>195</v>
      </c>
    </row>
    <row r="585" spans="1:8" x14ac:dyDescent="0.3">
      <c r="A585" s="22" t="s">
        <v>64</v>
      </c>
      <c r="B585" t="s">
        <v>68</v>
      </c>
      <c r="C585">
        <v>4311.6842105263158</v>
      </c>
      <c r="D585">
        <v>4240</v>
      </c>
      <c r="E585">
        <v>0</v>
      </c>
      <c r="F585">
        <v>15100</v>
      </c>
      <c r="G585">
        <v>19</v>
      </c>
      <c r="H585">
        <v>195</v>
      </c>
    </row>
    <row r="587" spans="1:8" ht="72" x14ac:dyDescent="0.3">
      <c r="A587" s="22" t="s">
        <v>196</v>
      </c>
    </row>
    <row r="588" spans="1:8" x14ac:dyDescent="0.3">
      <c r="A588" s="22" t="s">
        <v>57</v>
      </c>
      <c r="B588" t="s">
        <v>66</v>
      </c>
      <c r="C588" t="s">
        <v>58</v>
      </c>
      <c r="D588" t="s">
        <v>59</v>
      </c>
      <c r="E588" t="s">
        <v>60</v>
      </c>
      <c r="F588" t="s">
        <v>61</v>
      </c>
      <c r="G588" t="s">
        <v>62</v>
      </c>
      <c r="H588" t="s">
        <v>63</v>
      </c>
    </row>
    <row r="589" spans="1:8" x14ac:dyDescent="0.3">
      <c r="A589" s="22" t="s">
        <v>64</v>
      </c>
      <c r="B589" t="s">
        <v>81</v>
      </c>
      <c r="C589">
        <v>6526.3606060606044</v>
      </c>
      <c r="D589">
        <v>4850</v>
      </c>
      <c r="E589">
        <v>643.33333333333303</v>
      </c>
      <c r="F589">
        <v>25100</v>
      </c>
      <c r="G589">
        <v>55</v>
      </c>
      <c r="H589">
        <v>195</v>
      </c>
    </row>
    <row r="590" spans="1:8" x14ac:dyDescent="0.3">
      <c r="A590" s="22" t="s">
        <v>64</v>
      </c>
      <c r="B590" t="s">
        <v>82</v>
      </c>
      <c r="C590">
        <v>4208.7978723404258</v>
      </c>
      <c r="D590">
        <v>3675</v>
      </c>
      <c r="E590">
        <v>0</v>
      </c>
      <c r="F590">
        <v>15500</v>
      </c>
      <c r="G590">
        <v>47</v>
      </c>
      <c r="H590">
        <v>195</v>
      </c>
    </row>
    <row r="591" spans="1:8" x14ac:dyDescent="0.3">
      <c r="A591" s="22" t="s">
        <v>64</v>
      </c>
      <c r="B591" t="s">
        <v>83</v>
      </c>
      <c r="C591">
        <v>4491.119791666667</v>
      </c>
      <c r="D591">
        <v>2500</v>
      </c>
      <c r="E591">
        <v>0</v>
      </c>
      <c r="F591">
        <v>24200</v>
      </c>
      <c r="G591">
        <v>48</v>
      </c>
      <c r="H591">
        <v>195</v>
      </c>
    </row>
    <row r="592" spans="1:8" x14ac:dyDescent="0.3">
      <c r="A592" s="22" t="s">
        <v>64</v>
      </c>
      <c r="B592" t="s">
        <v>84</v>
      </c>
      <c r="C592">
        <v>3055.744444444445</v>
      </c>
      <c r="D592">
        <v>2940</v>
      </c>
      <c r="E592">
        <v>0</v>
      </c>
      <c r="F592">
        <v>8400</v>
      </c>
      <c r="G592">
        <v>45</v>
      </c>
      <c r="H592">
        <v>195</v>
      </c>
    </row>
    <row r="594" spans="1:8" ht="57.6" x14ac:dyDescent="0.3">
      <c r="A594" s="22" t="s">
        <v>197</v>
      </c>
    </row>
    <row r="595" spans="1:8" x14ac:dyDescent="0.3">
      <c r="A595" s="22" t="s">
        <v>57</v>
      </c>
      <c r="B595" t="s">
        <v>58</v>
      </c>
      <c r="C595" t="s">
        <v>59</v>
      </c>
      <c r="D595" t="s">
        <v>60</v>
      </c>
      <c r="E595" t="s">
        <v>61</v>
      </c>
      <c r="F595" t="s">
        <v>62</v>
      </c>
      <c r="G595" t="s">
        <v>63</v>
      </c>
    </row>
    <row r="596" spans="1:8" x14ac:dyDescent="0.3">
      <c r="A596" s="22" t="s">
        <v>64</v>
      </c>
      <c r="B596">
        <v>11909.5</v>
      </c>
      <c r="C596">
        <v>9000</v>
      </c>
      <c r="D596">
        <v>0</v>
      </c>
      <c r="E596">
        <v>51900</v>
      </c>
      <c r="F596">
        <v>130</v>
      </c>
      <c r="G596">
        <v>130</v>
      </c>
    </row>
    <row r="598" spans="1:8" ht="72" x14ac:dyDescent="0.3">
      <c r="A598" s="22" t="s">
        <v>198</v>
      </c>
    </row>
    <row r="599" spans="1:8" x14ac:dyDescent="0.3">
      <c r="A599" s="22" t="s">
        <v>57</v>
      </c>
      <c r="B599" t="s">
        <v>66</v>
      </c>
      <c r="C599" t="s">
        <v>58</v>
      </c>
      <c r="D599" t="s">
        <v>59</v>
      </c>
      <c r="E599" t="s">
        <v>60</v>
      </c>
      <c r="F599" t="s">
        <v>61</v>
      </c>
      <c r="G599" t="s">
        <v>62</v>
      </c>
      <c r="H599" t="s">
        <v>63</v>
      </c>
    </row>
    <row r="600" spans="1:8" x14ac:dyDescent="0.3">
      <c r="A600" s="22" t="s">
        <v>64</v>
      </c>
      <c r="B600" t="s">
        <v>67</v>
      </c>
      <c r="C600">
        <v>11643.373983739841</v>
      </c>
      <c r="D600">
        <v>8500</v>
      </c>
      <c r="E600">
        <v>0</v>
      </c>
      <c r="F600">
        <v>51900</v>
      </c>
      <c r="G600">
        <v>123</v>
      </c>
      <c r="H600">
        <v>130</v>
      </c>
    </row>
    <row r="601" spans="1:8" x14ac:dyDescent="0.3">
      <c r="A601" s="22" t="s">
        <v>64</v>
      </c>
      <c r="B601" t="s">
        <v>68</v>
      </c>
      <c r="C601">
        <v>16585.71428571429</v>
      </c>
      <c r="D601">
        <v>18100</v>
      </c>
      <c r="E601">
        <v>9000</v>
      </c>
      <c r="F601">
        <v>36900</v>
      </c>
      <c r="G601">
        <v>7</v>
      </c>
      <c r="H601">
        <v>130</v>
      </c>
    </row>
    <row r="603" spans="1:8" x14ac:dyDescent="0.3">
      <c r="A603"/>
    </row>
    <row r="604" spans="1:8" x14ac:dyDescent="0.3">
      <c r="A604"/>
    </row>
    <row r="605" spans="1:8" x14ac:dyDescent="0.3">
      <c r="A605"/>
    </row>
    <row r="607" spans="1:8" ht="72" x14ac:dyDescent="0.3">
      <c r="A607" s="22" t="s">
        <v>199</v>
      </c>
    </row>
    <row r="608" spans="1:8" x14ac:dyDescent="0.3">
      <c r="A608" s="22" t="s">
        <v>57</v>
      </c>
      <c r="B608" t="s">
        <v>66</v>
      </c>
      <c r="C608" t="s">
        <v>58</v>
      </c>
      <c r="D608" t="s">
        <v>59</v>
      </c>
      <c r="E608" t="s">
        <v>60</v>
      </c>
      <c r="F608" t="s">
        <v>61</v>
      </c>
      <c r="G608" t="s">
        <v>62</v>
      </c>
      <c r="H608" t="s">
        <v>63</v>
      </c>
    </row>
    <row r="609" spans="1:8" x14ac:dyDescent="0.3">
      <c r="A609" s="22" t="s">
        <v>64</v>
      </c>
      <c r="B609" t="s">
        <v>67</v>
      </c>
      <c r="C609">
        <v>11399.072580645159</v>
      </c>
      <c r="D609">
        <v>8500</v>
      </c>
      <c r="E609">
        <v>0</v>
      </c>
      <c r="F609">
        <v>51900</v>
      </c>
      <c r="G609">
        <v>124</v>
      </c>
      <c r="H609">
        <v>130</v>
      </c>
    </row>
    <row r="610" spans="1:8" x14ac:dyDescent="0.3">
      <c r="A610" s="22" t="s">
        <v>64</v>
      </c>
      <c r="B610" t="s">
        <v>68</v>
      </c>
      <c r="C610">
        <v>22458.333333333328</v>
      </c>
      <c r="D610">
        <v>20850</v>
      </c>
      <c r="E610">
        <v>6500</v>
      </c>
      <c r="F610">
        <v>35700</v>
      </c>
      <c r="G610">
        <v>6</v>
      </c>
      <c r="H610">
        <v>130</v>
      </c>
    </row>
    <row r="612" spans="1:8" ht="72" x14ac:dyDescent="0.3">
      <c r="A612" s="22" t="s">
        <v>200</v>
      </c>
    </row>
    <row r="613" spans="1:8" x14ac:dyDescent="0.3">
      <c r="A613" s="22" t="s">
        <v>57</v>
      </c>
      <c r="B613" t="s">
        <v>66</v>
      </c>
      <c r="C613" t="s">
        <v>58</v>
      </c>
      <c r="D613" t="s">
        <v>59</v>
      </c>
      <c r="E613" t="s">
        <v>60</v>
      </c>
      <c r="F613" t="s">
        <v>61</v>
      </c>
      <c r="G613" t="s">
        <v>62</v>
      </c>
      <c r="H613" t="s">
        <v>63</v>
      </c>
    </row>
    <row r="614" spans="1:8" x14ac:dyDescent="0.3">
      <c r="A614" s="22" t="s">
        <v>64</v>
      </c>
      <c r="B614" t="s">
        <v>67</v>
      </c>
      <c r="C614">
        <v>11957.82945736434</v>
      </c>
      <c r="D614">
        <v>9050</v>
      </c>
      <c r="E614">
        <v>0</v>
      </c>
      <c r="F614">
        <v>51900</v>
      </c>
      <c r="G614">
        <v>129</v>
      </c>
      <c r="H614">
        <v>130</v>
      </c>
    </row>
    <row r="615" spans="1:8" x14ac:dyDescent="0.3">
      <c r="A615" s="22" t="s">
        <v>64</v>
      </c>
      <c r="B615" t="s">
        <v>68</v>
      </c>
      <c r="C615">
        <v>5675</v>
      </c>
      <c r="D615">
        <v>5675</v>
      </c>
      <c r="E615">
        <v>5675</v>
      </c>
      <c r="F615">
        <v>5675</v>
      </c>
      <c r="G615">
        <v>1</v>
      </c>
      <c r="H615">
        <v>130</v>
      </c>
    </row>
    <row r="617" spans="1:8" ht="72" x14ac:dyDescent="0.3">
      <c r="A617" s="22" t="s">
        <v>201</v>
      </c>
    </row>
    <row r="618" spans="1:8" x14ac:dyDescent="0.3">
      <c r="A618" s="22" t="s">
        <v>57</v>
      </c>
      <c r="B618" t="s">
        <v>66</v>
      </c>
      <c r="C618" t="s">
        <v>58</v>
      </c>
      <c r="D618" t="s">
        <v>59</v>
      </c>
      <c r="E618" t="s">
        <v>60</v>
      </c>
      <c r="F618" t="s">
        <v>61</v>
      </c>
      <c r="G618" t="s">
        <v>62</v>
      </c>
      <c r="H618" t="s">
        <v>63</v>
      </c>
    </row>
    <row r="619" spans="1:8" x14ac:dyDescent="0.3">
      <c r="A619" s="22" t="s">
        <v>64</v>
      </c>
      <c r="B619" t="s">
        <v>67</v>
      </c>
      <c r="C619">
        <v>12076.125</v>
      </c>
      <c r="D619">
        <v>8600</v>
      </c>
      <c r="E619">
        <v>0</v>
      </c>
      <c r="F619">
        <v>51900</v>
      </c>
      <c r="G619">
        <v>120</v>
      </c>
      <c r="H619">
        <v>130</v>
      </c>
    </row>
    <row r="620" spans="1:8" x14ac:dyDescent="0.3">
      <c r="A620" s="22" t="s">
        <v>64</v>
      </c>
      <c r="B620" t="s">
        <v>68</v>
      </c>
      <c r="C620">
        <v>9910</v>
      </c>
      <c r="D620">
        <v>9000</v>
      </c>
      <c r="E620">
        <v>0</v>
      </c>
      <c r="F620">
        <v>20300</v>
      </c>
      <c r="G620">
        <v>10</v>
      </c>
      <c r="H620">
        <v>130</v>
      </c>
    </row>
    <row r="622" spans="1:8" ht="72" x14ac:dyDescent="0.3">
      <c r="A622" s="22" t="s">
        <v>202</v>
      </c>
    </row>
    <row r="623" spans="1:8" x14ac:dyDescent="0.3">
      <c r="A623" s="22" t="s">
        <v>57</v>
      </c>
      <c r="B623" t="s">
        <v>66</v>
      </c>
      <c r="C623" t="s">
        <v>58</v>
      </c>
      <c r="D623" t="s">
        <v>59</v>
      </c>
      <c r="E623" t="s">
        <v>60</v>
      </c>
      <c r="F623" t="s">
        <v>61</v>
      </c>
      <c r="G623" t="s">
        <v>62</v>
      </c>
      <c r="H623" t="s">
        <v>63</v>
      </c>
    </row>
    <row r="624" spans="1:8" x14ac:dyDescent="0.3">
      <c r="A624" s="22" t="s">
        <v>64</v>
      </c>
      <c r="B624" t="s">
        <v>67</v>
      </c>
      <c r="C624">
        <v>16620</v>
      </c>
      <c r="D624">
        <v>19800</v>
      </c>
      <c r="E624">
        <v>6000</v>
      </c>
      <c r="F624">
        <v>31300</v>
      </c>
      <c r="G624">
        <v>5</v>
      </c>
      <c r="H624">
        <v>130</v>
      </c>
    </row>
    <row r="625" spans="1:8" x14ac:dyDescent="0.3">
      <c r="A625" s="22" t="s">
        <v>64</v>
      </c>
      <c r="B625" t="s">
        <v>68</v>
      </c>
      <c r="C625">
        <v>11721.08</v>
      </c>
      <c r="D625">
        <v>9000</v>
      </c>
      <c r="E625">
        <v>0</v>
      </c>
      <c r="F625">
        <v>51900</v>
      </c>
      <c r="G625">
        <v>125</v>
      </c>
      <c r="H625">
        <v>130</v>
      </c>
    </row>
    <row r="627" spans="1:8" ht="72" x14ac:dyDescent="0.3">
      <c r="A627" s="22" t="s">
        <v>203</v>
      </c>
    </row>
    <row r="628" spans="1:8" x14ac:dyDescent="0.3">
      <c r="A628" s="22" t="s">
        <v>57</v>
      </c>
      <c r="B628" t="s">
        <v>66</v>
      </c>
      <c r="C628" t="s">
        <v>58</v>
      </c>
      <c r="D628" t="s">
        <v>59</v>
      </c>
      <c r="E628" t="s">
        <v>60</v>
      </c>
      <c r="F628" t="s">
        <v>61</v>
      </c>
      <c r="G628" t="s">
        <v>62</v>
      </c>
      <c r="H628" t="s">
        <v>63</v>
      </c>
    </row>
    <row r="629" spans="1:8" x14ac:dyDescent="0.3">
      <c r="A629" s="22" t="s">
        <v>64</v>
      </c>
      <c r="B629" t="s">
        <v>67</v>
      </c>
      <c r="C629">
        <v>12517.7358490566</v>
      </c>
      <c r="D629">
        <v>9050</v>
      </c>
      <c r="E629">
        <v>0</v>
      </c>
      <c r="F629">
        <v>51900</v>
      </c>
      <c r="G629">
        <v>106</v>
      </c>
      <c r="H629">
        <v>130</v>
      </c>
    </row>
    <row r="630" spans="1:8" x14ac:dyDescent="0.3">
      <c r="A630" s="22" t="s">
        <v>64</v>
      </c>
      <c r="B630" t="s">
        <v>68</v>
      </c>
      <c r="C630">
        <v>9223.125</v>
      </c>
      <c r="D630">
        <v>8020</v>
      </c>
      <c r="E630">
        <v>2105</v>
      </c>
      <c r="F630">
        <v>23480</v>
      </c>
      <c r="G630">
        <v>24</v>
      </c>
      <c r="H630">
        <v>130</v>
      </c>
    </row>
    <row r="632" spans="1:8" ht="72" x14ac:dyDescent="0.3">
      <c r="A632" s="22" t="s">
        <v>204</v>
      </c>
    </row>
    <row r="633" spans="1:8" x14ac:dyDescent="0.3">
      <c r="A633" s="22" t="s">
        <v>57</v>
      </c>
      <c r="B633" t="s">
        <v>66</v>
      </c>
      <c r="C633" t="s">
        <v>58</v>
      </c>
      <c r="D633" t="s">
        <v>59</v>
      </c>
      <c r="E633" t="s">
        <v>60</v>
      </c>
      <c r="F633" t="s">
        <v>61</v>
      </c>
      <c r="G633" t="s">
        <v>62</v>
      </c>
      <c r="H633" t="s">
        <v>63</v>
      </c>
    </row>
    <row r="634" spans="1:8" x14ac:dyDescent="0.3">
      <c r="A634" s="22" t="s">
        <v>64</v>
      </c>
      <c r="B634" t="s">
        <v>67</v>
      </c>
      <c r="C634">
        <v>11948.019801980199</v>
      </c>
      <c r="D634">
        <v>9150</v>
      </c>
      <c r="E634">
        <v>0</v>
      </c>
      <c r="F634">
        <v>51900</v>
      </c>
      <c r="G634">
        <v>101</v>
      </c>
      <c r="H634">
        <v>130</v>
      </c>
    </row>
    <row r="635" spans="1:8" x14ac:dyDescent="0.3">
      <c r="A635" s="22" t="s">
        <v>64</v>
      </c>
      <c r="B635" t="s">
        <v>68</v>
      </c>
      <c r="C635">
        <v>11775.34482758621</v>
      </c>
      <c r="D635">
        <v>9000</v>
      </c>
      <c r="E635">
        <v>2080</v>
      </c>
      <c r="F635">
        <v>36900</v>
      </c>
      <c r="G635">
        <v>29</v>
      </c>
      <c r="H635">
        <v>130</v>
      </c>
    </row>
    <row r="637" spans="1:8" ht="86.4" x14ac:dyDescent="0.3">
      <c r="A637" s="22" t="s">
        <v>205</v>
      </c>
    </row>
    <row r="638" spans="1:8" x14ac:dyDescent="0.3">
      <c r="A638" s="22" t="s">
        <v>57</v>
      </c>
      <c r="B638" t="s">
        <v>66</v>
      </c>
      <c r="C638" t="s">
        <v>58</v>
      </c>
      <c r="D638" t="s">
        <v>59</v>
      </c>
      <c r="E638" t="s">
        <v>60</v>
      </c>
      <c r="F638" t="s">
        <v>61</v>
      </c>
      <c r="G638" t="s">
        <v>62</v>
      </c>
      <c r="H638" t="s">
        <v>63</v>
      </c>
    </row>
    <row r="639" spans="1:8" x14ac:dyDescent="0.3">
      <c r="A639" s="22" t="s">
        <v>64</v>
      </c>
      <c r="B639" t="s">
        <v>67</v>
      </c>
      <c r="C639">
        <v>11811.479591836731</v>
      </c>
      <c r="D639">
        <v>8500</v>
      </c>
      <c r="E639">
        <v>0</v>
      </c>
      <c r="F639">
        <v>51900</v>
      </c>
      <c r="G639">
        <v>98</v>
      </c>
      <c r="H639">
        <v>130</v>
      </c>
    </row>
    <row r="640" spans="1:8" x14ac:dyDescent="0.3">
      <c r="A640" s="22" t="s">
        <v>64</v>
      </c>
      <c r="B640" t="s">
        <v>68</v>
      </c>
      <c r="C640">
        <v>12209.6875</v>
      </c>
      <c r="D640">
        <v>9050</v>
      </c>
      <c r="E640">
        <v>1700</v>
      </c>
      <c r="F640">
        <v>49000</v>
      </c>
      <c r="G640">
        <v>32</v>
      </c>
      <c r="H640">
        <v>130</v>
      </c>
    </row>
    <row r="642" spans="1:8" ht="86.4" x14ac:dyDescent="0.3">
      <c r="A642" s="22" t="s">
        <v>206</v>
      </c>
    </row>
    <row r="643" spans="1:8" x14ac:dyDescent="0.3">
      <c r="A643" s="22" t="s">
        <v>57</v>
      </c>
      <c r="B643" t="s">
        <v>66</v>
      </c>
      <c r="C643" t="s">
        <v>58</v>
      </c>
      <c r="D643" t="s">
        <v>59</v>
      </c>
      <c r="E643" t="s">
        <v>60</v>
      </c>
      <c r="F643" t="s">
        <v>61</v>
      </c>
      <c r="G643" t="s">
        <v>62</v>
      </c>
      <c r="H643" t="s">
        <v>63</v>
      </c>
    </row>
    <row r="644" spans="1:8" x14ac:dyDescent="0.3">
      <c r="A644" s="22" t="s">
        <v>64</v>
      </c>
      <c r="B644" t="s">
        <v>67</v>
      </c>
      <c r="C644">
        <v>12090.72033898305</v>
      </c>
      <c r="D644">
        <v>9000</v>
      </c>
      <c r="E644">
        <v>0</v>
      </c>
      <c r="F644">
        <v>51900</v>
      </c>
      <c r="G644">
        <v>118</v>
      </c>
      <c r="H644">
        <v>130</v>
      </c>
    </row>
    <row r="645" spans="1:8" x14ac:dyDescent="0.3">
      <c r="A645" s="22" t="s">
        <v>64</v>
      </c>
      <c r="B645" t="s">
        <v>68</v>
      </c>
      <c r="C645">
        <v>10127.5</v>
      </c>
      <c r="D645">
        <v>7400</v>
      </c>
      <c r="E645">
        <v>2500</v>
      </c>
      <c r="F645">
        <v>20280</v>
      </c>
      <c r="G645">
        <v>12</v>
      </c>
      <c r="H645">
        <v>130</v>
      </c>
    </row>
    <row r="647" spans="1:8" ht="86.4" x14ac:dyDescent="0.3">
      <c r="A647" s="22" t="s">
        <v>207</v>
      </c>
    </row>
    <row r="648" spans="1:8" x14ac:dyDescent="0.3">
      <c r="A648" s="22" t="s">
        <v>57</v>
      </c>
      <c r="B648" t="s">
        <v>66</v>
      </c>
      <c r="C648" t="s">
        <v>58</v>
      </c>
      <c r="D648" t="s">
        <v>59</v>
      </c>
      <c r="E648" t="s">
        <v>60</v>
      </c>
      <c r="F648" t="s">
        <v>61</v>
      </c>
      <c r="G648" t="s">
        <v>62</v>
      </c>
      <c r="H648" t="s">
        <v>63</v>
      </c>
    </row>
    <row r="649" spans="1:8" x14ac:dyDescent="0.3">
      <c r="A649" s="22" t="s">
        <v>64</v>
      </c>
      <c r="B649" t="s">
        <v>67</v>
      </c>
      <c r="C649">
        <v>11909.5</v>
      </c>
      <c r="D649">
        <v>9000</v>
      </c>
      <c r="E649">
        <v>0</v>
      </c>
      <c r="F649">
        <v>51900</v>
      </c>
      <c r="G649">
        <v>130</v>
      </c>
      <c r="H649">
        <v>130</v>
      </c>
    </row>
    <row r="651" spans="1:8" ht="72" x14ac:dyDescent="0.3">
      <c r="A651" s="22" t="s">
        <v>208</v>
      </c>
    </row>
    <row r="652" spans="1:8" x14ac:dyDescent="0.3">
      <c r="A652" s="22" t="s">
        <v>57</v>
      </c>
      <c r="B652" t="s">
        <v>66</v>
      </c>
      <c r="C652" t="s">
        <v>58</v>
      </c>
      <c r="D652" t="s">
        <v>59</v>
      </c>
      <c r="E652" t="s">
        <v>60</v>
      </c>
      <c r="F652" t="s">
        <v>61</v>
      </c>
      <c r="G652" t="s">
        <v>62</v>
      </c>
      <c r="H652" t="s">
        <v>63</v>
      </c>
    </row>
    <row r="653" spans="1:8" x14ac:dyDescent="0.3">
      <c r="A653" s="22" t="s">
        <v>64</v>
      </c>
      <c r="B653" t="s">
        <v>67</v>
      </c>
      <c r="C653">
        <v>11598.246753246751</v>
      </c>
      <c r="D653">
        <v>8500</v>
      </c>
      <c r="E653">
        <v>0</v>
      </c>
      <c r="F653">
        <v>49000</v>
      </c>
      <c r="G653">
        <v>77</v>
      </c>
      <c r="H653">
        <v>130</v>
      </c>
    </row>
    <row r="654" spans="1:8" x14ac:dyDescent="0.3">
      <c r="A654" s="22" t="s">
        <v>64</v>
      </c>
      <c r="B654" t="s">
        <v>68</v>
      </c>
      <c r="C654">
        <v>12361.698113207551</v>
      </c>
      <c r="D654">
        <v>10000</v>
      </c>
      <c r="E654">
        <v>0</v>
      </c>
      <c r="F654">
        <v>51900</v>
      </c>
      <c r="G654">
        <v>53</v>
      </c>
      <c r="H654">
        <v>130</v>
      </c>
    </row>
    <row r="656" spans="1:8" ht="86.4" x14ac:dyDescent="0.3">
      <c r="A656" s="22" t="s">
        <v>209</v>
      </c>
    </row>
    <row r="657" spans="1:8" x14ac:dyDescent="0.3">
      <c r="A657" s="22" t="s">
        <v>57</v>
      </c>
      <c r="B657" t="s">
        <v>66</v>
      </c>
      <c r="C657" t="s">
        <v>58</v>
      </c>
      <c r="D657" t="s">
        <v>59</v>
      </c>
      <c r="E657" t="s">
        <v>60</v>
      </c>
      <c r="F657" t="s">
        <v>61</v>
      </c>
      <c r="G657" t="s">
        <v>62</v>
      </c>
      <c r="H657" t="s">
        <v>63</v>
      </c>
    </row>
    <row r="658" spans="1:8" x14ac:dyDescent="0.3">
      <c r="A658" s="22" t="s">
        <v>64</v>
      </c>
      <c r="B658" t="s">
        <v>67</v>
      </c>
      <c r="C658">
        <v>12494.95614035088</v>
      </c>
      <c r="D658">
        <v>9200</v>
      </c>
      <c r="E658">
        <v>0</v>
      </c>
      <c r="F658">
        <v>51900</v>
      </c>
      <c r="G658">
        <v>114</v>
      </c>
      <c r="H658">
        <v>130</v>
      </c>
    </row>
    <row r="659" spans="1:8" x14ac:dyDescent="0.3">
      <c r="A659" s="22" t="s">
        <v>64</v>
      </c>
      <c r="B659" t="s">
        <v>68</v>
      </c>
      <c r="C659">
        <v>7738.125</v>
      </c>
      <c r="D659">
        <v>6250</v>
      </c>
      <c r="E659">
        <v>0</v>
      </c>
      <c r="F659">
        <v>23480</v>
      </c>
      <c r="G659">
        <v>16</v>
      </c>
      <c r="H659">
        <v>130</v>
      </c>
    </row>
    <row r="661" spans="1:8" ht="72" x14ac:dyDescent="0.3">
      <c r="A661" s="22" t="s">
        <v>210</v>
      </c>
    </row>
    <row r="662" spans="1:8" x14ac:dyDescent="0.3">
      <c r="A662" s="22" t="s">
        <v>57</v>
      </c>
      <c r="B662" t="s">
        <v>66</v>
      </c>
      <c r="C662" t="s">
        <v>58</v>
      </c>
      <c r="D662" t="s">
        <v>59</v>
      </c>
      <c r="E662" t="s">
        <v>60</v>
      </c>
      <c r="F662" t="s">
        <v>61</v>
      </c>
      <c r="G662" t="s">
        <v>62</v>
      </c>
      <c r="H662" t="s">
        <v>63</v>
      </c>
    </row>
    <row r="663" spans="1:8" x14ac:dyDescent="0.3">
      <c r="A663" s="22" t="s">
        <v>64</v>
      </c>
      <c r="B663" t="s">
        <v>81</v>
      </c>
      <c r="C663">
        <v>12239.21875</v>
      </c>
      <c r="D663">
        <v>10000</v>
      </c>
      <c r="E663">
        <v>3310</v>
      </c>
      <c r="F663">
        <v>36900</v>
      </c>
      <c r="G663">
        <v>32</v>
      </c>
      <c r="H663">
        <v>130</v>
      </c>
    </row>
    <row r="664" spans="1:8" x14ac:dyDescent="0.3">
      <c r="A664" s="22" t="s">
        <v>64</v>
      </c>
      <c r="B664" t="s">
        <v>82</v>
      </c>
      <c r="C664">
        <v>9935.8823529411766</v>
      </c>
      <c r="D664">
        <v>7700</v>
      </c>
      <c r="E664">
        <v>0</v>
      </c>
      <c r="F664">
        <v>35700</v>
      </c>
      <c r="G664">
        <v>34</v>
      </c>
      <c r="H664">
        <v>130</v>
      </c>
    </row>
    <row r="665" spans="1:8" x14ac:dyDescent="0.3">
      <c r="A665" s="22" t="s">
        <v>64</v>
      </c>
      <c r="B665" t="s">
        <v>83</v>
      </c>
      <c r="C665">
        <v>15763.93939393939</v>
      </c>
      <c r="D665">
        <v>9000</v>
      </c>
      <c r="E665">
        <v>0</v>
      </c>
      <c r="F665">
        <v>51900</v>
      </c>
      <c r="G665">
        <v>33</v>
      </c>
      <c r="H665">
        <v>130</v>
      </c>
    </row>
    <row r="666" spans="1:8" x14ac:dyDescent="0.3">
      <c r="A666" s="22" t="s">
        <v>64</v>
      </c>
      <c r="B666" t="s">
        <v>84</v>
      </c>
      <c r="C666">
        <v>9630.645161290322</v>
      </c>
      <c r="D666">
        <v>9200</v>
      </c>
      <c r="E666">
        <v>500</v>
      </c>
      <c r="F666">
        <v>30050</v>
      </c>
      <c r="G666">
        <v>31</v>
      </c>
      <c r="H666">
        <v>130</v>
      </c>
    </row>
    <row r="668" spans="1:8" ht="57.6" x14ac:dyDescent="0.3">
      <c r="A668" s="22" t="s">
        <v>211</v>
      </c>
    </row>
    <row r="669" spans="1:8" x14ac:dyDescent="0.3">
      <c r="A669" s="22" t="s">
        <v>57</v>
      </c>
      <c r="B669" t="s">
        <v>58</v>
      </c>
      <c r="C669" t="s">
        <v>59</v>
      </c>
      <c r="D669" t="s">
        <v>60</v>
      </c>
      <c r="E669" t="s">
        <v>61</v>
      </c>
      <c r="F669" t="s">
        <v>62</v>
      </c>
      <c r="G669" t="s">
        <v>63</v>
      </c>
    </row>
    <row r="670" spans="1:8" x14ac:dyDescent="0.3">
      <c r="A670" s="22" t="s">
        <v>64</v>
      </c>
      <c r="B670">
        <v>4750.128205128206</v>
      </c>
      <c r="C670">
        <v>3700</v>
      </c>
      <c r="D670">
        <v>0</v>
      </c>
      <c r="E670">
        <v>24500</v>
      </c>
      <c r="F670">
        <v>130</v>
      </c>
      <c r="G670">
        <v>130</v>
      </c>
    </row>
    <row r="672" spans="1:8" ht="86.4" x14ac:dyDescent="0.3">
      <c r="A672" s="22" t="s">
        <v>212</v>
      </c>
    </row>
    <row r="673" spans="1:8" x14ac:dyDescent="0.3">
      <c r="A673" s="22" t="s">
        <v>57</v>
      </c>
      <c r="B673" t="s">
        <v>66</v>
      </c>
      <c r="C673" t="s">
        <v>58</v>
      </c>
      <c r="D673" t="s">
        <v>59</v>
      </c>
      <c r="E673" t="s">
        <v>60</v>
      </c>
      <c r="F673" t="s">
        <v>61</v>
      </c>
      <c r="G673" t="s">
        <v>62</v>
      </c>
      <c r="H673" t="s">
        <v>63</v>
      </c>
    </row>
    <row r="674" spans="1:8" x14ac:dyDescent="0.3">
      <c r="A674" s="22" t="s">
        <v>64</v>
      </c>
      <c r="B674" t="s">
        <v>67</v>
      </c>
      <c r="C674">
        <v>4847.3035230352298</v>
      </c>
      <c r="D674">
        <v>3775</v>
      </c>
      <c r="E674">
        <v>0</v>
      </c>
      <c r="F674">
        <v>24500</v>
      </c>
      <c r="G674">
        <v>123</v>
      </c>
      <c r="H674">
        <v>130</v>
      </c>
    </row>
    <row r="675" spans="1:8" x14ac:dyDescent="0.3">
      <c r="A675" s="22" t="s">
        <v>64</v>
      </c>
      <c r="B675" t="s">
        <v>68</v>
      </c>
      <c r="C675">
        <v>3042.6190476190468</v>
      </c>
      <c r="D675">
        <v>3900</v>
      </c>
      <c r="E675">
        <v>1440</v>
      </c>
      <c r="F675">
        <v>6150</v>
      </c>
      <c r="G675">
        <v>7</v>
      </c>
      <c r="H675">
        <v>130</v>
      </c>
    </row>
    <row r="677" spans="1:8" x14ac:dyDescent="0.3">
      <c r="A677"/>
    </row>
    <row r="678" spans="1:8" x14ac:dyDescent="0.3">
      <c r="A678"/>
    </row>
    <row r="679" spans="1:8" x14ac:dyDescent="0.3">
      <c r="A679"/>
    </row>
    <row r="681" spans="1:8" ht="72" x14ac:dyDescent="0.3">
      <c r="A681" s="22" t="s">
        <v>213</v>
      </c>
    </row>
    <row r="682" spans="1:8" x14ac:dyDescent="0.3">
      <c r="A682" s="22" t="s">
        <v>57</v>
      </c>
      <c r="B682" t="s">
        <v>66</v>
      </c>
      <c r="C682" t="s">
        <v>58</v>
      </c>
      <c r="D682" t="s">
        <v>59</v>
      </c>
      <c r="E682" t="s">
        <v>60</v>
      </c>
      <c r="F682" t="s">
        <v>61</v>
      </c>
      <c r="G682" t="s">
        <v>62</v>
      </c>
      <c r="H682" t="s">
        <v>63</v>
      </c>
    </row>
    <row r="683" spans="1:8" x14ac:dyDescent="0.3">
      <c r="A683" s="22" t="s">
        <v>64</v>
      </c>
      <c r="B683" t="s">
        <v>67</v>
      </c>
      <c r="C683">
        <v>4708.6827956989246</v>
      </c>
      <c r="D683">
        <v>3583.3333333333298</v>
      </c>
      <c r="E683">
        <v>0</v>
      </c>
      <c r="F683">
        <v>24500</v>
      </c>
      <c r="G683">
        <v>124</v>
      </c>
      <c r="H683">
        <v>130</v>
      </c>
    </row>
    <row r="684" spans="1:8" x14ac:dyDescent="0.3">
      <c r="A684" s="22" t="s">
        <v>64</v>
      </c>
      <c r="B684" t="s">
        <v>68</v>
      </c>
      <c r="C684">
        <v>5606.666666666667</v>
      </c>
      <c r="D684">
        <v>6950</v>
      </c>
      <c r="E684">
        <v>1625</v>
      </c>
      <c r="F684">
        <v>7800</v>
      </c>
      <c r="G684">
        <v>6</v>
      </c>
      <c r="H684">
        <v>130</v>
      </c>
    </row>
    <row r="686" spans="1:8" ht="72" x14ac:dyDescent="0.3">
      <c r="A686" s="22" t="s">
        <v>214</v>
      </c>
    </row>
    <row r="687" spans="1:8" x14ac:dyDescent="0.3">
      <c r="A687" s="22" t="s">
        <v>57</v>
      </c>
      <c r="B687" t="s">
        <v>66</v>
      </c>
      <c r="C687" t="s">
        <v>58</v>
      </c>
      <c r="D687" t="s">
        <v>59</v>
      </c>
      <c r="E687" t="s">
        <v>60</v>
      </c>
      <c r="F687" t="s">
        <v>61</v>
      </c>
      <c r="G687" t="s">
        <v>62</v>
      </c>
      <c r="H687" t="s">
        <v>63</v>
      </c>
    </row>
    <row r="688" spans="1:8" x14ac:dyDescent="0.3">
      <c r="A688" s="22" t="s">
        <v>64</v>
      </c>
      <c r="B688" t="s">
        <v>67</v>
      </c>
      <c r="C688">
        <v>4772.2868217054274</v>
      </c>
      <c r="D688">
        <v>3775</v>
      </c>
      <c r="E688">
        <v>0</v>
      </c>
      <c r="F688">
        <v>24500</v>
      </c>
      <c r="G688">
        <v>129</v>
      </c>
      <c r="H688">
        <v>130</v>
      </c>
    </row>
    <row r="689" spans="1:8" x14ac:dyDescent="0.3">
      <c r="A689" s="22" t="s">
        <v>64</v>
      </c>
      <c r="B689" t="s">
        <v>68</v>
      </c>
      <c r="C689">
        <v>1891.6666666666699</v>
      </c>
      <c r="D689">
        <v>1891.6666666666699</v>
      </c>
      <c r="E689">
        <v>1891.6666666666699</v>
      </c>
      <c r="F689">
        <v>1891.6666666666699</v>
      </c>
      <c r="G689">
        <v>1</v>
      </c>
      <c r="H689">
        <v>130</v>
      </c>
    </row>
    <row r="691" spans="1:8" ht="86.4" x14ac:dyDescent="0.3">
      <c r="A691" s="22" t="s">
        <v>215</v>
      </c>
    </row>
    <row r="692" spans="1:8" x14ac:dyDescent="0.3">
      <c r="A692" s="22" t="s">
        <v>57</v>
      </c>
      <c r="B692" t="s">
        <v>66</v>
      </c>
      <c r="C692" t="s">
        <v>58</v>
      </c>
      <c r="D692" t="s">
        <v>59</v>
      </c>
      <c r="E692" t="s">
        <v>60</v>
      </c>
      <c r="F692" t="s">
        <v>61</v>
      </c>
      <c r="G692" t="s">
        <v>62</v>
      </c>
      <c r="H692" t="s">
        <v>63</v>
      </c>
    </row>
    <row r="693" spans="1:8" x14ac:dyDescent="0.3">
      <c r="A693" s="22" t="s">
        <v>64</v>
      </c>
      <c r="B693" t="s">
        <v>67</v>
      </c>
      <c r="C693">
        <v>4877.4305555555557</v>
      </c>
      <c r="D693">
        <v>3700</v>
      </c>
      <c r="E693">
        <v>0</v>
      </c>
      <c r="F693">
        <v>24500</v>
      </c>
      <c r="G693">
        <v>120</v>
      </c>
      <c r="H693">
        <v>130</v>
      </c>
    </row>
    <row r="694" spans="1:8" x14ac:dyDescent="0.3">
      <c r="A694" s="22" t="s">
        <v>64</v>
      </c>
      <c r="B694" t="s">
        <v>68</v>
      </c>
      <c r="C694">
        <v>3222.5</v>
      </c>
      <c r="D694">
        <v>2250</v>
      </c>
      <c r="E694">
        <v>0</v>
      </c>
      <c r="F694">
        <v>6766.6666666666697</v>
      </c>
      <c r="G694">
        <v>10</v>
      </c>
      <c r="H694">
        <v>130</v>
      </c>
    </row>
    <row r="696" spans="1:8" ht="86.4" x14ac:dyDescent="0.3">
      <c r="A696" s="22" t="s">
        <v>216</v>
      </c>
    </row>
    <row r="697" spans="1:8" x14ac:dyDescent="0.3">
      <c r="A697" s="22" t="s">
        <v>57</v>
      </c>
      <c r="B697" t="s">
        <v>66</v>
      </c>
      <c r="C697" t="s">
        <v>58</v>
      </c>
      <c r="D697" t="s">
        <v>59</v>
      </c>
      <c r="E697" t="s">
        <v>60</v>
      </c>
      <c r="F697" t="s">
        <v>61</v>
      </c>
      <c r="G697" t="s">
        <v>62</v>
      </c>
      <c r="H697" t="s">
        <v>63</v>
      </c>
    </row>
    <row r="698" spans="1:8" x14ac:dyDescent="0.3">
      <c r="A698" s="22" t="s">
        <v>64</v>
      </c>
      <c r="B698" t="s">
        <v>67</v>
      </c>
      <c r="C698">
        <v>5771.6666666666597</v>
      </c>
      <c r="D698">
        <v>9900</v>
      </c>
      <c r="E698">
        <v>1625</v>
      </c>
      <c r="F698">
        <v>10433.333333333299</v>
      </c>
      <c r="G698">
        <v>5</v>
      </c>
      <c r="H698">
        <v>130</v>
      </c>
    </row>
    <row r="699" spans="1:8" x14ac:dyDescent="0.3">
      <c r="A699" s="22" t="s">
        <v>64</v>
      </c>
      <c r="B699" t="s">
        <v>68</v>
      </c>
      <c r="C699">
        <v>4709.2666666666673</v>
      </c>
      <c r="D699">
        <v>3775</v>
      </c>
      <c r="E699">
        <v>0</v>
      </c>
      <c r="F699">
        <v>24500</v>
      </c>
      <c r="G699">
        <v>125</v>
      </c>
      <c r="H699">
        <v>130</v>
      </c>
    </row>
    <row r="701" spans="1:8" ht="86.4" x14ac:dyDescent="0.3">
      <c r="A701" s="22" t="s">
        <v>217</v>
      </c>
    </row>
    <row r="702" spans="1:8" x14ac:dyDescent="0.3">
      <c r="A702" s="22" t="s">
        <v>57</v>
      </c>
      <c r="B702" t="s">
        <v>66</v>
      </c>
      <c r="C702" t="s">
        <v>58</v>
      </c>
      <c r="D702" t="s">
        <v>59</v>
      </c>
      <c r="E702" t="s">
        <v>60</v>
      </c>
      <c r="F702" t="s">
        <v>61</v>
      </c>
      <c r="G702" t="s">
        <v>62</v>
      </c>
      <c r="H702" t="s">
        <v>63</v>
      </c>
    </row>
    <row r="703" spans="1:8" x14ac:dyDescent="0.3">
      <c r="A703" s="22" t="s">
        <v>64</v>
      </c>
      <c r="B703" t="s">
        <v>67</v>
      </c>
      <c r="C703">
        <v>4495.9276729559751</v>
      </c>
      <c r="D703">
        <v>3333.3333333333298</v>
      </c>
      <c r="E703">
        <v>0</v>
      </c>
      <c r="F703">
        <v>24500</v>
      </c>
      <c r="G703">
        <v>106</v>
      </c>
      <c r="H703">
        <v>130</v>
      </c>
    </row>
    <row r="704" spans="1:8" x14ac:dyDescent="0.3">
      <c r="A704" s="22" t="s">
        <v>64</v>
      </c>
      <c r="B704" t="s">
        <v>68</v>
      </c>
      <c r="C704">
        <v>5872.8472222222217</v>
      </c>
      <c r="D704">
        <v>5250</v>
      </c>
      <c r="E704">
        <v>1150</v>
      </c>
      <c r="F704">
        <v>14200</v>
      </c>
      <c r="G704">
        <v>24</v>
      </c>
      <c r="H704">
        <v>130</v>
      </c>
    </row>
    <row r="706" spans="1:8" ht="72" x14ac:dyDescent="0.3">
      <c r="A706" s="22" t="s">
        <v>218</v>
      </c>
    </row>
    <row r="707" spans="1:8" x14ac:dyDescent="0.3">
      <c r="A707" s="22" t="s">
        <v>57</v>
      </c>
      <c r="B707" t="s">
        <v>66</v>
      </c>
      <c r="C707" t="s">
        <v>58</v>
      </c>
      <c r="D707" t="s">
        <v>59</v>
      </c>
      <c r="E707" t="s">
        <v>60</v>
      </c>
      <c r="F707" t="s">
        <v>61</v>
      </c>
      <c r="G707" t="s">
        <v>62</v>
      </c>
      <c r="H707" t="s">
        <v>63</v>
      </c>
    </row>
    <row r="708" spans="1:8" x14ac:dyDescent="0.3">
      <c r="A708" s="22" t="s">
        <v>64</v>
      </c>
      <c r="B708" t="s">
        <v>67</v>
      </c>
      <c r="C708">
        <v>4412.13696369637</v>
      </c>
      <c r="D708">
        <v>3575</v>
      </c>
      <c r="E708">
        <v>0</v>
      </c>
      <c r="F708">
        <v>24500</v>
      </c>
      <c r="G708">
        <v>101</v>
      </c>
      <c r="H708">
        <v>130</v>
      </c>
    </row>
    <row r="709" spans="1:8" x14ac:dyDescent="0.3">
      <c r="A709" s="22" t="s">
        <v>64</v>
      </c>
      <c r="B709" t="s">
        <v>68</v>
      </c>
      <c r="C709">
        <v>5927.2701149425284</v>
      </c>
      <c r="D709">
        <v>4900</v>
      </c>
      <c r="E709">
        <v>1040</v>
      </c>
      <c r="F709">
        <v>20280</v>
      </c>
      <c r="G709">
        <v>29</v>
      </c>
      <c r="H709">
        <v>130</v>
      </c>
    </row>
    <row r="711" spans="1:8" ht="86.4" x14ac:dyDescent="0.3">
      <c r="A711" s="22" t="s">
        <v>219</v>
      </c>
    </row>
    <row r="712" spans="1:8" x14ac:dyDescent="0.3">
      <c r="A712" s="22" t="s">
        <v>57</v>
      </c>
      <c r="B712" t="s">
        <v>66</v>
      </c>
      <c r="C712" t="s">
        <v>58</v>
      </c>
      <c r="D712" t="s">
        <v>59</v>
      </c>
      <c r="E712" t="s">
        <v>60</v>
      </c>
      <c r="F712" t="s">
        <v>61</v>
      </c>
      <c r="G712" t="s">
        <v>62</v>
      </c>
      <c r="H712" t="s">
        <v>63</v>
      </c>
    </row>
    <row r="713" spans="1:8" x14ac:dyDescent="0.3">
      <c r="A713" s="22" t="s">
        <v>64</v>
      </c>
      <c r="B713" t="s">
        <v>67</v>
      </c>
      <c r="C713">
        <v>4719.8554421768713</v>
      </c>
      <c r="D713">
        <v>3775</v>
      </c>
      <c r="E713">
        <v>0</v>
      </c>
      <c r="F713">
        <v>20280</v>
      </c>
      <c r="G713">
        <v>98</v>
      </c>
      <c r="H713">
        <v>130</v>
      </c>
    </row>
    <row r="714" spans="1:8" x14ac:dyDescent="0.3">
      <c r="A714" s="22" t="s">
        <v>64</v>
      </c>
      <c r="B714" t="s">
        <v>68</v>
      </c>
      <c r="C714">
        <v>4842.8385416666661</v>
      </c>
      <c r="D714">
        <v>3200</v>
      </c>
      <c r="E714">
        <v>850</v>
      </c>
      <c r="F714">
        <v>24500</v>
      </c>
      <c r="G714">
        <v>32</v>
      </c>
      <c r="H714">
        <v>130</v>
      </c>
    </row>
    <row r="716" spans="1:8" ht="86.4" x14ac:dyDescent="0.3">
      <c r="A716" s="22" t="s">
        <v>220</v>
      </c>
    </row>
    <row r="717" spans="1:8" x14ac:dyDescent="0.3">
      <c r="A717" s="22" t="s">
        <v>57</v>
      </c>
      <c r="B717" t="s">
        <v>66</v>
      </c>
      <c r="C717" t="s">
        <v>58</v>
      </c>
      <c r="D717" t="s">
        <v>59</v>
      </c>
      <c r="E717" t="s">
        <v>60</v>
      </c>
      <c r="F717" t="s">
        <v>61</v>
      </c>
      <c r="G717" t="s">
        <v>62</v>
      </c>
      <c r="H717" t="s">
        <v>63</v>
      </c>
    </row>
    <row r="718" spans="1:8" x14ac:dyDescent="0.3">
      <c r="A718" s="22" t="s">
        <v>64</v>
      </c>
      <c r="B718" t="s">
        <v>67</v>
      </c>
      <c r="C718">
        <v>4737.1751412429376</v>
      </c>
      <c r="D718">
        <v>3583.3333333333298</v>
      </c>
      <c r="E718">
        <v>0</v>
      </c>
      <c r="F718">
        <v>24500</v>
      </c>
      <c r="G718">
        <v>118</v>
      </c>
      <c r="H718">
        <v>130</v>
      </c>
    </row>
    <row r="719" spans="1:8" x14ac:dyDescent="0.3">
      <c r="A719" s="22" t="s">
        <v>64</v>
      </c>
      <c r="B719" t="s">
        <v>68</v>
      </c>
      <c r="C719">
        <v>4877.5000000000009</v>
      </c>
      <c r="D719">
        <v>3700</v>
      </c>
      <c r="E719">
        <v>833.33333333333303</v>
      </c>
      <c r="F719">
        <v>20280</v>
      </c>
      <c r="G719">
        <v>12</v>
      </c>
      <c r="H719">
        <v>130</v>
      </c>
    </row>
    <row r="721" spans="1:8" ht="86.4" x14ac:dyDescent="0.3">
      <c r="A721" s="22" t="s">
        <v>221</v>
      </c>
    </row>
    <row r="722" spans="1:8" x14ac:dyDescent="0.3">
      <c r="A722" s="22" t="s">
        <v>57</v>
      </c>
      <c r="B722" t="s">
        <v>66</v>
      </c>
      <c r="C722" t="s">
        <v>58</v>
      </c>
      <c r="D722" t="s">
        <v>59</v>
      </c>
      <c r="E722" t="s">
        <v>60</v>
      </c>
      <c r="F722" t="s">
        <v>61</v>
      </c>
      <c r="G722" t="s">
        <v>62</v>
      </c>
      <c r="H722" t="s">
        <v>63</v>
      </c>
    </row>
    <row r="723" spans="1:8" x14ac:dyDescent="0.3">
      <c r="A723" s="22" t="s">
        <v>64</v>
      </c>
      <c r="B723" t="s">
        <v>67</v>
      </c>
      <c r="C723">
        <v>4750.128205128206</v>
      </c>
      <c r="D723">
        <v>3700</v>
      </c>
      <c r="E723">
        <v>0</v>
      </c>
      <c r="F723">
        <v>24500</v>
      </c>
      <c r="G723">
        <v>130</v>
      </c>
      <c r="H723">
        <v>130</v>
      </c>
    </row>
    <row r="725" spans="1:8" ht="72" x14ac:dyDescent="0.3">
      <c r="A725" s="22" t="s">
        <v>222</v>
      </c>
    </row>
    <row r="726" spans="1:8" x14ac:dyDescent="0.3">
      <c r="A726" s="22" t="s">
        <v>57</v>
      </c>
      <c r="B726" t="s">
        <v>66</v>
      </c>
      <c r="C726" t="s">
        <v>58</v>
      </c>
      <c r="D726" t="s">
        <v>59</v>
      </c>
      <c r="E726" t="s">
        <v>60</v>
      </c>
      <c r="F726" t="s">
        <v>61</v>
      </c>
      <c r="G726" t="s">
        <v>62</v>
      </c>
      <c r="H726" t="s">
        <v>63</v>
      </c>
    </row>
    <row r="727" spans="1:8" x14ac:dyDescent="0.3">
      <c r="A727" s="22" t="s">
        <v>64</v>
      </c>
      <c r="B727" t="s">
        <v>67</v>
      </c>
      <c r="C727">
        <v>4652.0129870129867</v>
      </c>
      <c r="D727">
        <v>3500</v>
      </c>
      <c r="E727">
        <v>0</v>
      </c>
      <c r="F727">
        <v>24500</v>
      </c>
      <c r="G727">
        <v>77</v>
      </c>
      <c r="H727">
        <v>130</v>
      </c>
    </row>
    <row r="728" spans="1:8" x14ac:dyDescent="0.3">
      <c r="A728" s="22" t="s">
        <v>64</v>
      </c>
      <c r="B728" t="s">
        <v>68</v>
      </c>
      <c r="C728">
        <v>4892.6729559748428</v>
      </c>
      <c r="D728">
        <v>4100</v>
      </c>
      <c r="E728">
        <v>0</v>
      </c>
      <c r="F728">
        <v>20280</v>
      </c>
      <c r="G728">
        <v>53</v>
      </c>
      <c r="H728">
        <v>130</v>
      </c>
    </row>
    <row r="730" spans="1:8" ht="86.4" x14ac:dyDescent="0.3">
      <c r="A730" s="22" t="s">
        <v>223</v>
      </c>
    </row>
    <row r="731" spans="1:8" x14ac:dyDescent="0.3">
      <c r="A731" s="22" t="s">
        <v>57</v>
      </c>
      <c r="B731" t="s">
        <v>66</v>
      </c>
      <c r="C731" t="s">
        <v>58</v>
      </c>
      <c r="D731" t="s">
        <v>59</v>
      </c>
      <c r="E731" t="s">
        <v>60</v>
      </c>
      <c r="F731" t="s">
        <v>61</v>
      </c>
      <c r="G731" t="s">
        <v>62</v>
      </c>
      <c r="H731" t="s">
        <v>63</v>
      </c>
    </row>
    <row r="732" spans="1:8" x14ac:dyDescent="0.3">
      <c r="A732" s="22" t="s">
        <v>64</v>
      </c>
      <c r="B732" t="s">
        <v>67</v>
      </c>
      <c r="C732">
        <v>4900.4532163742697</v>
      </c>
      <c r="D732">
        <v>3850</v>
      </c>
      <c r="E732">
        <v>0</v>
      </c>
      <c r="F732">
        <v>24500</v>
      </c>
      <c r="G732">
        <v>114</v>
      </c>
      <c r="H732">
        <v>130</v>
      </c>
    </row>
    <row r="733" spans="1:8" x14ac:dyDescent="0.3">
      <c r="A733" s="22" t="s">
        <v>64</v>
      </c>
      <c r="B733" t="s">
        <v>68</v>
      </c>
      <c r="C733">
        <v>3679.0625</v>
      </c>
      <c r="D733">
        <v>2533.3333333333298</v>
      </c>
      <c r="E733">
        <v>0</v>
      </c>
      <c r="F733">
        <v>11740</v>
      </c>
      <c r="G733">
        <v>16</v>
      </c>
      <c r="H733">
        <v>130</v>
      </c>
    </row>
    <row r="735" spans="1:8" ht="72" x14ac:dyDescent="0.3">
      <c r="A735" s="22" t="s">
        <v>224</v>
      </c>
    </row>
    <row r="736" spans="1:8" x14ac:dyDescent="0.3">
      <c r="A736" s="22" t="s">
        <v>57</v>
      </c>
      <c r="B736" t="s">
        <v>66</v>
      </c>
      <c r="C736" t="s">
        <v>58</v>
      </c>
      <c r="D736" t="s">
        <v>59</v>
      </c>
      <c r="E736" t="s">
        <v>60</v>
      </c>
      <c r="F736" t="s">
        <v>61</v>
      </c>
      <c r="G736" t="s">
        <v>62</v>
      </c>
      <c r="H736" t="s">
        <v>63</v>
      </c>
    </row>
    <row r="737" spans="1:26" x14ac:dyDescent="0.3">
      <c r="A737" s="22" t="s">
        <v>64</v>
      </c>
      <c r="B737" t="s">
        <v>81</v>
      </c>
      <c r="C737">
        <v>5386.3541666666661</v>
      </c>
      <c r="D737">
        <v>5000</v>
      </c>
      <c r="E737">
        <v>1866.6666666666699</v>
      </c>
      <c r="F737">
        <v>14200</v>
      </c>
      <c r="G737">
        <v>32</v>
      </c>
      <c r="H737">
        <v>130</v>
      </c>
    </row>
    <row r="738" spans="1:26" x14ac:dyDescent="0.3">
      <c r="A738" s="22" t="s">
        <v>64</v>
      </c>
      <c r="B738" t="s">
        <v>82</v>
      </c>
      <c r="C738">
        <v>3970.588235294118</v>
      </c>
      <c r="D738">
        <v>3500</v>
      </c>
      <c r="E738">
        <v>0</v>
      </c>
      <c r="F738">
        <v>11250</v>
      </c>
      <c r="G738">
        <v>34</v>
      </c>
      <c r="H738">
        <v>130</v>
      </c>
    </row>
    <row r="739" spans="1:26" x14ac:dyDescent="0.3">
      <c r="A739" s="22" t="s">
        <v>64</v>
      </c>
      <c r="B739" t="s">
        <v>83</v>
      </c>
      <c r="C739">
        <v>6536.0858585858587</v>
      </c>
      <c r="D739">
        <v>5166.6666666666697</v>
      </c>
      <c r="E739">
        <v>0</v>
      </c>
      <c r="F739">
        <v>24500</v>
      </c>
      <c r="G739">
        <v>33</v>
      </c>
      <c r="H739">
        <v>130</v>
      </c>
    </row>
    <row r="740" spans="1:26" x14ac:dyDescent="0.3">
      <c r="A740" s="22" t="s">
        <v>64</v>
      </c>
      <c r="B740" t="s">
        <v>84</v>
      </c>
      <c r="C740">
        <v>3047.1774193548399</v>
      </c>
      <c r="D740">
        <v>2425</v>
      </c>
      <c r="E740">
        <v>125</v>
      </c>
      <c r="F740">
        <v>10016.666666666701</v>
      </c>
      <c r="G740">
        <v>31</v>
      </c>
      <c r="H740">
        <v>130</v>
      </c>
    </row>
    <row r="742" spans="1:26" ht="43.2" x14ac:dyDescent="0.3">
      <c r="A742" s="22" t="s">
        <v>225</v>
      </c>
    </row>
    <row r="743" spans="1:26" x14ac:dyDescent="0.3">
      <c r="A743" s="22" t="s">
        <v>62</v>
      </c>
      <c r="B743" t="s">
        <v>57</v>
      </c>
      <c r="C743" t="s">
        <v>63</v>
      </c>
      <c r="D743" t="s">
        <v>226</v>
      </c>
      <c r="E743" t="s">
        <v>227</v>
      </c>
      <c r="F743" t="s">
        <v>228</v>
      </c>
      <c r="G743" t="s">
        <v>229</v>
      </c>
      <c r="H743" t="s">
        <v>154</v>
      </c>
      <c r="I743" t="s">
        <v>230</v>
      </c>
      <c r="J743" t="s">
        <v>231</v>
      </c>
      <c r="K743" t="s">
        <v>232</v>
      </c>
      <c r="L743" t="s">
        <v>233</v>
      </c>
      <c r="M743" t="s">
        <v>234</v>
      </c>
      <c r="N743" t="s">
        <v>235</v>
      </c>
      <c r="O743" t="s">
        <v>236</v>
      </c>
      <c r="P743" t="s">
        <v>237</v>
      </c>
      <c r="Q743" t="s">
        <v>136</v>
      </c>
      <c r="R743" t="s">
        <v>238</v>
      </c>
      <c r="S743" t="s">
        <v>239</v>
      </c>
      <c r="T743" t="s">
        <v>240</v>
      </c>
      <c r="U743" t="s">
        <v>241</v>
      </c>
      <c r="V743" t="s">
        <v>242</v>
      </c>
      <c r="W743" t="s">
        <v>243</v>
      </c>
      <c r="X743" t="s">
        <v>244</v>
      </c>
      <c r="Y743" t="s">
        <v>245</v>
      </c>
    </row>
    <row r="744" spans="1:26" x14ac:dyDescent="0.3">
      <c r="A744" s="22">
        <v>195</v>
      </c>
      <c r="B744" t="s">
        <v>64</v>
      </c>
      <c r="C744">
        <v>195</v>
      </c>
      <c r="D744" s="8">
        <v>9.74E-2</v>
      </c>
      <c r="E744" s="8">
        <v>5.6399999999999999E-2</v>
      </c>
      <c r="F744" s="8">
        <v>0.1231</v>
      </c>
      <c r="G744" s="8">
        <v>0.34360000000000002</v>
      </c>
      <c r="H744" s="8">
        <v>3.5900000000000001E-2</v>
      </c>
      <c r="I744" s="8">
        <v>0.45129999999999998</v>
      </c>
      <c r="J744" s="8">
        <v>0.2</v>
      </c>
      <c r="K744" s="8">
        <v>6.1499999999999999E-2</v>
      </c>
      <c r="L744" s="8">
        <v>0.89229999999999998</v>
      </c>
      <c r="M744" s="8">
        <v>0.15379999999999999</v>
      </c>
      <c r="N744" s="8">
        <v>0.1179</v>
      </c>
      <c r="O744" s="8">
        <v>0.73850000000000005</v>
      </c>
      <c r="P744" s="8">
        <v>0.7077</v>
      </c>
      <c r="Q744" s="8">
        <v>1.54E-2</v>
      </c>
      <c r="R744" s="8">
        <v>0.47689999999999999</v>
      </c>
      <c r="S744" s="8">
        <v>1.03E-2</v>
      </c>
      <c r="T744" s="8">
        <v>4.1000000000000002E-2</v>
      </c>
      <c r="U744" s="8">
        <v>2.0500000000000001E-2</v>
      </c>
      <c r="V744" s="8">
        <v>0.16919999999999999</v>
      </c>
      <c r="W744" s="8">
        <v>0.33850000000000002</v>
      </c>
      <c r="X744" s="8">
        <v>0.79490000000000005</v>
      </c>
      <c r="Y744" s="8">
        <v>0.25640000000000002</v>
      </c>
    </row>
    <row r="746" spans="1:26" ht="57.6" x14ac:dyDescent="0.3">
      <c r="A746" s="22" t="s">
        <v>246</v>
      </c>
    </row>
    <row r="747" spans="1:26" x14ac:dyDescent="0.3">
      <c r="A747" s="22" t="s">
        <v>66</v>
      </c>
      <c r="B747" t="s">
        <v>62</v>
      </c>
      <c r="C747" t="s">
        <v>57</v>
      </c>
      <c r="D747" t="s">
        <v>63</v>
      </c>
      <c r="E747" t="s">
        <v>226</v>
      </c>
      <c r="F747" t="s">
        <v>227</v>
      </c>
      <c r="G747" t="s">
        <v>228</v>
      </c>
      <c r="H747" t="s">
        <v>229</v>
      </c>
      <c r="I747" t="s">
        <v>154</v>
      </c>
      <c r="J747" t="s">
        <v>230</v>
      </c>
      <c r="K747" t="s">
        <v>231</v>
      </c>
      <c r="L747" t="s">
        <v>232</v>
      </c>
      <c r="M747" t="s">
        <v>233</v>
      </c>
      <c r="N747" t="s">
        <v>234</v>
      </c>
      <c r="O747" t="s">
        <v>235</v>
      </c>
      <c r="P747" t="s">
        <v>236</v>
      </c>
      <c r="Q747" t="s">
        <v>237</v>
      </c>
      <c r="R747" t="s">
        <v>136</v>
      </c>
      <c r="S747" t="s">
        <v>238</v>
      </c>
      <c r="T747" t="s">
        <v>239</v>
      </c>
      <c r="U747" t="s">
        <v>240</v>
      </c>
      <c r="V747" t="s">
        <v>241</v>
      </c>
      <c r="W747" t="s">
        <v>242</v>
      </c>
      <c r="X747" t="s">
        <v>243</v>
      </c>
      <c r="Y747" t="s">
        <v>244</v>
      </c>
      <c r="Z747" t="s">
        <v>245</v>
      </c>
    </row>
    <row r="748" spans="1:26" x14ac:dyDescent="0.3">
      <c r="A748" s="22" t="s">
        <v>67</v>
      </c>
      <c r="B748">
        <v>186</v>
      </c>
      <c r="C748" t="s">
        <v>64</v>
      </c>
      <c r="D748">
        <v>195</v>
      </c>
      <c r="E748" s="8">
        <v>0.1022</v>
      </c>
      <c r="F748" s="8">
        <v>5.91E-2</v>
      </c>
      <c r="G748" s="8">
        <v>0.129</v>
      </c>
      <c r="H748" s="8">
        <v>0.3387</v>
      </c>
      <c r="I748" s="8">
        <v>2.69E-2</v>
      </c>
      <c r="J748" s="8">
        <v>0.46239999999999998</v>
      </c>
      <c r="K748" s="8">
        <v>0.2097</v>
      </c>
      <c r="L748" s="8">
        <v>5.91E-2</v>
      </c>
      <c r="M748" s="8">
        <v>0.89780000000000004</v>
      </c>
      <c r="N748" s="8">
        <v>0.1613</v>
      </c>
      <c r="O748" s="8">
        <v>0.1183</v>
      </c>
      <c r="P748" s="8">
        <v>0.75270000000000004</v>
      </c>
      <c r="Q748" s="8">
        <v>0.71509999999999996</v>
      </c>
      <c r="R748" s="8">
        <v>1.61E-2</v>
      </c>
      <c r="S748" s="8">
        <v>0.48920000000000002</v>
      </c>
      <c r="T748" s="8">
        <v>1.0800000000000001E-2</v>
      </c>
      <c r="U748" s="8">
        <v>4.2999999999999997E-2</v>
      </c>
      <c r="V748" s="8">
        <v>2.1499999999999998E-2</v>
      </c>
      <c r="W748" s="8">
        <v>0.17199999999999999</v>
      </c>
      <c r="X748" s="8">
        <v>0.34410000000000002</v>
      </c>
      <c r="Y748" s="8">
        <v>0.80110000000000003</v>
      </c>
      <c r="Z748" s="8">
        <v>0.26879999999999998</v>
      </c>
    </row>
    <row r="749" spans="1:26" x14ac:dyDescent="0.3">
      <c r="A749" s="22" t="s">
        <v>68</v>
      </c>
      <c r="B749">
        <v>9</v>
      </c>
      <c r="C749" t="s">
        <v>64</v>
      </c>
      <c r="D749">
        <v>195</v>
      </c>
      <c r="H749" s="8">
        <v>0.44440000000000002</v>
      </c>
      <c r="I749" s="8">
        <v>0.22220000000000001</v>
      </c>
      <c r="J749" s="8">
        <v>0.22220000000000001</v>
      </c>
      <c r="L749" s="8">
        <v>0.1111</v>
      </c>
      <c r="M749" s="8">
        <v>0.77780000000000005</v>
      </c>
      <c r="O749" s="8">
        <v>0.1111</v>
      </c>
      <c r="P749" s="8">
        <v>0.44440000000000002</v>
      </c>
      <c r="Q749" s="8">
        <v>0.55559999999999998</v>
      </c>
      <c r="S749" s="8">
        <v>0.22220000000000001</v>
      </c>
      <c r="W749" s="8">
        <v>0.1111</v>
      </c>
      <c r="X749" s="8">
        <v>0.22220000000000001</v>
      </c>
      <c r="Y749" s="8">
        <v>0.66669999999999996</v>
      </c>
    </row>
    <row r="751" spans="1:26" x14ac:dyDescent="0.3">
      <c r="A751"/>
    </row>
    <row r="752" spans="1:26" x14ac:dyDescent="0.3">
      <c r="A752"/>
    </row>
    <row r="753" spans="1:26" x14ac:dyDescent="0.3">
      <c r="A753"/>
    </row>
    <row r="755" spans="1:26" ht="57.6" x14ac:dyDescent="0.3">
      <c r="A755" s="22" t="s">
        <v>247</v>
      </c>
    </row>
    <row r="756" spans="1:26" x14ac:dyDescent="0.3">
      <c r="A756" s="22" t="s">
        <v>66</v>
      </c>
      <c r="B756" t="s">
        <v>62</v>
      </c>
      <c r="C756" t="s">
        <v>57</v>
      </c>
      <c r="D756" t="s">
        <v>63</v>
      </c>
      <c r="E756" t="s">
        <v>226</v>
      </c>
      <c r="F756" t="s">
        <v>227</v>
      </c>
      <c r="G756" t="s">
        <v>228</v>
      </c>
      <c r="H756" t="s">
        <v>229</v>
      </c>
      <c r="I756" t="s">
        <v>154</v>
      </c>
      <c r="J756" t="s">
        <v>230</v>
      </c>
      <c r="K756" t="s">
        <v>231</v>
      </c>
      <c r="L756" t="s">
        <v>232</v>
      </c>
      <c r="M756" t="s">
        <v>233</v>
      </c>
      <c r="N756" t="s">
        <v>234</v>
      </c>
      <c r="O756" t="s">
        <v>235</v>
      </c>
      <c r="P756" t="s">
        <v>236</v>
      </c>
      <c r="Q756" t="s">
        <v>237</v>
      </c>
      <c r="R756" t="s">
        <v>136</v>
      </c>
      <c r="S756" t="s">
        <v>238</v>
      </c>
      <c r="T756" t="s">
        <v>239</v>
      </c>
      <c r="U756" t="s">
        <v>240</v>
      </c>
      <c r="V756" t="s">
        <v>241</v>
      </c>
      <c r="W756" t="s">
        <v>242</v>
      </c>
      <c r="X756" t="s">
        <v>243</v>
      </c>
      <c r="Y756" t="s">
        <v>244</v>
      </c>
      <c r="Z756" t="s">
        <v>245</v>
      </c>
    </row>
    <row r="757" spans="1:26" x14ac:dyDescent="0.3">
      <c r="A757" s="22" t="s">
        <v>67</v>
      </c>
      <c r="B757">
        <v>186</v>
      </c>
      <c r="C757" t="s">
        <v>64</v>
      </c>
      <c r="D757">
        <v>195</v>
      </c>
      <c r="E757" s="8">
        <v>0.1022</v>
      </c>
      <c r="F757" s="8">
        <v>5.91E-2</v>
      </c>
      <c r="G757" s="8">
        <v>0.1237</v>
      </c>
      <c r="H757" s="8">
        <v>0.3387</v>
      </c>
      <c r="I757" s="8">
        <v>3.7600000000000001E-2</v>
      </c>
      <c r="J757" s="8">
        <v>0.46239999999999998</v>
      </c>
      <c r="K757" s="8">
        <v>0.20430000000000001</v>
      </c>
      <c r="L757" s="8">
        <v>6.4500000000000002E-2</v>
      </c>
      <c r="M757" s="8">
        <v>0.89249999999999996</v>
      </c>
      <c r="N757" s="8">
        <v>0.15049999999999999</v>
      </c>
      <c r="O757" s="8">
        <v>0.1237</v>
      </c>
      <c r="P757" s="8">
        <v>0.74729999999999996</v>
      </c>
      <c r="Q757" s="8">
        <v>0.71509999999999996</v>
      </c>
      <c r="R757" s="8">
        <v>1.61E-2</v>
      </c>
      <c r="S757" s="8">
        <v>0.4839</v>
      </c>
      <c r="T757" s="8">
        <v>1.0800000000000001E-2</v>
      </c>
      <c r="U757" s="8">
        <v>3.2300000000000002E-2</v>
      </c>
      <c r="V757" s="8">
        <v>2.1499999999999998E-2</v>
      </c>
      <c r="W757" s="8">
        <v>0.17199999999999999</v>
      </c>
      <c r="X757" s="8">
        <v>0.33329999999999999</v>
      </c>
      <c r="Y757" s="8">
        <v>0.7903</v>
      </c>
      <c r="Z757" s="8">
        <v>0.26340000000000002</v>
      </c>
    </row>
    <row r="758" spans="1:26" x14ac:dyDescent="0.3">
      <c r="A758" s="22" t="s">
        <v>68</v>
      </c>
      <c r="B758">
        <v>9</v>
      </c>
      <c r="C758" t="s">
        <v>64</v>
      </c>
      <c r="D758">
        <v>195</v>
      </c>
      <c r="G758" s="8">
        <v>0.1111</v>
      </c>
      <c r="H758" s="8">
        <v>0.44440000000000002</v>
      </c>
      <c r="J758" s="8">
        <v>0.22220000000000001</v>
      </c>
      <c r="K758" s="8">
        <v>0.1111</v>
      </c>
      <c r="M758" s="8">
        <v>0.88890000000000002</v>
      </c>
      <c r="N758" s="8">
        <v>0.22220000000000001</v>
      </c>
      <c r="P758" s="8">
        <v>0.55559999999999998</v>
      </c>
      <c r="Q758" s="8">
        <v>0.55559999999999998</v>
      </c>
      <c r="S758" s="8">
        <v>0.33329999999999999</v>
      </c>
      <c r="U758" s="8">
        <v>0.22220000000000001</v>
      </c>
      <c r="W758" s="8">
        <v>0.1111</v>
      </c>
      <c r="X758" s="8">
        <v>0.44440000000000002</v>
      </c>
      <c r="Y758" s="8">
        <v>0.88890000000000002</v>
      </c>
      <c r="Z758" s="8">
        <v>0.1111</v>
      </c>
    </row>
    <row r="760" spans="1:26" ht="57.6" x14ac:dyDescent="0.3">
      <c r="A760" s="22" t="s">
        <v>248</v>
      </c>
    </row>
    <row r="761" spans="1:26" x14ac:dyDescent="0.3">
      <c r="A761" s="22" t="s">
        <v>66</v>
      </c>
      <c r="B761" t="s">
        <v>62</v>
      </c>
      <c r="C761" t="s">
        <v>57</v>
      </c>
      <c r="D761" t="s">
        <v>63</v>
      </c>
      <c r="E761" t="s">
        <v>226</v>
      </c>
      <c r="F761" t="s">
        <v>227</v>
      </c>
      <c r="G761" t="s">
        <v>228</v>
      </c>
      <c r="H761" t="s">
        <v>229</v>
      </c>
      <c r="I761" t="s">
        <v>154</v>
      </c>
      <c r="J761" t="s">
        <v>230</v>
      </c>
      <c r="K761" t="s">
        <v>231</v>
      </c>
      <c r="L761" t="s">
        <v>232</v>
      </c>
      <c r="M761" t="s">
        <v>233</v>
      </c>
      <c r="N761" t="s">
        <v>234</v>
      </c>
      <c r="O761" t="s">
        <v>235</v>
      </c>
      <c r="P761" t="s">
        <v>236</v>
      </c>
      <c r="Q761" t="s">
        <v>237</v>
      </c>
      <c r="R761" t="s">
        <v>136</v>
      </c>
      <c r="S761" t="s">
        <v>238</v>
      </c>
      <c r="T761" t="s">
        <v>239</v>
      </c>
      <c r="U761" t="s">
        <v>240</v>
      </c>
      <c r="V761" t="s">
        <v>241</v>
      </c>
      <c r="W761" t="s">
        <v>242</v>
      </c>
      <c r="X761" t="s">
        <v>243</v>
      </c>
      <c r="Y761" t="s">
        <v>244</v>
      </c>
      <c r="Z761" t="s">
        <v>245</v>
      </c>
    </row>
    <row r="762" spans="1:26" x14ac:dyDescent="0.3">
      <c r="A762" s="22" t="s">
        <v>67</v>
      </c>
      <c r="B762">
        <v>194</v>
      </c>
      <c r="C762" t="s">
        <v>64</v>
      </c>
      <c r="D762">
        <v>195</v>
      </c>
      <c r="E762" s="8">
        <v>9.7900000000000001E-2</v>
      </c>
      <c r="F762" s="8">
        <v>5.67E-2</v>
      </c>
      <c r="G762" s="8">
        <v>0.1237</v>
      </c>
      <c r="H762" s="8">
        <v>0.34539999999999998</v>
      </c>
      <c r="I762" s="8">
        <v>3.61E-2</v>
      </c>
      <c r="J762" s="8">
        <v>0.4536</v>
      </c>
      <c r="K762" s="8">
        <v>0.19589999999999999</v>
      </c>
      <c r="L762" s="8">
        <v>6.1899999999999997E-2</v>
      </c>
      <c r="M762" s="8">
        <v>0.89180000000000004</v>
      </c>
      <c r="N762" s="8">
        <v>0.15459999999999999</v>
      </c>
      <c r="O762" s="8">
        <v>0.1186</v>
      </c>
      <c r="P762" s="8">
        <v>0.73709999999999998</v>
      </c>
      <c r="Q762" s="8">
        <v>0.70620000000000005</v>
      </c>
      <c r="R762" s="8">
        <v>1.55E-2</v>
      </c>
      <c r="S762" s="8">
        <v>0.47939999999999999</v>
      </c>
      <c r="T762" s="8">
        <v>1.03E-2</v>
      </c>
      <c r="U762" s="8">
        <v>4.1200000000000001E-2</v>
      </c>
      <c r="V762" s="8">
        <v>2.06E-2</v>
      </c>
      <c r="W762" s="8">
        <v>0.1701</v>
      </c>
      <c r="X762" s="8">
        <v>0.3402</v>
      </c>
      <c r="Y762" s="8">
        <v>0.79379999999999995</v>
      </c>
      <c r="Z762" s="8">
        <v>0.25769999999999998</v>
      </c>
    </row>
    <row r="763" spans="1:26" x14ac:dyDescent="0.3">
      <c r="A763" s="22" t="s">
        <v>68</v>
      </c>
      <c r="B763">
        <v>1</v>
      </c>
      <c r="C763" t="s">
        <v>64</v>
      </c>
      <c r="D763">
        <v>195</v>
      </c>
      <c r="K763" s="8">
        <v>1</v>
      </c>
      <c r="M763" s="8">
        <v>1</v>
      </c>
      <c r="P763" s="8">
        <v>1</v>
      </c>
      <c r="Q763" s="8">
        <v>1</v>
      </c>
      <c r="Y763" s="8">
        <v>1</v>
      </c>
    </row>
    <row r="765" spans="1:26" ht="57.6" x14ac:dyDescent="0.3">
      <c r="A765" s="22" t="s">
        <v>249</v>
      </c>
    </row>
    <row r="766" spans="1:26" x14ac:dyDescent="0.3">
      <c r="A766" s="22" t="s">
        <v>66</v>
      </c>
      <c r="B766" t="s">
        <v>62</v>
      </c>
      <c r="C766" t="s">
        <v>57</v>
      </c>
      <c r="D766" t="s">
        <v>63</v>
      </c>
      <c r="E766" t="s">
        <v>226</v>
      </c>
      <c r="F766" t="s">
        <v>227</v>
      </c>
      <c r="G766" t="s">
        <v>228</v>
      </c>
      <c r="H766" t="s">
        <v>229</v>
      </c>
      <c r="I766" t="s">
        <v>154</v>
      </c>
      <c r="J766" t="s">
        <v>230</v>
      </c>
      <c r="K766" t="s">
        <v>231</v>
      </c>
      <c r="L766" t="s">
        <v>232</v>
      </c>
      <c r="M766" t="s">
        <v>233</v>
      </c>
      <c r="N766" t="s">
        <v>234</v>
      </c>
      <c r="O766" t="s">
        <v>235</v>
      </c>
      <c r="P766" t="s">
        <v>236</v>
      </c>
      <c r="Q766" t="s">
        <v>237</v>
      </c>
      <c r="R766" t="s">
        <v>136</v>
      </c>
      <c r="S766" t="s">
        <v>238</v>
      </c>
      <c r="T766" t="s">
        <v>239</v>
      </c>
      <c r="U766" t="s">
        <v>240</v>
      </c>
      <c r="V766" t="s">
        <v>241</v>
      </c>
      <c r="W766" t="s">
        <v>242</v>
      </c>
      <c r="X766" t="s">
        <v>243</v>
      </c>
      <c r="Y766" t="s">
        <v>244</v>
      </c>
      <c r="Z766" t="s">
        <v>245</v>
      </c>
    </row>
    <row r="767" spans="1:26" x14ac:dyDescent="0.3">
      <c r="A767" s="22" t="s">
        <v>67</v>
      </c>
      <c r="B767">
        <v>182</v>
      </c>
      <c r="C767" t="s">
        <v>64</v>
      </c>
      <c r="D767">
        <v>195</v>
      </c>
      <c r="E767" s="8">
        <v>9.8900000000000002E-2</v>
      </c>
      <c r="F767" s="8">
        <v>5.4899999999999997E-2</v>
      </c>
      <c r="G767" s="8">
        <v>0.12089999999999999</v>
      </c>
      <c r="H767" s="8">
        <v>0.34620000000000001</v>
      </c>
      <c r="I767" s="8">
        <v>3.85E-2</v>
      </c>
      <c r="J767" s="8">
        <v>0.46700000000000003</v>
      </c>
      <c r="K767" s="8">
        <v>0.20330000000000001</v>
      </c>
      <c r="L767" s="8">
        <v>6.0400000000000002E-2</v>
      </c>
      <c r="M767" s="8">
        <v>0.88460000000000005</v>
      </c>
      <c r="N767" s="8">
        <v>0.1593</v>
      </c>
      <c r="O767" s="8">
        <v>0.12640000000000001</v>
      </c>
      <c r="P767" s="8">
        <v>0.73629999999999995</v>
      </c>
      <c r="Q767" s="8">
        <v>0.70879999999999999</v>
      </c>
      <c r="R767" s="8">
        <v>1.6500000000000001E-2</v>
      </c>
      <c r="S767" s="8">
        <v>0.48899999999999999</v>
      </c>
      <c r="T767" s="8">
        <v>1.0999999999999999E-2</v>
      </c>
      <c r="U767" s="8">
        <v>4.3999999999999997E-2</v>
      </c>
      <c r="V767" s="8">
        <v>2.1999999999999999E-2</v>
      </c>
      <c r="W767" s="8">
        <v>0.17580000000000001</v>
      </c>
      <c r="X767" s="8">
        <v>0.3407</v>
      </c>
      <c r="Y767" s="8">
        <v>0.79120000000000001</v>
      </c>
      <c r="Z767" s="8">
        <v>0.26919999999999999</v>
      </c>
    </row>
    <row r="768" spans="1:26" x14ac:dyDescent="0.3">
      <c r="A768" s="22" t="s">
        <v>68</v>
      </c>
      <c r="B768">
        <v>13</v>
      </c>
      <c r="C768" t="s">
        <v>64</v>
      </c>
      <c r="D768">
        <v>195</v>
      </c>
      <c r="E768" s="8">
        <v>7.6899999999999996E-2</v>
      </c>
      <c r="F768" s="8">
        <v>7.6899999999999996E-2</v>
      </c>
      <c r="G768" s="8">
        <v>0.15379999999999999</v>
      </c>
      <c r="H768" s="8">
        <v>0.30769999999999997</v>
      </c>
      <c r="J768" s="8">
        <v>0.23080000000000001</v>
      </c>
      <c r="K768" s="8">
        <v>0.15379999999999999</v>
      </c>
      <c r="L768" s="8">
        <v>7.6899999999999996E-2</v>
      </c>
      <c r="M768" s="8">
        <v>1</v>
      </c>
      <c r="N768" s="8">
        <v>7.6899999999999996E-2</v>
      </c>
      <c r="P768" s="8">
        <v>0.76919999999999999</v>
      </c>
      <c r="Q768" s="8">
        <v>0.69230000000000003</v>
      </c>
      <c r="S768" s="8">
        <v>0.30769999999999997</v>
      </c>
      <c r="W768" s="8">
        <v>7.6899999999999996E-2</v>
      </c>
      <c r="X768" s="8">
        <v>0.30769999999999997</v>
      </c>
      <c r="Y768" s="8">
        <v>0.84619999999999995</v>
      </c>
      <c r="Z768" s="8">
        <v>7.6899999999999996E-2</v>
      </c>
    </row>
    <row r="770" spans="1:26" ht="57.6" x14ac:dyDescent="0.3">
      <c r="A770" s="22" t="s">
        <v>250</v>
      </c>
    </row>
    <row r="771" spans="1:26" x14ac:dyDescent="0.3">
      <c r="A771" s="22" t="s">
        <v>66</v>
      </c>
      <c r="B771" t="s">
        <v>62</v>
      </c>
      <c r="C771" t="s">
        <v>57</v>
      </c>
      <c r="D771" t="s">
        <v>63</v>
      </c>
      <c r="E771" t="s">
        <v>226</v>
      </c>
      <c r="F771" t="s">
        <v>227</v>
      </c>
      <c r="G771" t="s">
        <v>228</v>
      </c>
      <c r="H771" t="s">
        <v>229</v>
      </c>
      <c r="I771" t="s">
        <v>154</v>
      </c>
      <c r="J771" t="s">
        <v>230</v>
      </c>
      <c r="K771" t="s">
        <v>231</v>
      </c>
      <c r="L771" t="s">
        <v>232</v>
      </c>
      <c r="M771" t="s">
        <v>233</v>
      </c>
      <c r="N771" t="s">
        <v>234</v>
      </c>
      <c r="O771" t="s">
        <v>235</v>
      </c>
      <c r="P771" t="s">
        <v>236</v>
      </c>
      <c r="Q771" t="s">
        <v>237</v>
      </c>
      <c r="R771" t="s">
        <v>136</v>
      </c>
      <c r="S771" t="s">
        <v>238</v>
      </c>
      <c r="T771" t="s">
        <v>239</v>
      </c>
      <c r="U771" t="s">
        <v>240</v>
      </c>
      <c r="V771" t="s">
        <v>241</v>
      </c>
      <c r="W771" t="s">
        <v>242</v>
      </c>
      <c r="X771" t="s">
        <v>243</v>
      </c>
      <c r="Y771" t="s">
        <v>244</v>
      </c>
      <c r="Z771" t="s">
        <v>245</v>
      </c>
    </row>
    <row r="772" spans="1:26" x14ac:dyDescent="0.3">
      <c r="A772" s="22" t="s">
        <v>67</v>
      </c>
      <c r="B772">
        <v>5</v>
      </c>
      <c r="C772" t="s">
        <v>64</v>
      </c>
      <c r="D772">
        <v>195</v>
      </c>
      <c r="H772" s="8">
        <v>0.2</v>
      </c>
      <c r="I772" s="8">
        <v>0.4</v>
      </c>
      <c r="J772" s="8">
        <v>0.2</v>
      </c>
      <c r="M772" s="8">
        <v>0.6</v>
      </c>
      <c r="Q772" s="8">
        <v>0.4</v>
      </c>
      <c r="S772" s="8">
        <v>0.2</v>
      </c>
      <c r="U772" s="8">
        <v>0.2</v>
      </c>
      <c r="Y772" s="8">
        <v>0.2</v>
      </c>
    </row>
    <row r="773" spans="1:26" x14ac:dyDescent="0.3">
      <c r="A773" s="22" t="s">
        <v>68</v>
      </c>
      <c r="B773">
        <v>190</v>
      </c>
      <c r="C773" t="s">
        <v>64</v>
      </c>
      <c r="D773">
        <v>195</v>
      </c>
      <c r="E773" s="8">
        <v>0.1</v>
      </c>
      <c r="F773" s="8">
        <v>5.79E-2</v>
      </c>
      <c r="G773" s="8">
        <v>0.1263</v>
      </c>
      <c r="H773" s="8">
        <v>0.34739999999999999</v>
      </c>
      <c r="I773" s="8">
        <v>2.63E-2</v>
      </c>
      <c r="J773" s="8">
        <v>0.45789999999999997</v>
      </c>
      <c r="K773" s="8">
        <v>0.20530000000000001</v>
      </c>
      <c r="L773" s="8">
        <v>6.3200000000000006E-2</v>
      </c>
      <c r="M773" s="8">
        <v>0.9</v>
      </c>
      <c r="N773" s="8">
        <v>0.15790000000000001</v>
      </c>
      <c r="O773" s="8">
        <v>0.1211</v>
      </c>
      <c r="P773" s="8">
        <v>0.75790000000000002</v>
      </c>
      <c r="Q773" s="8">
        <v>0.71579999999999999</v>
      </c>
      <c r="R773" s="8">
        <v>1.5800000000000002E-2</v>
      </c>
      <c r="S773" s="8">
        <v>0.48420000000000002</v>
      </c>
      <c r="T773" s="8">
        <v>1.0500000000000001E-2</v>
      </c>
      <c r="U773" s="8">
        <v>3.6799999999999999E-2</v>
      </c>
      <c r="V773" s="8">
        <v>2.1100000000000001E-2</v>
      </c>
      <c r="W773" s="8">
        <v>0.17369999999999999</v>
      </c>
      <c r="X773" s="8">
        <v>0.34739999999999999</v>
      </c>
      <c r="Y773" s="8">
        <v>0.8105</v>
      </c>
      <c r="Z773" s="8">
        <v>0.26319999999999999</v>
      </c>
    </row>
    <row r="775" spans="1:26" ht="57.6" x14ac:dyDescent="0.3">
      <c r="A775" s="22" t="s">
        <v>251</v>
      </c>
    </row>
    <row r="776" spans="1:26" x14ac:dyDescent="0.3">
      <c r="A776" s="22" t="s">
        <v>66</v>
      </c>
      <c r="B776" t="s">
        <v>62</v>
      </c>
      <c r="C776" t="s">
        <v>57</v>
      </c>
      <c r="D776" t="s">
        <v>63</v>
      </c>
      <c r="E776" t="s">
        <v>226</v>
      </c>
      <c r="F776" t="s">
        <v>227</v>
      </c>
      <c r="G776" t="s">
        <v>228</v>
      </c>
      <c r="H776" t="s">
        <v>229</v>
      </c>
      <c r="I776" t="s">
        <v>154</v>
      </c>
      <c r="J776" t="s">
        <v>230</v>
      </c>
      <c r="K776" t="s">
        <v>231</v>
      </c>
      <c r="L776" t="s">
        <v>232</v>
      </c>
      <c r="M776" t="s">
        <v>233</v>
      </c>
      <c r="N776" t="s">
        <v>234</v>
      </c>
      <c r="O776" t="s">
        <v>235</v>
      </c>
      <c r="P776" t="s">
        <v>236</v>
      </c>
      <c r="Q776" t="s">
        <v>237</v>
      </c>
      <c r="R776" t="s">
        <v>136</v>
      </c>
      <c r="S776" t="s">
        <v>238</v>
      </c>
      <c r="T776" t="s">
        <v>239</v>
      </c>
      <c r="U776" t="s">
        <v>240</v>
      </c>
      <c r="V776" t="s">
        <v>241</v>
      </c>
      <c r="W776" t="s">
        <v>242</v>
      </c>
      <c r="X776" t="s">
        <v>243</v>
      </c>
      <c r="Y776" t="s">
        <v>244</v>
      </c>
      <c r="Z776" t="s">
        <v>245</v>
      </c>
    </row>
    <row r="777" spans="1:26" x14ac:dyDescent="0.3">
      <c r="A777" s="22" t="s">
        <v>67</v>
      </c>
      <c r="B777">
        <v>155</v>
      </c>
      <c r="C777" t="s">
        <v>64</v>
      </c>
      <c r="D777">
        <v>195</v>
      </c>
      <c r="E777" s="8">
        <v>9.6799999999999997E-2</v>
      </c>
      <c r="F777" s="8">
        <v>3.8699999999999998E-2</v>
      </c>
      <c r="G777" s="8">
        <v>0.11609999999999999</v>
      </c>
      <c r="H777" s="8">
        <v>0.3548</v>
      </c>
      <c r="I777" s="8">
        <v>3.2300000000000002E-2</v>
      </c>
      <c r="J777" s="8">
        <v>0.43869999999999998</v>
      </c>
      <c r="K777" s="8">
        <v>0.15479999999999999</v>
      </c>
      <c r="L777" s="8">
        <v>7.0999999999999994E-2</v>
      </c>
      <c r="M777" s="8">
        <v>0.87739999999999996</v>
      </c>
      <c r="N777" s="8">
        <v>0.16769999999999999</v>
      </c>
      <c r="O777" s="8">
        <v>0.1032</v>
      </c>
      <c r="P777" s="8">
        <v>0.70320000000000005</v>
      </c>
      <c r="Q777" s="8">
        <v>0.7097</v>
      </c>
      <c r="R777" s="8">
        <v>1.9400000000000001E-2</v>
      </c>
      <c r="S777" s="8">
        <v>0.46450000000000002</v>
      </c>
      <c r="T777" s="8">
        <v>1.29E-2</v>
      </c>
      <c r="U777" s="8">
        <v>4.5199999999999997E-2</v>
      </c>
      <c r="V777" s="8">
        <v>1.9400000000000001E-2</v>
      </c>
      <c r="W777" s="8">
        <v>0.1484</v>
      </c>
      <c r="X777" s="8">
        <v>0.31609999999999999</v>
      </c>
      <c r="Y777" s="8">
        <v>0.8</v>
      </c>
      <c r="Z777" s="8">
        <v>0.21290000000000001</v>
      </c>
    </row>
    <row r="778" spans="1:26" x14ac:dyDescent="0.3">
      <c r="A778" s="22" t="s">
        <v>68</v>
      </c>
      <c r="B778">
        <v>40</v>
      </c>
      <c r="C778" t="s">
        <v>64</v>
      </c>
      <c r="D778">
        <v>195</v>
      </c>
      <c r="E778" s="8">
        <v>0.1</v>
      </c>
      <c r="F778" s="8">
        <v>0.125</v>
      </c>
      <c r="G778" s="8">
        <v>0.15</v>
      </c>
      <c r="H778" s="8">
        <v>0.3</v>
      </c>
      <c r="I778" s="8">
        <v>0.05</v>
      </c>
      <c r="J778" s="8">
        <v>0.5</v>
      </c>
      <c r="K778" s="8">
        <v>0.375</v>
      </c>
      <c r="L778" s="8">
        <v>2.5000000000000001E-2</v>
      </c>
      <c r="M778" s="8">
        <v>0.95</v>
      </c>
      <c r="N778" s="8">
        <v>0.1</v>
      </c>
      <c r="O778" s="8">
        <v>0.17499999999999999</v>
      </c>
      <c r="P778" s="8">
        <v>0.875</v>
      </c>
      <c r="Q778" s="8">
        <v>0.7</v>
      </c>
      <c r="S778" s="8">
        <v>0.52500000000000002</v>
      </c>
      <c r="U778" s="8">
        <v>2.5000000000000001E-2</v>
      </c>
      <c r="V778" s="8">
        <v>2.5000000000000001E-2</v>
      </c>
      <c r="W778" s="8">
        <v>0.25</v>
      </c>
      <c r="X778" s="8">
        <v>0.42499999999999999</v>
      </c>
      <c r="Y778" s="8">
        <v>0.77500000000000002</v>
      </c>
      <c r="Z778" s="8">
        <v>0.42499999999999999</v>
      </c>
    </row>
    <row r="780" spans="1:26" ht="57.6" x14ac:dyDescent="0.3">
      <c r="A780" s="22" t="s">
        <v>252</v>
      </c>
    </row>
    <row r="781" spans="1:26" x14ac:dyDescent="0.3">
      <c r="A781" s="22" t="s">
        <v>66</v>
      </c>
      <c r="B781" t="s">
        <v>62</v>
      </c>
      <c r="C781" t="s">
        <v>57</v>
      </c>
      <c r="D781" t="s">
        <v>63</v>
      </c>
      <c r="E781" t="s">
        <v>226</v>
      </c>
      <c r="F781" t="s">
        <v>227</v>
      </c>
      <c r="G781" t="s">
        <v>228</v>
      </c>
      <c r="H781" t="s">
        <v>229</v>
      </c>
      <c r="I781" t="s">
        <v>154</v>
      </c>
      <c r="J781" t="s">
        <v>230</v>
      </c>
      <c r="K781" t="s">
        <v>231</v>
      </c>
      <c r="L781" t="s">
        <v>232</v>
      </c>
      <c r="M781" t="s">
        <v>233</v>
      </c>
      <c r="N781" t="s">
        <v>234</v>
      </c>
      <c r="O781" t="s">
        <v>235</v>
      </c>
      <c r="P781" t="s">
        <v>236</v>
      </c>
      <c r="Q781" t="s">
        <v>237</v>
      </c>
      <c r="R781" t="s">
        <v>136</v>
      </c>
      <c r="S781" t="s">
        <v>238</v>
      </c>
      <c r="T781" t="s">
        <v>239</v>
      </c>
      <c r="U781" t="s">
        <v>240</v>
      </c>
      <c r="V781" t="s">
        <v>241</v>
      </c>
      <c r="W781" t="s">
        <v>242</v>
      </c>
      <c r="X781" t="s">
        <v>243</v>
      </c>
      <c r="Y781" t="s">
        <v>244</v>
      </c>
      <c r="Z781" t="s">
        <v>245</v>
      </c>
    </row>
    <row r="782" spans="1:26" x14ac:dyDescent="0.3">
      <c r="A782" s="22" t="s">
        <v>67</v>
      </c>
      <c r="B782">
        <v>152</v>
      </c>
      <c r="C782" t="s">
        <v>64</v>
      </c>
      <c r="D782">
        <v>195</v>
      </c>
      <c r="E782" s="8">
        <v>0.1053</v>
      </c>
      <c r="F782" s="8">
        <v>5.2600000000000001E-2</v>
      </c>
      <c r="G782" s="8">
        <v>0.1447</v>
      </c>
      <c r="H782" s="8">
        <v>0.32890000000000003</v>
      </c>
      <c r="I782" s="8">
        <v>3.95E-2</v>
      </c>
      <c r="J782" s="8">
        <v>0.42759999999999998</v>
      </c>
      <c r="K782" s="8">
        <v>0.17760000000000001</v>
      </c>
      <c r="L782" s="8">
        <v>3.95E-2</v>
      </c>
      <c r="M782" s="8">
        <v>0.875</v>
      </c>
      <c r="N782" s="8">
        <v>0.15129999999999999</v>
      </c>
      <c r="O782" s="8">
        <v>0.1053</v>
      </c>
      <c r="P782" s="8">
        <v>0.72370000000000001</v>
      </c>
      <c r="Q782" s="8">
        <v>0.70389999999999997</v>
      </c>
      <c r="R782" s="8">
        <v>1.32E-2</v>
      </c>
      <c r="S782" s="8">
        <v>0.46710000000000002</v>
      </c>
      <c r="T782" s="8">
        <v>1.32E-2</v>
      </c>
      <c r="U782" s="8">
        <v>3.95E-2</v>
      </c>
      <c r="V782" s="8">
        <v>1.32E-2</v>
      </c>
      <c r="W782" s="8">
        <v>0.1842</v>
      </c>
      <c r="X782" s="8">
        <v>0.3553</v>
      </c>
      <c r="Y782" s="8">
        <v>0.79610000000000003</v>
      </c>
      <c r="Z782" s="8">
        <v>0.22370000000000001</v>
      </c>
    </row>
    <row r="783" spans="1:26" x14ac:dyDescent="0.3">
      <c r="A783" s="22" t="s">
        <v>68</v>
      </c>
      <c r="B783">
        <v>43</v>
      </c>
      <c r="C783" t="s">
        <v>64</v>
      </c>
      <c r="D783">
        <v>195</v>
      </c>
      <c r="E783" s="8">
        <v>6.9800000000000001E-2</v>
      </c>
      <c r="F783" s="8">
        <v>6.9800000000000001E-2</v>
      </c>
      <c r="G783" s="8">
        <v>4.65E-2</v>
      </c>
      <c r="H783" s="8">
        <v>0.39529999999999998</v>
      </c>
      <c r="I783" s="8">
        <v>2.3300000000000001E-2</v>
      </c>
      <c r="J783" s="8">
        <v>0.53490000000000004</v>
      </c>
      <c r="K783" s="8">
        <v>0.27910000000000001</v>
      </c>
      <c r="L783" s="8">
        <v>0.13950000000000001</v>
      </c>
      <c r="M783" s="8">
        <v>0.95350000000000001</v>
      </c>
      <c r="N783" s="8">
        <v>0.1628</v>
      </c>
      <c r="O783" s="8">
        <v>0.1628</v>
      </c>
      <c r="P783" s="8">
        <v>0.79069999999999996</v>
      </c>
      <c r="Q783" s="8">
        <v>0.72089999999999999</v>
      </c>
      <c r="R783" s="8">
        <v>2.3300000000000001E-2</v>
      </c>
      <c r="S783" s="8">
        <v>0.51160000000000005</v>
      </c>
      <c r="U783" s="8">
        <v>4.65E-2</v>
      </c>
      <c r="V783" s="8">
        <v>4.65E-2</v>
      </c>
      <c r="W783" s="8">
        <v>0.1163</v>
      </c>
      <c r="X783" s="8">
        <v>0.27910000000000001</v>
      </c>
      <c r="Y783" s="8">
        <v>0.79069999999999996</v>
      </c>
      <c r="Z783" s="8">
        <v>0.37209999999999999</v>
      </c>
    </row>
    <row r="785" spans="1:26" ht="57.6" x14ac:dyDescent="0.3">
      <c r="A785" s="22" t="s">
        <v>253</v>
      </c>
    </row>
    <row r="786" spans="1:26" x14ac:dyDescent="0.3">
      <c r="A786" s="22" t="s">
        <v>66</v>
      </c>
      <c r="B786" t="s">
        <v>62</v>
      </c>
      <c r="C786" t="s">
        <v>57</v>
      </c>
      <c r="D786" t="s">
        <v>63</v>
      </c>
      <c r="E786" t="s">
        <v>226</v>
      </c>
      <c r="F786" t="s">
        <v>227</v>
      </c>
      <c r="G786" t="s">
        <v>228</v>
      </c>
      <c r="H786" t="s">
        <v>229</v>
      </c>
      <c r="I786" t="s">
        <v>154</v>
      </c>
      <c r="J786" t="s">
        <v>230</v>
      </c>
      <c r="K786" t="s">
        <v>231</v>
      </c>
      <c r="L786" t="s">
        <v>232</v>
      </c>
      <c r="M786" t="s">
        <v>233</v>
      </c>
      <c r="N786" t="s">
        <v>234</v>
      </c>
      <c r="O786" t="s">
        <v>235</v>
      </c>
      <c r="P786" t="s">
        <v>236</v>
      </c>
      <c r="Q786" t="s">
        <v>237</v>
      </c>
      <c r="R786" t="s">
        <v>136</v>
      </c>
      <c r="S786" t="s">
        <v>238</v>
      </c>
      <c r="T786" t="s">
        <v>239</v>
      </c>
      <c r="U786" t="s">
        <v>240</v>
      </c>
      <c r="V786" t="s">
        <v>241</v>
      </c>
      <c r="W786" t="s">
        <v>242</v>
      </c>
      <c r="X786" t="s">
        <v>243</v>
      </c>
      <c r="Y786" t="s">
        <v>244</v>
      </c>
      <c r="Z786" t="s">
        <v>245</v>
      </c>
    </row>
    <row r="787" spans="1:26" x14ac:dyDescent="0.3">
      <c r="A787" s="22" t="s">
        <v>67</v>
      </c>
      <c r="B787">
        <v>147</v>
      </c>
      <c r="C787" t="s">
        <v>64</v>
      </c>
      <c r="D787">
        <v>195</v>
      </c>
      <c r="E787" s="8">
        <v>8.1600000000000006E-2</v>
      </c>
      <c r="F787" s="8">
        <v>6.1199999999999997E-2</v>
      </c>
      <c r="G787" s="8">
        <v>0.1361</v>
      </c>
      <c r="H787" s="8">
        <v>0.32650000000000001</v>
      </c>
      <c r="I787" s="8">
        <v>4.0800000000000003E-2</v>
      </c>
      <c r="J787" s="8">
        <v>0.44900000000000001</v>
      </c>
      <c r="K787" s="8">
        <v>0.2109</v>
      </c>
      <c r="L787" s="8">
        <v>3.4000000000000002E-2</v>
      </c>
      <c r="M787" s="8">
        <v>0.89119999999999999</v>
      </c>
      <c r="N787" s="8">
        <v>0.1633</v>
      </c>
      <c r="O787" s="8">
        <v>0.12239999999999999</v>
      </c>
      <c r="P787" s="8">
        <v>0.70750000000000002</v>
      </c>
      <c r="Q787" s="8">
        <v>0.70750000000000002</v>
      </c>
      <c r="R787" s="8">
        <v>2.0400000000000001E-2</v>
      </c>
      <c r="S787" s="8">
        <v>0.48299999999999998</v>
      </c>
      <c r="T787" s="8">
        <v>1.3599999999999999E-2</v>
      </c>
      <c r="U787" s="8">
        <v>4.7600000000000003E-2</v>
      </c>
      <c r="V787" s="8">
        <v>2.0400000000000001E-2</v>
      </c>
      <c r="W787" s="8">
        <v>0.1633</v>
      </c>
      <c r="X787" s="8">
        <v>0.35370000000000001</v>
      </c>
      <c r="Y787" s="8">
        <v>0.7823</v>
      </c>
      <c r="Z787" s="8">
        <v>0.27210000000000001</v>
      </c>
    </row>
    <row r="788" spans="1:26" x14ac:dyDescent="0.3">
      <c r="A788" s="22" t="s">
        <v>68</v>
      </c>
      <c r="B788">
        <v>48</v>
      </c>
      <c r="C788" t="s">
        <v>64</v>
      </c>
      <c r="D788">
        <v>195</v>
      </c>
      <c r="E788" s="8">
        <v>0.14580000000000001</v>
      </c>
      <c r="F788" s="8">
        <v>4.1700000000000001E-2</v>
      </c>
      <c r="G788" s="8">
        <v>8.3299999999999999E-2</v>
      </c>
      <c r="H788" s="8">
        <v>0.39579999999999999</v>
      </c>
      <c r="I788" s="8">
        <v>2.0799999999999999E-2</v>
      </c>
      <c r="J788" s="8">
        <v>0.45829999999999999</v>
      </c>
      <c r="K788" s="8">
        <v>0.16669999999999999</v>
      </c>
      <c r="L788" s="8">
        <v>0.14580000000000001</v>
      </c>
      <c r="M788" s="8">
        <v>0.89580000000000004</v>
      </c>
      <c r="N788" s="8">
        <v>0.125</v>
      </c>
      <c r="O788" s="8">
        <v>0.1042</v>
      </c>
      <c r="P788" s="8">
        <v>0.83330000000000004</v>
      </c>
      <c r="Q788" s="8">
        <v>0.70830000000000004</v>
      </c>
      <c r="S788" s="8">
        <v>0.45829999999999999</v>
      </c>
      <c r="U788" s="8">
        <v>2.0799999999999999E-2</v>
      </c>
      <c r="V788" s="8">
        <v>2.0799999999999999E-2</v>
      </c>
      <c r="W788" s="8">
        <v>0.1875</v>
      </c>
      <c r="X788" s="8">
        <v>0.29170000000000001</v>
      </c>
      <c r="Y788" s="8">
        <v>0.83330000000000004</v>
      </c>
      <c r="Z788" s="8">
        <v>0.20830000000000001</v>
      </c>
    </row>
    <row r="790" spans="1:26" ht="72" x14ac:dyDescent="0.3">
      <c r="A790" s="22" t="s">
        <v>254</v>
      </c>
    </row>
    <row r="791" spans="1:26" x14ac:dyDescent="0.3">
      <c r="A791" s="22" t="s">
        <v>66</v>
      </c>
      <c r="B791" t="s">
        <v>62</v>
      </c>
      <c r="C791" t="s">
        <v>57</v>
      </c>
      <c r="D791" t="s">
        <v>63</v>
      </c>
      <c r="E791" t="s">
        <v>226</v>
      </c>
      <c r="F791" t="s">
        <v>227</v>
      </c>
      <c r="G791" t="s">
        <v>228</v>
      </c>
      <c r="H791" t="s">
        <v>229</v>
      </c>
      <c r="I791" t="s">
        <v>154</v>
      </c>
      <c r="J791" t="s">
        <v>230</v>
      </c>
      <c r="K791" t="s">
        <v>231</v>
      </c>
      <c r="L791" t="s">
        <v>232</v>
      </c>
      <c r="M791" t="s">
        <v>233</v>
      </c>
      <c r="N791" t="s">
        <v>234</v>
      </c>
      <c r="O791" t="s">
        <v>235</v>
      </c>
      <c r="P791" t="s">
        <v>236</v>
      </c>
      <c r="Q791" t="s">
        <v>237</v>
      </c>
      <c r="R791" t="s">
        <v>136</v>
      </c>
      <c r="S791" t="s">
        <v>238</v>
      </c>
      <c r="T791" t="s">
        <v>239</v>
      </c>
      <c r="U791" t="s">
        <v>240</v>
      </c>
      <c r="V791" t="s">
        <v>241</v>
      </c>
      <c r="W791" t="s">
        <v>242</v>
      </c>
      <c r="X791" t="s">
        <v>243</v>
      </c>
      <c r="Y791" t="s">
        <v>244</v>
      </c>
      <c r="Z791" t="s">
        <v>245</v>
      </c>
    </row>
    <row r="792" spans="1:26" x14ac:dyDescent="0.3">
      <c r="A792" s="22" t="s">
        <v>67</v>
      </c>
      <c r="B792">
        <v>182</v>
      </c>
      <c r="C792" t="s">
        <v>64</v>
      </c>
      <c r="D792">
        <v>195</v>
      </c>
      <c r="E792" s="8">
        <v>0.10440000000000001</v>
      </c>
      <c r="F792" s="8">
        <v>5.4899999999999997E-2</v>
      </c>
      <c r="G792" s="8">
        <v>0.12640000000000001</v>
      </c>
      <c r="H792" s="8">
        <v>0.34620000000000001</v>
      </c>
      <c r="I792" s="8">
        <v>3.3000000000000002E-2</v>
      </c>
      <c r="J792" s="8">
        <v>0.45050000000000001</v>
      </c>
      <c r="K792" s="8">
        <v>0.20330000000000001</v>
      </c>
      <c r="L792" s="8">
        <v>6.0400000000000002E-2</v>
      </c>
      <c r="M792" s="8">
        <v>0.8901</v>
      </c>
      <c r="N792" s="8">
        <v>0.15379999999999999</v>
      </c>
      <c r="O792" s="8">
        <v>0.1154</v>
      </c>
      <c r="P792" s="8">
        <v>0.74729999999999996</v>
      </c>
      <c r="Q792" s="8">
        <v>0.70879999999999999</v>
      </c>
      <c r="R792" s="8">
        <v>1.6500000000000001E-2</v>
      </c>
      <c r="S792" s="8">
        <v>0.47799999999999998</v>
      </c>
      <c r="T792" s="8">
        <v>1.0999999999999999E-2</v>
      </c>
      <c r="U792" s="8">
        <v>2.75E-2</v>
      </c>
      <c r="V792" s="8">
        <v>2.1999999999999999E-2</v>
      </c>
      <c r="W792" s="8">
        <v>0.18129999999999999</v>
      </c>
      <c r="X792" s="8">
        <v>0.3352</v>
      </c>
      <c r="Y792" s="8">
        <v>0.80769999999999997</v>
      </c>
      <c r="Z792" s="8">
        <v>0.24729999999999999</v>
      </c>
    </row>
    <row r="793" spans="1:26" x14ac:dyDescent="0.3">
      <c r="A793" s="22" t="s">
        <v>68</v>
      </c>
      <c r="B793">
        <v>13</v>
      </c>
      <c r="C793" t="s">
        <v>64</v>
      </c>
      <c r="D793">
        <v>195</v>
      </c>
      <c r="F793" s="8">
        <v>7.6899999999999996E-2</v>
      </c>
      <c r="G793" s="8">
        <v>7.6899999999999996E-2</v>
      </c>
      <c r="H793" s="8">
        <v>0.30769999999999997</v>
      </c>
      <c r="I793" s="8">
        <v>7.6899999999999996E-2</v>
      </c>
      <c r="J793" s="8">
        <v>0.46150000000000002</v>
      </c>
      <c r="K793" s="8">
        <v>0.15379999999999999</v>
      </c>
      <c r="L793" s="8">
        <v>7.6899999999999996E-2</v>
      </c>
      <c r="M793" s="8">
        <v>0.92310000000000003</v>
      </c>
      <c r="N793" s="8">
        <v>0.15379999999999999</v>
      </c>
      <c r="O793" s="8">
        <v>0.15379999999999999</v>
      </c>
      <c r="P793" s="8">
        <v>0.61539999999999995</v>
      </c>
      <c r="Q793" s="8">
        <v>0.69230000000000003</v>
      </c>
      <c r="S793" s="8">
        <v>0.46150000000000002</v>
      </c>
      <c r="U793" s="8">
        <v>0.23080000000000001</v>
      </c>
      <c r="X793" s="8">
        <v>0.3846</v>
      </c>
      <c r="Y793" s="8">
        <v>0.61539999999999995</v>
      </c>
      <c r="Z793" s="8">
        <v>0.3846</v>
      </c>
    </row>
    <row r="795" spans="1:26" ht="72" x14ac:dyDescent="0.3">
      <c r="A795" s="22" t="s">
        <v>255</v>
      </c>
    </row>
    <row r="796" spans="1:26" x14ac:dyDescent="0.3">
      <c r="A796" s="22" t="s">
        <v>66</v>
      </c>
      <c r="B796" t="s">
        <v>62</v>
      </c>
      <c r="C796" t="s">
        <v>57</v>
      </c>
      <c r="D796" t="s">
        <v>63</v>
      </c>
      <c r="E796" t="s">
        <v>226</v>
      </c>
      <c r="F796" t="s">
        <v>227</v>
      </c>
      <c r="G796" t="s">
        <v>228</v>
      </c>
      <c r="H796" t="s">
        <v>229</v>
      </c>
      <c r="I796" t="s">
        <v>154</v>
      </c>
      <c r="J796" t="s">
        <v>230</v>
      </c>
      <c r="K796" t="s">
        <v>231</v>
      </c>
      <c r="L796" t="s">
        <v>232</v>
      </c>
      <c r="M796" t="s">
        <v>233</v>
      </c>
      <c r="N796" t="s">
        <v>234</v>
      </c>
      <c r="O796" t="s">
        <v>235</v>
      </c>
      <c r="P796" t="s">
        <v>236</v>
      </c>
      <c r="Q796" t="s">
        <v>237</v>
      </c>
      <c r="R796" t="s">
        <v>136</v>
      </c>
      <c r="S796" t="s">
        <v>238</v>
      </c>
      <c r="T796" t="s">
        <v>239</v>
      </c>
      <c r="U796" t="s">
        <v>240</v>
      </c>
      <c r="V796" t="s">
        <v>241</v>
      </c>
      <c r="W796" t="s">
        <v>242</v>
      </c>
      <c r="X796" t="s">
        <v>243</v>
      </c>
      <c r="Y796" t="s">
        <v>244</v>
      </c>
      <c r="Z796" t="s">
        <v>245</v>
      </c>
    </row>
    <row r="797" spans="1:26" x14ac:dyDescent="0.3">
      <c r="A797" s="22" t="s">
        <v>67</v>
      </c>
      <c r="B797">
        <v>195</v>
      </c>
      <c r="C797" t="s">
        <v>64</v>
      </c>
      <c r="D797">
        <v>195</v>
      </c>
      <c r="E797" s="8">
        <v>9.74E-2</v>
      </c>
      <c r="F797" s="8">
        <v>5.6399999999999999E-2</v>
      </c>
      <c r="G797" s="8">
        <v>0.1231</v>
      </c>
      <c r="H797" s="8">
        <v>0.34360000000000002</v>
      </c>
      <c r="I797" s="8">
        <v>3.5900000000000001E-2</v>
      </c>
      <c r="J797" s="8">
        <v>0.45129999999999998</v>
      </c>
      <c r="K797" s="8">
        <v>0.2</v>
      </c>
      <c r="L797" s="8">
        <v>6.1499999999999999E-2</v>
      </c>
      <c r="M797" s="8">
        <v>0.89229999999999998</v>
      </c>
      <c r="N797" s="8">
        <v>0.15379999999999999</v>
      </c>
      <c r="O797" s="8">
        <v>0.1179</v>
      </c>
      <c r="P797" s="8">
        <v>0.73850000000000005</v>
      </c>
      <c r="Q797" s="8">
        <v>0.7077</v>
      </c>
      <c r="R797" s="8">
        <v>1.54E-2</v>
      </c>
      <c r="S797" s="8">
        <v>0.47689999999999999</v>
      </c>
      <c r="T797" s="8">
        <v>1.03E-2</v>
      </c>
      <c r="U797" s="8">
        <v>4.1000000000000002E-2</v>
      </c>
      <c r="V797" s="8">
        <v>2.0500000000000001E-2</v>
      </c>
      <c r="W797" s="8">
        <v>0.16919999999999999</v>
      </c>
      <c r="X797" s="8">
        <v>0.33850000000000002</v>
      </c>
      <c r="Y797" s="8">
        <v>0.79490000000000005</v>
      </c>
      <c r="Z797" s="8">
        <v>0.25640000000000002</v>
      </c>
    </row>
    <row r="799" spans="1:26" ht="57.6" x14ac:dyDescent="0.3">
      <c r="A799" s="22" t="s">
        <v>256</v>
      </c>
    </row>
    <row r="800" spans="1:26" x14ac:dyDescent="0.3">
      <c r="A800" s="22" t="s">
        <v>66</v>
      </c>
      <c r="B800" t="s">
        <v>62</v>
      </c>
      <c r="C800" t="s">
        <v>57</v>
      </c>
      <c r="D800" t="s">
        <v>63</v>
      </c>
      <c r="E800" t="s">
        <v>226</v>
      </c>
      <c r="F800" t="s">
        <v>227</v>
      </c>
      <c r="G800" t="s">
        <v>228</v>
      </c>
      <c r="H800" t="s">
        <v>229</v>
      </c>
      <c r="I800" t="s">
        <v>154</v>
      </c>
      <c r="J800" t="s">
        <v>230</v>
      </c>
      <c r="K800" t="s">
        <v>231</v>
      </c>
      <c r="L800" t="s">
        <v>232</v>
      </c>
      <c r="M800" t="s">
        <v>233</v>
      </c>
      <c r="N800" t="s">
        <v>234</v>
      </c>
      <c r="O800" t="s">
        <v>235</v>
      </c>
      <c r="P800" t="s">
        <v>236</v>
      </c>
      <c r="Q800" t="s">
        <v>237</v>
      </c>
      <c r="R800" t="s">
        <v>136</v>
      </c>
      <c r="S800" t="s">
        <v>238</v>
      </c>
      <c r="T800" t="s">
        <v>239</v>
      </c>
      <c r="U800" t="s">
        <v>240</v>
      </c>
      <c r="V800" t="s">
        <v>241</v>
      </c>
      <c r="W800" t="s">
        <v>242</v>
      </c>
      <c r="X800" t="s">
        <v>243</v>
      </c>
      <c r="Y800" t="s">
        <v>244</v>
      </c>
      <c r="Z800" t="s">
        <v>245</v>
      </c>
    </row>
    <row r="801" spans="1:26" x14ac:dyDescent="0.3">
      <c r="A801" s="22" t="s">
        <v>67</v>
      </c>
      <c r="B801">
        <v>123</v>
      </c>
      <c r="C801" t="s">
        <v>64</v>
      </c>
      <c r="D801">
        <v>195</v>
      </c>
      <c r="E801" s="8">
        <v>0.1138</v>
      </c>
      <c r="F801" s="8">
        <v>4.07E-2</v>
      </c>
      <c r="G801" s="8">
        <v>0.1057</v>
      </c>
      <c r="H801" s="8">
        <v>0.34960000000000002</v>
      </c>
      <c r="I801" s="8">
        <v>1.6299999999999999E-2</v>
      </c>
      <c r="J801" s="8">
        <v>0.46339999999999998</v>
      </c>
      <c r="K801" s="8">
        <v>0.1951</v>
      </c>
      <c r="L801" s="8">
        <v>5.6899999999999999E-2</v>
      </c>
      <c r="M801" s="8">
        <v>0.89429999999999998</v>
      </c>
      <c r="N801" s="8">
        <v>0.122</v>
      </c>
      <c r="O801" s="8">
        <v>8.9399999999999993E-2</v>
      </c>
      <c r="P801" s="8">
        <v>0.73980000000000001</v>
      </c>
      <c r="Q801" s="8">
        <v>0.73170000000000002</v>
      </c>
      <c r="R801" s="8">
        <v>8.0999999999999996E-3</v>
      </c>
      <c r="S801" s="8">
        <v>0.46339999999999998</v>
      </c>
      <c r="T801" s="8">
        <v>1.6299999999999999E-2</v>
      </c>
      <c r="U801" s="8">
        <v>1.6299999999999999E-2</v>
      </c>
      <c r="V801" s="8">
        <v>1.6299999999999999E-2</v>
      </c>
      <c r="W801" s="8">
        <v>0.187</v>
      </c>
      <c r="X801" s="8">
        <v>0.34150000000000003</v>
      </c>
      <c r="Y801" s="8">
        <v>0.79669999999999996</v>
      </c>
      <c r="Z801" s="8">
        <v>0.2195</v>
      </c>
    </row>
    <row r="802" spans="1:26" x14ac:dyDescent="0.3">
      <c r="A802" s="22" t="s">
        <v>68</v>
      </c>
      <c r="B802">
        <v>72</v>
      </c>
      <c r="C802" t="s">
        <v>64</v>
      </c>
      <c r="D802">
        <v>195</v>
      </c>
      <c r="E802" s="8">
        <v>6.9400000000000003E-2</v>
      </c>
      <c r="F802" s="8">
        <v>8.3299999999999999E-2</v>
      </c>
      <c r="G802" s="8">
        <v>0.15279999999999999</v>
      </c>
      <c r="H802" s="8">
        <v>0.33329999999999999</v>
      </c>
      <c r="I802" s="8">
        <v>6.9400000000000003E-2</v>
      </c>
      <c r="J802" s="8">
        <v>0.43059999999999998</v>
      </c>
      <c r="K802" s="8">
        <v>0.20830000000000001</v>
      </c>
      <c r="L802" s="8">
        <v>6.9400000000000003E-2</v>
      </c>
      <c r="M802" s="8">
        <v>0.88890000000000002</v>
      </c>
      <c r="N802" s="8">
        <v>0.20830000000000001</v>
      </c>
      <c r="O802" s="8">
        <v>0.16669999999999999</v>
      </c>
      <c r="P802" s="8">
        <v>0.73609999999999998</v>
      </c>
      <c r="Q802" s="8">
        <v>0.66669999999999996</v>
      </c>
      <c r="R802" s="8">
        <v>2.7799999999999998E-2</v>
      </c>
      <c r="S802" s="8">
        <v>0.5</v>
      </c>
      <c r="U802" s="8">
        <v>8.3299999999999999E-2</v>
      </c>
      <c r="V802" s="8">
        <v>2.7799999999999998E-2</v>
      </c>
      <c r="W802" s="8">
        <v>0.1389</v>
      </c>
      <c r="X802" s="8">
        <v>0.33329999999999999</v>
      </c>
      <c r="Y802" s="8">
        <v>0.79169999999999996</v>
      </c>
      <c r="Z802" s="8">
        <v>0.31940000000000002</v>
      </c>
    </row>
    <row r="804" spans="1:26" ht="72" x14ac:dyDescent="0.3">
      <c r="A804" s="22" t="s">
        <v>257</v>
      </c>
    </row>
    <row r="805" spans="1:26" x14ac:dyDescent="0.3">
      <c r="A805" s="22" t="s">
        <v>66</v>
      </c>
      <c r="B805" t="s">
        <v>62</v>
      </c>
      <c r="C805" t="s">
        <v>57</v>
      </c>
      <c r="D805" t="s">
        <v>63</v>
      </c>
      <c r="E805" t="s">
        <v>226</v>
      </c>
      <c r="F805" t="s">
        <v>227</v>
      </c>
      <c r="G805" t="s">
        <v>228</v>
      </c>
      <c r="H805" t="s">
        <v>229</v>
      </c>
      <c r="I805" t="s">
        <v>154</v>
      </c>
      <c r="J805" t="s">
        <v>230</v>
      </c>
      <c r="K805" t="s">
        <v>231</v>
      </c>
      <c r="L805" t="s">
        <v>232</v>
      </c>
      <c r="M805" t="s">
        <v>233</v>
      </c>
      <c r="N805" t="s">
        <v>234</v>
      </c>
      <c r="O805" t="s">
        <v>235</v>
      </c>
      <c r="P805" t="s">
        <v>236</v>
      </c>
      <c r="Q805" t="s">
        <v>237</v>
      </c>
      <c r="R805" t="s">
        <v>136</v>
      </c>
      <c r="S805" t="s">
        <v>238</v>
      </c>
      <c r="T805" t="s">
        <v>239</v>
      </c>
      <c r="U805" t="s">
        <v>240</v>
      </c>
      <c r="V805" t="s">
        <v>241</v>
      </c>
      <c r="W805" t="s">
        <v>242</v>
      </c>
      <c r="X805" t="s">
        <v>243</v>
      </c>
      <c r="Y805" t="s">
        <v>244</v>
      </c>
      <c r="Z805" t="s">
        <v>245</v>
      </c>
    </row>
    <row r="806" spans="1:26" x14ac:dyDescent="0.3">
      <c r="A806" s="22" t="s">
        <v>67</v>
      </c>
      <c r="B806">
        <v>176</v>
      </c>
      <c r="C806" t="s">
        <v>64</v>
      </c>
      <c r="D806">
        <v>195</v>
      </c>
      <c r="E806" s="8">
        <v>0.1023</v>
      </c>
      <c r="F806" s="8">
        <v>5.6800000000000003E-2</v>
      </c>
      <c r="G806" s="8">
        <v>0.13070000000000001</v>
      </c>
      <c r="H806" s="8">
        <v>0.34660000000000002</v>
      </c>
      <c r="I806" s="8">
        <v>3.4099999999999998E-2</v>
      </c>
      <c r="J806" s="8">
        <v>0.43180000000000002</v>
      </c>
      <c r="K806" s="8">
        <v>0.19889999999999999</v>
      </c>
      <c r="L806" s="8">
        <v>5.11E-2</v>
      </c>
      <c r="M806" s="8">
        <v>0.89770000000000005</v>
      </c>
      <c r="N806" s="8">
        <v>0.15340000000000001</v>
      </c>
      <c r="O806" s="8">
        <v>0.125</v>
      </c>
      <c r="P806" s="8">
        <v>0.73299999999999998</v>
      </c>
      <c r="Q806" s="8">
        <v>0.70450000000000002</v>
      </c>
      <c r="R806" s="8">
        <v>1.7000000000000001E-2</v>
      </c>
      <c r="S806" s="8">
        <v>0.48299999999999998</v>
      </c>
      <c r="T806" s="8">
        <v>5.7000000000000002E-3</v>
      </c>
      <c r="U806" s="8">
        <v>4.5499999999999999E-2</v>
      </c>
      <c r="V806" s="8">
        <v>2.2700000000000001E-2</v>
      </c>
      <c r="W806" s="8">
        <v>0.17610000000000001</v>
      </c>
      <c r="X806" s="8">
        <v>0.34089999999999998</v>
      </c>
      <c r="Y806" s="8">
        <v>0.78979999999999995</v>
      </c>
      <c r="Z806" s="8">
        <v>0.25569999999999998</v>
      </c>
    </row>
    <row r="807" spans="1:26" x14ac:dyDescent="0.3">
      <c r="A807" s="22" t="s">
        <v>68</v>
      </c>
      <c r="B807">
        <v>19</v>
      </c>
      <c r="C807" t="s">
        <v>64</v>
      </c>
      <c r="D807">
        <v>195</v>
      </c>
      <c r="E807" s="8">
        <v>5.2600000000000001E-2</v>
      </c>
      <c r="F807" s="8">
        <v>5.2600000000000001E-2</v>
      </c>
      <c r="G807" s="8">
        <v>5.2600000000000001E-2</v>
      </c>
      <c r="H807" s="8">
        <v>0.31580000000000003</v>
      </c>
      <c r="I807" s="8">
        <v>5.2600000000000001E-2</v>
      </c>
      <c r="J807" s="8">
        <v>0.63160000000000005</v>
      </c>
      <c r="K807" s="8">
        <v>0.21049999999999999</v>
      </c>
      <c r="L807" s="8">
        <v>0.15790000000000001</v>
      </c>
      <c r="M807" s="8">
        <v>0.84209999999999996</v>
      </c>
      <c r="N807" s="8">
        <v>0.15790000000000001</v>
      </c>
      <c r="O807" s="8">
        <v>5.2600000000000001E-2</v>
      </c>
      <c r="P807" s="8">
        <v>0.78949999999999998</v>
      </c>
      <c r="Q807" s="8">
        <v>0.73680000000000001</v>
      </c>
      <c r="S807" s="8">
        <v>0.42109999999999997</v>
      </c>
      <c r="T807" s="8">
        <v>5.2600000000000001E-2</v>
      </c>
      <c r="W807" s="8">
        <v>0.1053</v>
      </c>
      <c r="X807" s="8">
        <v>0.31580000000000003</v>
      </c>
      <c r="Y807" s="8">
        <v>0.84209999999999996</v>
      </c>
      <c r="Z807" s="8">
        <v>0.26319999999999999</v>
      </c>
    </row>
    <row r="809" spans="1:26" ht="43.2" x14ac:dyDescent="0.3">
      <c r="A809" s="22" t="s">
        <v>258</v>
      </c>
    </row>
    <row r="810" spans="1:26" x14ac:dyDescent="0.3">
      <c r="A810" s="22" t="s">
        <v>66</v>
      </c>
      <c r="B810" t="s">
        <v>62</v>
      </c>
      <c r="C810" t="s">
        <v>57</v>
      </c>
      <c r="D810" t="s">
        <v>63</v>
      </c>
      <c r="E810" t="s">
        <v>226</v>
      </c>
      <c r="F810" t="s">
        <v>227</v>
      </c>
      <c r="G810" t="s">
        <v>228</v>
      </c>
      <c r="H810" t="s">
        <v>229</v>
      </c>
      <c r="I810" t="s">
        <v>154</v>
      </c>
      <c r="J810" t="s">
        <v>230</v>
      </c>
      <c r="K810" t="s">
        <v>231</v>
      </c>
      <c r="L810" t="s">
        <v>232</v>
      </c>
      <c r="M810" t="s">
        <v>233</v>
      </c>
      <c r="N810" t="s">
        <v>234</v>
      </c>
      <c r="O810" t="s">
        <v>235</v>
      </c>
      <c r="P810" t="s">
        <v>236</v>
      </c>
      <c r="Q810" t="s">
        <v>237</v>
      </c>
      <c r="R810" t="s">
        <v>136</v>
      </c>
      <c r="S810" t="s">
        <v>238</v>
      </c>
      <c r="T810" t="s">
        <v>239</v>
      </c>
      <c r="U810" t="s">
        <v>240</v>
      </c>
      <c r="V810" t="s">
        <v>241</v>
      </c>
      <c r="W810" t="s">
        <v>242</v>
      </c>
      <c r="X810" t="s">
        <v>243</v>
      </c>
      <c r="Y810" t="s">
        <v>244</v>
      </c>
      <c r="Z810" t="s">
        <v>245</v>
      </c>
    </row>
    <row r="811" spans="1:26" x14ac:dyDescent="0.3">
      <c r="A811" s="22" t="s">
        <v>81</v>
      </c>
      <c r="B811">
        <v>55</v>
      </c>
      <c r="C811" t="s">
        <v>64</v>
      </c>
      <c r="D811">
        <v>195</v>
      </c>
      <c r="E811" s="8">
        <v>0.1636</v>
      </c>
      <c r="F811" s="8">
        <v>9.0899999999999995E-2</v>
      </c>
      <c r="G811" s="8">
        <v>0.1273</v>
      </c>
      <c r="H811" s="8">
        <v>0.29089999999999999</v>
      </c>
      <c r="J811" s="8">
        <v>0.5091</v>
      </c>
      <c r="K811" s="8">
        <v>0.32729999999999998</v>
      </c>
      <c r="L811" s="8">
        <v>1.8200000000000001E-2</v>
      </c>
      <c r="M811" s="8">
        <v>0.98180000000000001</v>
      </c>
      <c r="N811" s="8">
        <v>0.1636</v>
      </c>
      <c r="O811" s="8">
        <v>0.18179999999999999</v>
      </c>
      <c r="P811" s="8">
        <v>0.70909999999999995</v>
      </c>
      <c r="Q811" s="8">
        <v>0.76359999999999995</v>
      </c>
      <c r="R811" s="8">
        <v>1.8200000000000001E-2</v>
      </c>
      <c r="S811" s="8">
        <v>0.54549999999999998</v>
      </c>
      <c r="U811" s="8">
        <v>3.6400000000000002E-2</v>
      </c>
      <c r="V811" s="8">
        <v>3.6400000000000002E-2</v>
      </c>
      <c r="W811" s="8">
        <v>0.2545</v>
      </c>
      <c r="X811" s="8">
        <v>0.4</v>
      </c>
      <c r="Y811" s="8">
        <v>0.83640000000000003</v>
      </c>
      <c r="Z811" s="8">
        <v>0.34549999999999997</v>
      </c>
    </row>
    <row r="812" spans="1:26" x14ac:dyDescent="0.3">
      <c r="A812" s="22" t="s">
        <v>82</v>
      </c>
      <c r="B812">
        <v>47</v>
      </c>
      <c r="C812" t="s">
        <v>64</v>
      </c>
      <c r="D812">
        <v>195</v>
      </c>
      <c r="E812" s="8">
        <v>0.10639999999999999</v>
      </c>
      <c r="F812" s="8">
        <v>6.3799999999999996E-2</v>
      </c>
      <c r="G812" s="8">
        <v>0.1915</v>
      </c>
      <c r="H812" s="8">
        <v>0.38300000000000001</v>
      </c>
      <c r="I812" s="8">
        <v>6.3799999999999996E-2</v>
      </c>
      <c r="J812" s="8">
        <v>0.46810000000000002</v>
      </c>
      <c r="K812" s="8">
        <v>0.17019999999999999</v>
      </c>
      <c r="L812" s="8">
        <v>6.3799999999999996E-2</v>
      </c>
      <c r="M812" s="8">
        <v>0.85109999999999997</v>
      </c>
      <c r="N812" s="8">
        <v>0.1489</v>
      </c>
      <c r="O812" s="8">
        <v>0.12770000000000001</v>
      </c>
      <c r="P812" s="8">
        <v>0.78720000000000001</v>
      </c>
      <c r="Q812" s="8">
        <v>0.72340000000000004</v>
      </c>
      <c r="S812" s="8">
        <v>0.36170000000000002</v>
      </c>
      <c r="T812" s="8">
        <v>2.1299999999999999E-2</v>
      </c>
      <c r="U812" s="8">
        <v>2.1299999999999999E-2</v>
      </c>
      <c r="V812" s="8">
        <v>2.1299999999999999E-2</v>
      </c>
      <c r="W812" s="8">
        <v>0.1915</v>
      </c>
      <c r="X812" s="8">
        <v>0.2979</v>
      </c>
      <c r="Y812" s="8">
        <v>0.74470000000000003</v>
      </c>
      <c r="Z812" s="8">
        <v>0.2979</v>
      </c>
    </row>
    <row r="813" spans="1:26" x14ac:dyDescent="0.3">
      <c r="A813" s="22" t="s">
        <v>83</v>
      </c>
      <c r="B813">
        <v>48</v>
      </c>
      <c r="C813" t="s">
        <v>64</v>
      </c>
      <c r="D813">
        <v>195</v>
      </c>
      <c r="E813" s="8">
        <v>8.3299999999999999E-2</v>
      </c>
      <c r="F813" s="8">
        <v>2.0799999999999999E-2</v>
      </c>
      <c r="G813" s="8">
        <v>4.1700000000000001E-2</v>
      </c>
      <c r="H813" s="8">
        <v>0.35420000000000001</v>
      </c>
      <c r="I813" s="8">
        <v>2.0799999999999999E-2</v>
      </c>
      <c r="J813" s="8">
        <v>0.39579999999999999</v>
      </c>
      <c r="K813" s="8">
        <v>0.16669999999999999</v>
      </c>
      <c r="L813" s="8">
        <v>8.3299999999999999E-2</v>
      </c>
      <c r="M813" s="8">
        <v>0.875</v>
      </c>
      <c r="N813" s="8">
        <v>0.14580000000000001</v>
      </c>
      <c r="O813" s="8">
        <v>0.1042</v>
      </c>
      <c r="P813" s="8">
        <v>0.72919999999999996</v>
      </c>
      <c r="Q813" s="8">
        <v>0.6875</v>
      </c>
      <c r="R813" s="8">
        <v>2.0799999999999999E-2</v>
      </c>
      <c r="S813" s="8">
        <v>0.54169999999999996</v>
      </c>
      <c r="T813" s="8">
        <v>2.0799999999999999E-2</v>
      </c>
      <c r="U813" s="8">
        <v>8.3299999999999999E-2</v>
      </c>
      <c r="V813" s="8">
        <v>2.0799999999999999E-2</v>
      </c>
      <c r="W813" s="8">
        <v>8.3299999999999999E-2</v>
      </c>
      <c r="X813" s="8">
        <v>0.33329999999999999</v>
      </c>
      <c r="Y813" s="8">
        <v>0.83330000000000004</v>
      </c>
      <c r="Z813" s="8">
        <v>0.16669999999999999</v>
      </c>
    </row>
    <row r="814" spans="1:26" x14ac:dyDescent="0.3">
      <c r="A814" s="22" t="s">
        <v>84</v>
      </c>
      <c r="B814">
        <v>45</v>
      </c>
      <c r="C814" t="s">
        <v>64</v>
      </c>
      <c r="D814">
        <v>195</v>
      </c>
      <c r="E814" s="8">
        <v>2.2200000000000001E-2</v>
      </c>
      <c r="F814" s="8">
        <v>4.4400000000000002E-2</v>
      </c>
      <c r="G814" s="8">
        <v>0.1333</v>
      </c>
      <c r="H814" s="8">
        <v>0.35560000000000003</v>
      </c>
      <c r="I814" s="8">
        <v>6.6699999999999995E-2</v>
      </c>
      <c r="J814" s="8">
        <v>0.42220000000000002</v>
      </c>
      <c r="K814" s="8">
        <v>0.1111</v>
      </c>
      <c r="L814" s="8">
        <v>8.8900000000000007E-2</v>
      </c>
      <c r="M814" s="8">
        <v>0.84440000000000004</v>
      </c>
      <c r="N814" s="8">
        <v>0.15559999999999999</v>
      </c>
      <c r="O814" s="8">
        <v>4.4400000000000002E-2</v>
      </c>
      <c r="P814" s="8">
        <v>0.73329999999999995</v>
      </c>
      <c r="Q814" s="8">
        <v>0.64439999999999997</v>
      </c>
      <c r="R814" s="8">
        <v>2.2200000000000001E-2</v>
      </c>
      <c r="S814" s="8">
        <v>0.44440000000000002</v>
      </c>
      <c r="U814" s="8">
        <v>2.2200000000000001E-2</v>
      </c>
      <c r="W814" s="8">
        <v>0.1333</v>
      </c>
      <c r="X814" s="8">
        <v>0.31109999999999999</v>
      </c>
      <c r="Y814" s="8">
        <v>0.75560000000000005</v>
      </c>
      <c r="Z814" s="8">
        <v>0.2</v>
      </c>
    </row>
    <row r="816" spans="1:26" ht="43.2" x14ac:dyDescent="0.3">
      <c r="A816" s="22" t="s">
        <v>259</v>
      </c>
    </row>
    <row r="817" spans="1:25" x14ac:dyDescent="0.3">
      <c r="A817" s="22" t="s">
        <v>62</v>
      </c>
      <c r="B817" t="s">
        <v>57</v>
      </c>
      <c r="C817" t="s">
        <v>63</v>
      </c>
      <c r="D817" t="s">
        <v>226</v>
      </c>
      <c r="E817" t="s">
        <v>227</v>
      </c>
      <c r="F817" t="s">
        <v>228</v>
      </c>
      <c r="G817" t="s">
        <v>229</v>
      </c>
      <c r="H817" t="s">
        <v>154</v>
      </c>
      <c r="I817" t="s">
        <v>230</v>
      </c>
      <c r="J817" t="s">
        <v>231</v>
      </c>
      <c r="K817" t="s">
        <v>232</v>
      </c>
      <c r="L817" t="s">
        <v>233</v>
      </c>
      <c r="M817" t="s">
        <v>234</v>
      </c>
      <c r="N817" t="s">
        <v>235</v>
      </c>
      <c r="O817" t="s">
        <v>236</v>
      </c>
      <c r="P817" t="s">
        <v>237</v>
      </c>
      <c r="Q817" t="s">
        <v>136</v>
      </c>
      <c r="R817" t="s">
        <v>238</v>
      </c>
      <c r="S817" t="s">
        <v>240</v>
      </c>
      <c r="T817" t="s">
        <v>241</v>
      </c>
      <c r="U817" t="s">
        <v>242</v>
      </c>
      <c r="V817" t="s">
        <v>243</v>
      </c>
      <c r="W817" t="s">
        <v>244</v>
      </c>
      <c r="X817" t="s">
        <v>245</v>
      </c>
    </row>
    <row r="818" spans="1:25" x14ac:dyDescent="0.3">
      <c r="A818" s="22">
        <v>130</v>
      </c>
      <c r="B818" t="s">
        <v>64</v>
      </c>
      <c r="C818">
        <v>130</v>
      </c>
      <c r="D818" s="8">
        <v>6.1499999999999999E-2</v>
      </c>
      <c r="E818" s="8">
        <v>1.54E-2</v>
      </c>
      <c r="F818" s="8">
        <v>8.4599999999999995E-2</v>
      </c>
      <c r="G818" s="8">
        <v>0.1923</v>
      </c>
      <c r="H818" s="8">
        <v>1.54E-2</v>
      </c>
      <c r="I818" s="8">
        <v>0.4</v>
      </c>
      <c r="J818" s="8">
        <v>0.1231</v>
      </c>
      <c r="K818" s="8">
        <v>5.3800000000000001E-2</v>
      </c>
      <c r="L818" s="8">
        <v>0.87690000000000001</v>
      </c>
      <c r="M818" s="8">
        <v>0.40770000000000001</v>
      </c>
      <c r="N818" s="8">
        <v>0.1</v>
      </c>
      <c r="O818" s="8">
        <v>0.67689999999999995</v>
      </c>
      <c r="P818" s="8">
        <v>0.5615</v>
      </c>
      <c r="Q818" s="8">
        <v>1.54E-2</v>
      </c>
      <c r="R818" s="8">
        <v>0.39229999999999998</v>
      </c>
      <c r="S818" s="8">
        <v>5.3800000000000001E-2</v>
      </c>
      <c r="T818" s="8">
        <v>2.3099999999999999E-2</v>
      </c>
      <c r="U818" s="8">
        <v>2.3099999999999999E-2</v>
      </c>
      <c r="V818" s="8">
        <v>0.1615</v>
      </c>
      <c r="W818" s="8">
        <v>0.83850000000000002</v>
      </c>
      <c r="X818" s="8">
        <v>0.1462</v>
      </c>
    </row>
    <row r="820" spans="1:25" ht="57.6" x14ac:dyDescent="0.3">
      <c r="A820" s="22" t="s">
        <v>260</v>
      </c>
    </row>
    <row r="821" spans="1:25" x14ac:dyDescent="0.3">
      <c r="A821" s="22" t="s">
        <v>66</v>
      </c>
      <c r="B821" t="s">
        <v>62</v>
      </c>
      <c r="C821" t="s">
        <v>57</v>
      </c>
      <c r="D821" t="s">
        <v>63</v>
      </c>
      <c r="E821" t="s">
        <v>226</v>
      </c>
      <c r="F821" t="s">
        <v>227</v>
      </c>
      <c r="G821" t="s">
        <v>228</v>
      </c>
      <c r="H821" t="s">
        <v>229</v>
      </c>
      <c r="I821" t="s">
        <v>154</v>
      </c>
      <c r="J821" t="s">
        <v>230</v>
      </c>
      <c r="K821" t="s">
        <v>231</v>
      </c>
      <c r="L821" t="s">
        <v>232</v>
      </c>
      <c r="M821" t="s">
        <v>233</v>
      </c>
      <c r="N821" t="s">
        <v>234</v>
      </c>
      <c r="O821" t="s">
        <v>235</v>
      </c>
      <c r="P821" t="s">
        <v>236</v>
      </c>
      <c r="Q821" t="s">
        <v>237</v>
      </c>
      <c r="R821" t="s">
        <v>136</v>
      </c>
      <c r="S821" t="s">
        <v>238</v>
      </c>
      <c r="T821" t="s">
        <v>240</v>
      </c>
      <c r="U821" t="s">
        <v>241</v>
      </c>
      <c r="V821" t="s">
        <v>242</v>
      </c>
      <c r="W821" t="s">
        <v>243</v>
      </c>
      <c r="X821" t="s">
        <v>244</v>
      </c>
      <c r="Y821" t="s">
        <v>245</v>
      </c>
    </row>
    <row r="822" spans="1:25" x14ac:dyDescent="0.3">
      <c r="A822" s="22" t="s">
        <v>67</v>
      </c>
      <c r="B822">
        <v>123</v>
      </c>
      <c r="C822" t="s">
        <v>64</v>
      </c>
      <c r="D822">
        <v>130</v>
      </c>
      <c r="E822" s="8">
        <v>6.5000000000000002E-2</v>
      </c>
      <c r="F822" s="8">
        <v>1.6299999999999999E-2</v>
      </c>
      <c r="G822" s="8">
        <v>8.9399999999999993E-2</v>
      </c>
      <c r="H822" s="8">
        <v>0.1789</v>
      </c>
      <c r="I822" s="8">
        <v>1.6299999999999999E-2</v>
      </c>
      <c r="J822" s="8">
        <v>0.39839999999999998</v>
      </c>
      <c r="K822" s="8">
        <v>0.122</v>
      </c>
      <c r="L822" s="8">
        <v>4.8800000000000003E-2</v>
      </c>
      <c r="M822" s="8">
        <v>0.86990000000000001</v>
      </c>
      <c r="N822" s="8">
        <v>0.40649999999999997</v>
      </c>
      <c r="O822" s="8">
        <v>9.7600000000000006E-2</v>
      </c>
      <c r="P822" s="8">
        <v>0.69110000000000005</v>
      </c>
      <c r="Q822" s="8">
        <v>0.55279999999999996</v>
      </c>
      <c r="R822" s="8">
        <v>1.6299999999999999E-2</v>
      </c>
      <c r="S822" s="8">
        <v>0.39019999999999999</v>
      </c>
      <c r="T822" s="8">
        <v>4.8800000000000003E-2</v>
      </c>
      <c r="U822" s="8">
        <v>1.6299999999999999E-2</v>
      </c>
      <c r="V822" s="8">
        <v>2.4400000000000002E-2</v>
      </c>
      <c r="W822" s="8">
        <v>0.1545</v>
      </c>
      <c r="X822" s="8">
        <v>0.84550000000000003</v>
      </c>
      <c r="Y822" s="8">
        <v>0.14630000000000001</v>
      </c>
    </row>
    <row r="823" spans="1:25" x14ac:dyDescent="0.3">
      <c r="A823" s="22" t="s">
        <v>68</v>
      </c>
      <c r="B823">
        <v>7</v>
      </c>
      <c r="C823" t="s">
        <v>64</v>
      </c>
      <c r="D823">
        <v>130</v>
      </c>
      <c r="H823" s="8">
        <v>0.42859999999999998</v>
      </c>
      <c r="J823" s="8">
        <v>0.42859999999999998</v>
      </c>
      <c r="K823" s="8">
        <v>0.1429</v>
      </c>
      <c r="L823" s="8">
        <v>0.1429</v>
      </c>
      <c r="M823" s="8">
        <v>1</v>
      </c>
      <c r="N823" s="8">
        <v>0.42859999999999998</v>
      </c>
      <c r="O823" s="8">
        <v>0.1429</v>
      </c>
      <c r="P823" s="8">
        <v>0.42859999999999998</v>
      </c>
      <c r="Q823" s="8">
        <v>0.71430000000000005</v>
      </c>
      <c r="S823" s="8">
        <v>0.42859999999999998</v>
      </c>
      <c r="T823" s="8">
        <v>0.1429</v>
      </c>
      <c r="U823" s="8">
        <v>0.1429</v>
      </c>
      <c r="W823" s="8">
        <v>0.28570000000000001</v>
      </c>
      <c r="X823" s="8">
        <v>0.71430000000000005</v>
      </c>
      <c r="Y823" s="8">
        <v>0.1429</v>
      </c>
    </row>
    <row r="825" spans="1:25" x14ac:dyDescent="0.3">
      <c r="A825"/>
    </row>
    <row r="826" spans="1:25" x14ac:dyDescent="0.3">
      <c r="A826"/>
    </row>
    <row r="827" spans="1:25" x14ac:dyDescent="0.3">
      <c r="A827"/>
    </row>
    <row r="829" spans="1:25" ht="57.6" x14ac:dyDescent="0.3">
      <c r="A829" s="22" t="s">
        <v>261</v>
      </c>
    </row>
    <row r="830" spans="1:25" x14ac:dyDescent="0.3">
      <c r="A830" s="22" t="s">
        <v>66</v>
      </c>
      <c r="B830" t="s">
        <v>62</v>
      </c>
      <c r="C830" t="s">
        <v>57</v>
      </c>
      <c r="D830" t="s">
        <v>63</v>
      </c>
      <c r="E830" t="s">
        <v>226</v>
      </c>
      <c r="F830" t="s">
        <v>227</v>
      </c>
      <c r="G830" t="s">
        <v>228</v>
      </c>
      <c r="H830" t="s">
        <v>229</v>
      </c>
      <c r="I830" t="s">
        <v>154</v>
      </c>
      <c r="J830" t="s">
        <v>230</v>
      </c>
      <c r="K830" t="s">
        <v>231</v>
      </c>
      <c r="L830" t="s">
        <v>232</v>
      </c>
      <c r="M830" t="s">
        <v>233</v>
      </c>
      <c r="N830" t="s">
        <v>234</v>
      </c>
      <c r="O830" t="s">
        <v>235</v>
      </c>
      <c r="P830" t="s">
        <v>236</v>
      </c>
      <c r="Q830" t="s">
        <v>237</v>
      </c>
      <c r="R830" t="s">
        <v>136</v>
      </c>
      <c r="S830" t="s">
        <v>238</v>
      </c>
      <c r="T830" t="s">
        <v>240</v>
      </c>
      <c r="U830" t="s">
        <v>241</v>
      </c>
      <c r="V830" t="s">
        <v>242</v>
      </c>
      <c r="W830" t="s">
        <v>243</v>
      </c>
      <c r="X830" t="s">
        <v>244</v>
      </c>
      <c r="Y830" t="s">
        <v>245</v>
      </c>
    </row>
    <row r="831" spans="1:25" x14ac:dyDescent="0.3">
      <c r="A831" s="22" t="s">
        <v>67</v>
      </c>
      <c r="B831">
        <v>124</v>
      </c>
      <c r="C831" t="s">
        <v>64</v>
      </c>
      <c r="D831">
        <v>130</v>
      </c>
      <c r="E831" s="8">
        <v>6.4500000000000002E-2</v>
      </c>
      <c r="F831" s="8">
        <v>1.61E-2</v>
      </c>
      <c r="G831" s="8">
        <v>7.2599999999999998E-2</v>
      </c>
      <c r="H831" s="8">
        <v>0.1694</v>
      </c>
      <c r="I831" s="8">
        <v>1.61E-2</v>
      </c>
      <c r="J831" s="8">
        <v>0.3952</v>
      </c>
      <c r="K831" s="8">
        <v>0.121</v>
      </c>
      <c r="L831" s="8">
        <v>4.8399999999999999E-2</v>
      </c>
      <c r="M831" s="8">
        <v>0.879</v>
      </c>
      <c r="N831" s="8">
        <v>0.4032</v>
      </c>
      <c r="O831" s="8">
        <v>9.6799999999999997E-2</v>
      </c>
      <c r="P831" s="8">
        <v>0.6855</v>
      </c>
      <c r="Q831" s="8">
        <v>0.55649999999999999</v>
      </c>
      <c r="R831" s="8">
        <v>1.61E-2</v>
      </c>
      <c r="S831" s="8">
        <v>0.379</v>
      </c>
      <c r="T831" s="8">
        <v>4.8399999999999999E-2</v>
      </c>
      <c r="U831" s="8">
        <v>2.4199999999999999E-2</v>
      </c>
      <c r="V831" s="8">
        <v>2.4199999999999999E-2</v>
      </c>
      <c r="W831" s="8">
        <v>0.1613</v>
      </c>
      <c r="X831" s="8">
        <v>0.8306</v>
      </c>
      <c r="Y831" s="8">
        <v>0.1532</v>
      </c>
    </row>
    <row r="832" spans="1:25" x14ac:dyDescent="0.3">
      <c r="A832" s="22" t="s">
        <v>68</v>
      </c>
      <c r="B832">
        <v>6</v>
      </c>
      <c r="C832" t="s">
        <v>64</v>
      </c>
      <c r="D832">
        <v>130</v>
      </c>
      <c r="G832" s="8">
        <v>0.33329999999999999</v>
      </c>
      <c r="H832" s="8">
        <v>0.66669999999999996</v>
      </c>
      <c r="J832" s="8">
        <v>0.5</v>
      </c>
      <c r="K832" s="8">
        <v>0.16669999999999999</v>
      </c>
      <c r="L832" s="8">
        <v>0.16669999999999999</v>
      </c>
      <c r="M832" s="8">
        <v>0.83330000000000004</v>
      </c>
      <c r="N832" s="8">
        <v>0.5</v>
      </c>
      <c r="O832" s="8">
        <v>0.16669999999999999</v>
      </c>
      <c r="P832" s="8">
        <v>0.5</v>
      </c>
      <c r="Q832" s="8">
        <v>0.66669999999999996</v>
      </c>
      <c r="S832" s="8">
        <v>0.66669999999999996</v>
      </c>
      <c r="T832" s="8">
        <v>0.16669999999999999</v>
      </c>
      <c r="W832" s="8">
        <v>0.16669999999999999</v>
      </c>
      <c r="X832" s="8">
        <v>1</v>
      </c>
    </row>
    <row r="834" spans="1:25" ht="57.6" x14ac:dyDescent="0.3">
      <c r="A834" s="22" t="s">
        <v>262</v>
      </c>
    </row>
    <row r="835" spans="1:25" x14ac:dyDescent="0.3">
      <c r="A835" s="22" t="s">
        <v>66</v>
      </c>
      <c r="B835" t="s">
        <v>62</v>
      </c>
      <c r="C835" t="s">
        <v>57</v>
      </c>
      <c r="D835" t="s">
        <v>63</v>
      </c>
      <c r="E835" t="s">
        <v>226</v>
      </c>
      <c r="F835" t="s">
        <v>227</v>
      </c>
      <c r="G835" t="s">
        <v>228</v>
      </c>
      <c r="H835" t="s">
        <v>229</v>
      </c>
      <c r="I835" t="s">
        <v>154</v>
      </c>
      <c r="J835" t="s">
        <v>230</v>
      </c>
      <c r="K835" t="s">
        <v>231</v>
      </c>
      <c r="L835" t="s">
        <v>232</v>
      </c>
      <c r="M835" t="s">
        <v>233</v>
      </c>
      <c r="N835" t="s">
        <v>234</v>
      </c>
      <c r="O835" t="s">
        <v>235</v>
      </c>
      <c r="P835" t="s">
        <v>236</v>
      </c>
      <c r="Q835" t="s">
        <v>237</v>
      </c>
      <c r="R835" t="s">
        <v>136</v>
      </c>
      <c r="S835" t="s">
        <v>238</v>
      </c>
      <c r="T835" t="s">
        <v>240</v>
      </c>
      <c r="U835" t="s">
        <v>241</v>
      </c>
      <c r="V835" t="s">
        <v>242</v>
      </c>
      <c r="W835" t="s">
        <v>243</v>
      </c>
      <c r="X835" t="s">
        <v>244</v>
      </c>
      <c r="Y835" t="s">
        <v>245</v>
      </c>
    </row>
    <row r="836" spans="1:25" x14ac:dyDescent="0.3">
      <c r="A836" s="22" t="s">
        <v>67</v>
      </c>
      <c r="B836">
        <v>129</v>
      </c>
      <c r="C836" t="s">
        <v>64</v>
      </c>
      <c r="D836">
        <v>130</v>
      </c>
      <c r="E836" s="8">
        <v>6.2E-2</v>
      </c>
      <c r="F836" s="8">
        <v>1.55E-2</v>
      </c>
      <c r="G836" s="8">
        <v>8.5300000000000001E-2</v>
      </c>
      <c r="H836" s="8">
        <v>0.1938</v>
      </c>
      <c r="I836" s="8">
        <v>1.55E-2</v>
      </c>
      <c r="J836" s="8">
        <v>0.40310000000000001</v>
      </c>
      <c r="K836" s="8">
        <v>0.124</v>
      </c>
      <c r="L836" s="8">
        <v>5.4300000000000001E-2</v>
      </c>
      <c r="M836" s="8">
        <v>0.876</v>
      </c>
      <c r="N836" s="8">
        <v>0.40310000000000001</v>
      </c>
      <c r="O836" s="8">
        <v>0.1008</v>
      </c>
      <c r="P836" s="8">
        <v>0.6744</v>
      </c>
      <c r="Q836" s="8">
        <v>0.55810000000000004</v>
      </c>
      <c r="R836" s="8">
        <v>1.55E-2</v>
      </c>
      <c r="S836" s="8">
        <v>0.39529999999999998</v>
      </c>
      <c r="T836" s="8">
        <v>5.4300000000000001E-2</v>
      </c>
      <c r="U836" s="8">
        <v>2.3300000000000001E-2</v>
      </c>
      <c r="V836" s="8">
        <v>2.3300000000000001E-2</v>
      </c>
      <c r="W836" s="8">
        <v>0.1628</v>
      </c>
      <c r="X836" s="8">
        <v>0.83720000000000006</v>
      </c>
      <c r="Y836" s="8">
        <v>0.14729999999999999</v>
      </c>
    </row>
    <row r="837" spans="1:25" x14ac:dyDescent="0.3">
      <c r="A837" s="22" t="s">
        <v>68</v>
      </c>
      <c r="B837">
        <v>1</v>
      </c>
      <c r="C837" t="s">
        <v>64</v>
      </c>
      <c r="D837">
        <v>130</v>
      </c>
      <c r="M837" s="8">
        <v>1</v>
      </c>
      <c r="N837" s="8">
        <v>1</v>
      </c>
      <c r="P837" s="8">
        <v>1</v>
      </c>
      <c r="Q837" s="8">
        <v>1</v>
      </c>
      <c r="X837" s="8">
        <v>1</v>
      </c>
    </row>
    <row r="839" spans="1:25" ht="57.6" x14ac:dyDescent="0.3">
      <c r="A839" s="22" t="s">
        <v>263</v>
      </c>
    </row>
    <row r="840" spans="1:25" x14ac:dyDescent="0.3">
      <c r="A840" s="22" t="s">
        <v>66</v>
      </c>
      <c r="B840" t="s">
        <v>62</v>
      </c>
      <c r="C840" t="s">
        <v>57</v>
      </c>
      <c r="D840" t="s">
        <v>63</v>
      </c>
      <c r="E840" t="s">
        <v>226</v>
      </c>
      <c r="F840" t="s">
        <v>227</v>
      </c>
      <c r="G840" t="s">
        <v>228</v>
      </c>
      <c r="H840" t="s">
        <v>229</v>
      </c>
      <c r="I840" t="s">
        <v>154</v>
      </c>
      <c r="J840" t="s">
        <v>230</v>
      </c>
      <c r="K840" t="s">
        <v>231</v>
      </c>
      <c r="L840" t="s">
        <v>232</v>
      </c>
      <c r="M840" t="s">
        <v>233</v>
      </c>
      <c r="N840" t="s">
        <v>234</v>
      </c>
      <c r="O840" t="s">
        <v>235</v>
      </c>
      <c r="P840" t="s">
        <v>236</v>
      </c>
      <c r="Q840" t="s">
        <v>237</v>
      </c>
      <c r="R840" t="s">
        <v>136</v>
      </c>
      <c r="S840" t="s">
        <v>238</v>
      </c>
      <c r="T840" t="s">
        <v>240</v>
      </c>
      <c r="U840" t="s">
        <v>241</v>
      </c>
      <c r="V840" t="s">
        <v>242</v>
      </c>
      <c r="W840" t="s">
        <v>243</v>
      </c>
      <c r="X840" t="s">
        <v>244</v>
      </c>
      <c r="Y840" t="s">
        <v>245</v>
      </c>
    </row>
    <row r="841" spans="1:25" x14ac:dyDescent="0.3">
      <c r="A841" s="22" t="s">
        <v>67</v>
      </c>
      <c r="B841">
        <v>120</v>
      </c>
      <c r="C841" t="s">
        <v>64</v>
      </c>
      <c r="D841">
        <v>130</v>
      </c>
      <c r="E841" s="8">
        <v>6.6699999999999995E-2</v>
      </c>
      <c r="F841" s="8">
        <v>1.67E-2</v>
      </c>
      <c r="G841" s="8">
        <v>9.1700000000000004E-2</v>
      </c>
      <c r="H841" s="8">
        <v>0.2</v>
      </c>
      <c r="I841" s="8">
        <v>8.3000000000000001E-3</v>
      </c>
      <c r="J841" s="8">
        <v>0.41670000000000001</v>
      </c>
      <c r="K841" s="8">
        <v>0.125</v>
      </c>
      <c r="L841" s="8">
        <v>0.05</v>
      </c>
      <c r="M841" s="8">
        <v>0.875</v>
      </c>
      <c r="N841" s="8">
        <v>0.4083</v>
      </c>
      <c r="O841" s="8">
        <v>0.10829999999999999</v>
      </c>
      <c r="P841" s="8">
        <v>0.68330000000000002</v>
      </c>
      <c r="Q841" s="8">
        <v>0.56669999999999998</v>
      </c>
      <c r="R841" s="8">
        <v>1.67E-2</v>
      </c>
      <c r="S841" s="8">
        <v>0.4</v>
      </c>
      <c r="T841" s="8">
        <v>5.8299999999999998E-2</v>
      </c>
      <c r="U841" s="8">
        <v>2.5000000000000001E-2</v>
      </c>
      <c r="V841" s="8">
        <v>2.5000000000000001E-2</v>
      </c>
      <c r="W841" s="8">
        <v>0.1583</v>
      </c>
      <c r="X841" s="8">
        <v>0.85</v>
      </c>
      <c r="Y841" s="8">
        <v>0.15</v>
      </c>
    </row>
    <row r="842" spans="1:25" x14ac:dyDescent="0.3">
      <c r="A842" s="22" t="s">
        <v>68</v>
      </c>
      <c r="B842">
        <v>10</v>
      </c>
      <c r="C842" t="s">
        <v>64</v>
      </c>
      <c r="D842">
        <v>130</v>
      </c>
      <c r="H842" s="8">
        <v>0.1</v>
      </c>
      <c r="I842" s="8">
        <v>0.1</v>
      </c>
      <c r="J842" s="8">
        <v>0.2</v>
      </c>
      <c r="K842" s="8">
        <v>0.1</v>
      </c>
      <c r="L842" s="8">
        <v>0.1</v>
      </c>
      <c r="M842" s="8">
        <v>0.9</v>
      </c>
      <c r="N842" s="8">
        <v>0.4</v>
      </c>
      <c r="P842" s="8">
        <v>0.6</v>
      </c>
      <c r="Q842" s="8">
        <v>0.5</v>
      </c>
      <c r="S842" s="8">
        <v>0.3</v>
      </c>
      <c r="W842" s="8">
        <v>0.2</v>
      </c>
      <c r="X842" s="8">
        <v>0.7</v>
      </c>
      <c r="Y842" s="8">
        <v>0.1</v>
      </c>
    </row>
    <row r="844" spans="1:25" ht="57.6" x14ac:dyDescent="0.3">
      <c r="A844" s="22" t="s">
        <v>264</v>
      </c>
    </row>
    <row r="845" spans="1:25" x14ac:dyDescent="0.3">
      <c r="A845" s="22" t="s">
        <v>66</v>
      </c>
      <c r="B845" t="s">
        <v>62</v>
      </c>
      <c r="C845" t="s">
        <v>57</v>
      </c>
      <c r="D845" t="s">
        <v>63</v>
      </c>
      <c r="E845" t="s">
        <v>226</v>
      </c>
      <c r="F845" t="s">
        <v>227</v>
      </c>
      <c r="G845" t="s">
        <v>228</v>
      </c>
      <c r="H845" t="s">
        <v>229</v>
      </c>
      <c r="I845" t="s">
        <v>154</v>
      </c>
      <c r="J845" t="s">
        <v>230</v>
      </c>
      <c r="K845" t="s">
        <v>231</v>
      </c>
      <c r="L845" t="s">
        <v>232</v>
      </c>
      <c r="M845" t="s">
        <v>233</v>
      </c>
      <c r="N845" t="s">
        <v>234</v>
      </c>
      <c r="O845" t="s">
        <v>235</v>
      </c>
      <c r="P845" t="s">
        <v>236</v>
      </c>
      <c r="Q845" t="s">
        <v>237</v>
      </c>
      <c r="R845" t="s">
        <v>136</v>
      </c>
      <c r="S845" t="s">
        <v>238</v>
      </c>
      <c r="T845" t="s">
        <v>240</v>
      </c>
      <c r="U845" t="s">
        <v>241</v>
      </c>
      <c r="V845" t="s">
        <v>242</v>
      </c>
      <c r="W845" t="s">
        <v>243</v>
      </c>
      <c r="X845" t="s">
        <v>244</v>
      </c>
      <c r="Y845" t="s">
        <v>245</v>
      </c>
    </row>
    <row r="846" spans="1:25" x14ac:dyDescent="0.3">
      <c r="A846" s="22" t="s">
        <v>67</v>
      </c>
      <c r="B846">
        <v>5</v>
      </c>
      <c r="C846" t="s">
        <v>64</v>
      </c>
      <c r="D846">
        <v>130</v>
      </c>
      <c r="H846" s="8">
        <v>0.4</v>
      </c>
      <c r="J846" s="8">
        <v>0.4</v>
      </c>
      <c r="M846" s="8">
        <v>1</v>
      </c>
      <c r="N846" s="8">
        <v>0.4</v>
      </c>
      <c r="O846" s="8">
        <v>0.2</v>
      </c>
      <c r="P846" s="8">
        <v>0.4</v>
      </c>
      <c r="Q846" s="8">
        <v>0.4</v>
      </c>
      <c r="S846" s="8">
        <v>0.6</v>
      </c>
      <c r="U846" s="8">
        <v>0.2</v>
      </c>
      <c r="X846" s="8">
        <v>1</v>
      </c>
    </row>
    <row r="847" spans="1:25" x14ac:dyDescent="0.3">
      <c r="A847" s="22" t="s">
        <v>68</v>
      </c>
      <c r="B847">
        <v>125</v>
      </c>
      <c r="C847" t="s">
        <v>64</v>
      </c>
      <c r="D847">
        <v>130</v>
      </c>
      <c r="E847" s="8">
        <v>6.4000000000000001E-2</v>
      </c>
      <c r="F847" s="8">
        <v>1.6E-2</v>
      </c>
      <c r="G847" s="8">
        <v>8.7999999999999995E-2</v>
      </c>
      <c r="H847" s="8">
        <v>0.184</v>
      </c>
      <c r="I847" s="8">
        <v>1.6E-2</v>
      </c>
      <c r="J847" s="8">
        <v>0.4</v>
      </c>
      <c r="K847" s="8">
        <v>0.128</v>
      </c>
      <c r="L847" s="8">
        <v>5.6000000000000001E-2</v>
      </c>
      <c r="M847" s="8">
        <v>0.872</v>
      </c>
      <c r="N847" s="8">
        <v>0.40799999999999997</v>
      </c>
      <c r="O847" s="8">
        <v>9.6000000000000002E-2</v>
      </c>
      <c r="P847" s="8">
        <v>0.68799999999999994</v>
      </c>
      <c r="Q847" s="8">
        <v>0.56799999999999995</v>
      </c>
      <c r="R847" s="8">
        <v>1.6E-2</v>
      </c>
      <c r="S847" s="8">
        <v>0.38400000000000001</v>
      </c>
      <c r="T847" s="8">
        <v>5.6000000000000001E-2</v>
      </c>
      <c r="U847" s="8">
        <v>1.6E-2</v>
      </c>
      <c r="V847" s="8">
        <v>2.4E-2</v>
      </c>
      <c r="W847" s="8">
        <v>0.16800000000000001</v>
      </c>
      <c r="X847" s="8">
        <v>0.83199999999999996</v>
      </c>
      <c r="Y847" s="8">
        <v>0.152</v>
      </c>
    </row>
    <row r="849" spans="1:25" ht="57.6" x14ac:dyDescent="0.3">
      <c r="A849" s="22" t="s">
        <v>265</v>
      </c>
    </row>
    <row r="850" spans="1:25" x14ac:dyDescent="0.3">
      <c r="A850" s="22" t="s">
        <v>66</v>
      </c>
      <c r="B850" t="s">
        <v>62</v>
      </c>
      <c r="C850" t="s">
        <v>57</v>
      </c>
      <c r="D850" t="s">
        <v>63</v>
      </c>
      <c r="E850" t="s">
        <v>226</v>
      </c>
      <c r="F850" t="s">
        <v>227</v>
      </c>
      <c r="G850" t="s">
        <v>228</v>
      </c>
      <c r="H850" t="s">
        <v>229</v>
      </c>
      <c r="I850" t="s">
        <v>154</v>
      </c>
      <c r="J850" t="s">
        <v>230</v>
      </c>
      <c r="K850" t="s">
        <v>231</v>
      </c>
      <c r="L850" t="s">
        <v>232</v>
      </c>
      <c r="M850" t="s">
        <v>233</v>
      </c>
      <c r="N850" t="s">
        <v>234</v>
      </c>
      <c r="O850" t="s">
        <v>235</v>
      </c>
      <c r="P850" t="s">
        <v>236</v>
      </c>
      <c r="Q850" t="s">
        <v>237</v>
      </c>
      <c r="R850" t="s">
        <v>136</v>
      </c>
      <c r="S850" t="s">
        <v>238</v>
      </c>
      <c r="T850" t="s">
        <v>240</v>
      </c>
      <c r="U850" t="s">
        <v>241</v>
      </c>
      <c r="V850" t="s">
        <v>242</v>
      </c>
      <c r="W850" t="s">
        <v>243</v>
      </c>
      <c r="X850" t="s">
        <v>244</v>
      </c>
      <c r="Y850" t="s">
        <v>245</v>
      </c>
    </row>
    <row r="851" spans="1:25" x14ac:dyDescent="0.3">
      <c r="A851" s="22" t="s">
        <v>67</v>
      </c>
      <c r="B851">
        <v>106</v>
      </c>
      <c r="C851" t="s">
        <v>64</v>
      </c>
      <c r="D851">
        <v>130</v>
      </c>
      <c r="E851" s="8">
        <v>6.6000000000000003E-2</v>
      </c>
      <c r="F851" s="8">
        <v>9.4000000000000004E-3</v>
      </c>
      <c r="G851" s="8">
        <v>9.4299999999999995E-2</v>
      </c>
      <c r="H851" s="8">
        <v>0.18870000000000001</v>
      </c>
      <c r="I851" s="8">
        <v>1.89E-2</v>
      </c>
      <c r="J851" s="8">
        <v>0.40570000000000001</v>
      </c>
      <c r="K851" s="8">
        <v>0.1132</v>
      </c>
      <c r="L851" s="8">
        <v>6.6000000000000003E-2</v>
      </c>
      <c r="M851" s="8">
        <v>0.87739999999999996</v>
      </c>
      <c r="N851" s="8">
        <v>0.37740000000000001</v>
      </c>
      <c r="O851" s="8">
        <v>0.1038</v>
      </c>
      <c r="P851" s="8">
        <v>0.66039999999999999</v>
      </c>
      <c r="Q851" s="8">
        <v>0.58489999999999998</v>
      </c>
      <c r="R851" s="8">
        <v>1.89E-2</v>
      </c>
      <c r="S851" s="8">
        <v>0.38679999999999998</v>
      </c>
      <c r="T851" s="8">
        <v>6.6000000000000003E-2</v>
      </c>
      <c r="U851" s="8">
        <v>2.8299999999999999E-2</v>
      </c>
      <c r="V851" s="8">
        <v>2.8299999999999999E-2</v>
      </c>
      <c r="W851" s="8">
        <v>0.16980000000000001</v>
      </c>
      <c r="X851" s="8">
        <v>0.82079999999999997</v>
      </c>
      <c r="Y851" s="8">
        <v>0.1226</v>
      </c>
    </row>
    <row r="852" spans="1:25" x14ac:dyDescent="0.3">
      <c r="A852" s="22" t="s">
        <v>68</v>
      </c>
      <c r="B852">
        <v>24</v>
      </c>
      <c r="C852" t="s">
        <v>64</v>
      </c>
      <c r="D852">
        <v>130</v>
      </c>
      <c r="E852" s="8">
        <v>4.1700000000000001E-2</v>
      </c>
      <c r="F852" s="8">
        <v>4.1700000000000001E-2</v>
      </c>
      <c r="G852" s="8">
        <v>4.1700000000000001E-2</v>
      </c>
      <c r="H852" s="8">
        <v>0.20830000000000001</v>
      </c>
      <c r="J852" s="8">
        <v>0.375</v>
      </c>
      <c r="K852" s="8">
        <v>0.16669999999999999</v>
      </c>
      <c r="M852" s="8">
        <v>0.875</v>
      </c>
      <c r="N852" s="8">
        <v>0.54169999999999996</v>
      </c>
      <c r="O852" s="8">
        <v>8.3299999999999999E-2</v>
      </c>
      <c r="P852" s="8">
        <v>0.75</v>
      </c>
      <c r="Q852" s="8">
        <v>0.45829999999999999</v>
      </c>
      <c r="S852" s="8">
        <v>0.41670000000000001</v>
      </c>
      <c r="W852" s="8">
        <v>0.125</v>
      </c>
      <c r="X852" s="8">
        <v>0.91669999999999996</v>
      </c>
      <c r="Y852" s="8">
        <v>0.25</v>
      </c>
    </row>
    <row r="854" spans="1:25" ht="57.6" x14ac:dyDescent="0.3">
      <c r="A854" s="22" t="s">
        <v>266</v>
      </c>
    </row>
    <row r="855" spans="1:25" x14ac:dyDescent="0.3">
      <c r="A855" s="22" t="s">
        <v>66</v>
      </c>
      <c r="B855" t="s">
        <v>62</v>
      </c>
      <c r="C855" t="s">
        <v>57</v>
      </c>
      <c r="D855" t="s">
        <v>63</v>
      </c>
      <c r="E855" t="s">
        <v>226</v>
      </c>
      <c r="F855" t="s">
        <v>227</v>
      </c>
      <c r="G855" t="s">
        <v>228</v>
      </c>
      <c r="H855" t="s">
        <v>229</v>
      </c>
      <c r="I855" t="s">
        <v>154</v>
      </c>
      <c r="J855" t="s">
        <v>230</v>
      </c>
      <c r="K855" t="s">
        <v>231</v>
      </c>
      <c r="L855" t="s">
        <v>232</v>
      </c>
      <c r="M855" t="s">
        <v>233</v>
      </c>
      <c r="N855" t="s">
        <v>234</v>
      </c>
      <c r="O855" t="s">
        <v>235</v>
      </c>
      <c r="P855" t="s">
        <v>236</v>
      </c>
      <c r="Q855" t="s">
        <v>237</v>
      </c>
      <c r="R855" t="s">
        <v>136</v>
      </c>
      <c r="S855" t="s">
        <v>238</v>
      </c>
      <c r="T855" t="s">
        <v>240</v>
      </c>
      <c r="U855" t="s">
        <v>241</v>
      </c>
      <c r="V855" t="s">
        <v>242</v>
      </c>
      <c r="W855" t="s">
        <v>243</v>
      </c>
      <c r="X855" t="s">
        <v>244</v>
      </c>
      <c r="Y855" t="s">
        <v>245</v>
      </c>
    </row>
    <row r="856" spans="1:25" x14ac:dyDescent="0.3">
      <c r="A856" s="22" t="s">
        <v>67</v>
      </c>
      <c r="B856">
        <v>101</v>
      </c>
      <c r="C856" t="s">
        <v>64</v>
      </c>
      <c r="D856">
        <v>130</v>
      </c>
      <c r="E856" s="8">
        <v>7.9200000000000007E-2</v>
      </c>
      <c r="F856" s="8">
        <v>9.9000000000000008E-3</v>
      </c>
      <c r="G856" s="8">
        <v>7.9200000000000007E-2</v>
      </c>
      <c r="H856" s="8">
        <v>0.1782</v>
      </c>
      <c r="I856" s="8">
        <v>1.9800000000000002E-2</v>
      </c>
      <c r="J856" s="8">
        <v>0.36630000000000001</v>
      </c>
      <c r="K856" s="8">
        <v>8.9099999999999999E-2</v>
      </c>
      <c r="L856" s="8">
        <v>4.9500000000000002E-2</v>
      </c>
      <c r="M856" s="8">
        <v>0.88119999999999998</v>
      </c>
      <c r="N856" s="8">
        <v>0.40589999999999998</v>
      </c>
      <c r="O856" s="8">
        <v>9.9000000000000005E-2</v>
      </c>
      <c r="P856" s="8">
        <v>0.68320000000000003</v>
      </c>
      <c r="Q856" s="8">
        <v>0.53469999999999995</v>
      </c>
      <c r="S856" s="8">
        <v>0.35639999999999999</v>
      </c>
      <c r="T856" s="8">
        <v>4.9500000000000002E-2</v>
      </c>
      <c r="U856" s="8">
        <v>9.9000000000000008E-3</v>
      </c>
      <c r="V856" s="8">
        <v>2.9700000000000001E-2</v>
      </c>
      <c r="W856" s="8">
        <v>0.12870000000000001</v>
      </c>
      <c r="X856" s="8">
        <v>0.83169999999999999</v>
      </c>
      <c r="Y856" s="8">
        <v>0.14849999999999999</v>
      </c>
    </row>
    <row r="857" spans="1:25" x14ac:dyDescent="0.3">
      <c r="A857" s="22" t="s">
        <v>68</v>
      </c>
      <c r="B857">
        <v>29</v>
      </c>
      <c r="C857" t="s">
        <v>64</v>
      </c>
      <c r="D857">
        <v>130</v>
      </c>
      <c r="F857" s="8">
        <v>3.4500000000000003E-2</v>
      </c>
      <c r="G857" s="8">
        <v>0.10340000000000001</v>
      </c>
      <c r="H857" s="8">
        <v>0.2414</v>
      </c>
      <c r="J857" s="8">
        <v>0.51719999999999999</v>
      </c>
      <c r="K857" s="8">
        <v>0.2414</v>
      </c>
      <c r="L857" s="8">
        <v>6.9000000000000006E-2</v>
      </c>
      <c r="M857" s="8">
        <v>0.86209999999999998</v>
      </c>
      <c r="N857" s="8">
        <v>0.4138</v>
      </c>
      <c r="O857" s="8">
        <v>0.10340000000000001</v>
      </c>
      <c r="P857" s="8">
        <v>0.6552</v>
      </c>
      <c r="Q857" s="8">
        <v>0.6552</v>
      </c>
      <c r="R857" s="8">
        <v>6.9000000000000006E-2</v>
      </c>
      <c r="S857" s="8">
        <v>0.51719999999999999</v>
      </c>
      <c r="T857" s="8">
        <v>6.9000000000000006E-2</v>
      </c>
      <c r="U857" s="8">
        <v>6.9000000000000006E-2</v>
      </c>
      <c r="W857" s="8">
        <v>0.27589999999999998</v>
      </c>
      <c r="X857" s="8">
        <v>0.86209999999999998</v>
      </c>
      <c r="Y857" s="8">
        <v>0.13789999999999999</v>
      </c>
    </row>
    <row r="859" spans="1:25" ht="57.6" x14ac:dyDescent="0.3">
      <c r="A859" s="22" t="s">
        <v>267</v>
      </c>
    </row>
    <row r="860" spans="1:25" x14ac:dyDescent="0.3">
      <c r="A860" s="22" t="s">
        <v>66</v>
      </c>
      <c r="B860" t="s">
        <v>62</v>
      </c>
      <c r="C860" t="s">
        <v>57</v>
      </c>
      <c r="D860" t="s">
        <v>63</v>
      </c>
      <c r="E860" t="s">
        <v>226</v>
      </c>
      <c r="F860" t="s">
        <v>227</v>
      </c>
      <c r="G860" t="s">
        <v>228</v>
      </c>
      <c r="H860" t="s">
        <v>229</v>
      </c>
      <c r="I860" t="s">
        <v>154</v>
      </c>
      <c r="J860" t="s">
        <v>230</v>
      </c>
      <c r="K860" t="s">
        <v>231</v>
      </c>
      <c r="L860" t="s">
        <v>232</v>
      </c>
      <c r="M860" t="s">
        <v>233</v>
      </c>
      <c r="N860" t="s">
        <v>234</v>
      </c>
      <c r="O860" t="s">
        <v>235</v>
      </c>
      <c r="P860" t="s">
        <v>236</v>
      </c>
      <c r="Q860" t="s">
        <v>237</v>
      </c>
      <c r="R860" t="s">
        <v>136</v>
      </c>
      <c r="S860" t="s">
        <v>238</v>
      </c>
      <c r="T860" t="s">
        <v>240</v>
      </c>
      <c r="U860" t="s">
        <v>241</v>
      </c>
      <c r="V860" t="s">
        <v>242</v>
      </c>
      <c r="W860" t="s">
        <v>243</v>
      </c>
      <c r="X860" t="s">
        <v>244</v>
      </c>
      <c r="Y860" t="s">
        <v>245</v>
      </c>
    </row>
    <row r="861" spans="1:25" x14ac:dyDescent="0.3">
      <c r="A861" s="22" t="s">
        <v>67</v>
      </c>
      <c r="B861">
        <v>98</v>
      </c>
      <c r="C861" t="s">
        <v>64</v>
      </c>
      <c r="D861">
        <v>130</v>
      </c>
      <c r="E861" s="8">
        <v>7.1400000000000005E-2</v>
      </c>
      <c r="F861" s="8">
        <v>2.0400000000000001E-2</v>
      </c>
      <c r="G861" s="8">
        <v>9.1800000000000007E-2</v>
      </c>
      <c r="H861" s="8">
        <v>0.2041</v>
      </c>
      <c r="I861" s="8">
        <v>2.0400000000000001E-2</v>
      </c>
      <c r="J861" s="8">
        <v>0.39800000000000002</v>
      </c>
      <c r="K861" s="8">
        <v>0.13270000000000001</v>
      </c>
      <c r="L861" s="8">
        <v>6.1199999999999997E-2</v>
      </c>
      <c r="M861" s="8">
        <v>0.86729999999999996</v>
      </c>
      <c r="N861" s="8">
        <v>0.40820000000000001</v>
      </c>
      <c r="O861" s="8">
        <v>0.10199999999999999</v>
      </c>
      <c r="P861" s="8">
        <v>0.6633</v>
      </c>
      <c r="Q861" s="8">
        <v>0.56120000000000003</v>
      </c>
      <c r="S861" s="8">
        <v>0.39800000000000002</v>
      </c>
      <c r="T861" s="8">
        <v>7.1400000000000005E-2</v>
      </c>
      <c r="U861" s="8">
        <v>2.0400000000000001E-2</v>
      </c>
      <c r="V861" s="8">
        <v>1.0200000000000001E-2</v>
      </c>
      <c r="W861" s="8">
        <v>0.15310000000000001</v>
      </c>
      <c r="X861" s="8">
        <v>0.85709999999999997</v>
      </c>
      <c r="Y861" s="8">
        <v>0.13270000000000001</v>
      </c>
    </row>
    <row r="862" spans="1:25" x14ac:dyDescent="0.3">
      <c r="A862" s="22" t="s">
        <v>68</v>
      </c>
      <c r="B862">
        <v>32</v>
      </c>
      <c r="C862" t="s">
        <v>64</v>
      </c>
      <c r="D862">
        <v>130</v>
      </c>
      <c r="E862" s="8">
        <v>3.1199999999999999E-2</v>
      </c>
      <c r="G862" s="8">
        <v>6.25E-2</v>
      </c>
      <c r="H862" s="8">
        <v>0.15620000000000001</v>
      </c>
      <c r="J862" s="8">
        <v>0.40620000000000001</v>
      </c>
      <c r="K862" s="8">
        <v>9.3799999999999994E-2</v>
      </c>
      <c r="L862" s="8">
        <v>3.1199999999999999E-2</v>
      </c>
      <c r="M862" s="8">
        <v>0.90620000000000001</v>
      </c>
      <c r="N862" s="8">
        <v>0.40620000000000001</v>
      </c>
      <c r="O862" s="8">
        <v>9.3799999999999994E-2</v>
      </c>
      <c r="P862" s="8">
        <v>0.71879999999999999</v>
      </c>
      <c r="Q862" s="8">
        <v>0.5625</v>
      </c>
      <c r="R862" s="8">
        <v>6.25E-2</v>
      </c>
      <c r="S862" s="8">
        <v>0.375</v>
      </c>
      <c r="U862" s="8">
        <v>3.1199999999999999E-2</v>
      </c>
      <c r="V862" s="8">
        <v>6.25E-2</v>
      </c>
      <c r="W862" s="8">
        <v>0.1875</v>
      </c>
      <c r="X862" s="8">
        <v>0.78120000000000001</v>
      </c>
      <c r="Y862" s="8">
        <v>0.1875</v>
      </c>
    </row>
    <row r="864" spans="1:25" ht="72" x14ac:dyDescent="0.3">
      <c r="A864" s="22" t="s">
        <v>268</v>
      </c>
    </row>
    <row r="865" spans="1:25" x14ac:dyDescent="0.3">
      <c r="A865" s="22" t="s">
        <v>66</v>
      </c>
      <c r="B865" t="s">
        <v>62</v>
      </c>
      <c r="C865" t="s">
        <v>57</v>
      </c>
      <c r="D865" t="s">
        <v>63</v>
      </c>
      <c r="E865" t="s">
        <v>226</v>
      </c>
      <c r="F865" t="s">
        <v>227</v>
      </c>
      <c r="G865" t="s">
        <v>228</v>
      </c>
      <c r="H865" t="s">
        <v>229</v>
      </c>
      <c r="I865" t="s">
        <v>154</v>
      </c>
      <c r="J865" t="s">
        <v>230</v>
      </c>
      <c r="K865" t="s">
        <v>231</v>
      </c>
      <c r="L865" t="s">
        <v>232</v>
      </c>
      <c r="M865" t="s">
        <v>233</v>
      </c>
      <c r="N865" t="s">
        <v>234</v>
      </c>
      <c r="O865" t="s">
        <v>235</v>
      </c>
      <c r="P865" t="s">
        <v>236</v>
      </c>
      <c r="Q865" t="s">
        <v>237</v>
      </c>
      <c r="R865" t="s">
        <v>136</v>
      </c>
      <c r="S865" t="s">
        <v>238</v>
      </c>
      <c r="T865" t="s">
        <v>240</v>
      </c>
      <c r="U865" t="s">
        <v>241</v>
      </c>
      <c r="V865" t="s">
        <v>242</v>
      </c>
      <c r="W865" t="s">
        <v>243</v>
      </c>
      <c r="X865" t="s">
        <v>244</v>
      </c>
      <c r="Y865" t="s">
        <v>245</v>
      </c>
    </row>
    <row r="866" spans="1:25" x14ac:dyDescent="0.3">
      <c r="A866" s="22" t="s">
        <v>67</v>
      </c>
      <c r="B866">
        <v>118</v>
      </c>
      <c r="C866" t="s">
        <v>64</v>
      </c>
      <c r="D866">
        <v>130</v>
      </c>
      <c r="E866" s="8">
        <v>6.7799999999999999E-2</v>
      </c>
      <c r="F866" s="8">
        <v>8.5000000000000006E-3</v>
      </c>
      <c r="G866" s="8">
        <v>9.3200000000000005E-2</v>
      </c>
      <c r="H866" s="8">
        <v>0.19489999999999999</v>
      </c>
      <c r="I866" s="8">
        <v>1.6899999999999998E-2</v>
      </c>
      <c r="J866" s="8">
        <v>0.4153</v>
      </c>
      <c r="K866" s="8">
        <v>0.12709999999999999</v>
      </c>
      <c r="L866" s="8">
        <v>5.0799999999999998E-2</v>
      </c>
      <c r="M866" s="8">
        <v>0.86439999999999995</v>
      </c>
      <c r="N866" s="8">
        <v>0.4153</v>
      </c>
      <c r="O866" s="8">
        <v>0.1017</v>
      </c>
      <c r="P866" s="8">
        <v>0.69489999999999996</v>
      </c>
      <c r="Q866" s="8">
        <v>0.57630000000000003</v>
      </c>
      <c r="R866" s="8">
        <v>8.5000000000000006E-3</v>
      </c>
      <c r="S866" s="8">
        <v>0.38979999999999998</v>
      </c>
      <c r="T866" s="8">
        <v>3.39E-2</v>
      </c>
      <c r="U866" s="8">
        <v>2.5399999999999999E-2</v>
      </c>
      <c r="V866" s="8">
        <v>1.6899999999999998E-2</v>
      </c>
      <c r="W866" s="8">
        <v>0.17799999999999999</v>
      </c>
      <c r="X866" s="8">
        <v>0.84750000000000003</v>
      </c>
      <c r="Y866" s="8">
        <v>0.1356</v>
      </c>
    </row>
    <row r="867" spans="1:25" x14ac:dyDescent="0.3">
      <c r="A867" s="22" t="s">
        <v>68</v>
      </c>
      <c r="B867">
        <v>12</v>
      </c>
      <c r="C867" t="s">
        <v>64</v>
      </c>
      <c r="D867">
        <v>130</v>
      </c>
      <c r="F867" s="8">
        <v>8.3299999999999999E-2</v>
      </c>
      <c r="H867" s="8">
        <v>0.16669999999999999</v>
      </c>
      <c r="J867" s="8">
        <v>0.25</v>
      </c>
      <c r="K867" s="8">
        <v>8.3299999999999999E-2</v>
      </c>
      <c r="L867" s="8">
        <v>8.3299999999999999E-2</v>
      </c>
      <c r="M867" s="8">
        <v>1</v>
      </c>
      <c r="N867" s="8">
        <v>0.33329999999999999</v>
      </c>
      <c r="O867" s="8">
        <v>8.3299999999999999E-2</v>
      </c>
      <c r="P867" s="8">
        <v>0.5</v>
      </c>
      <c r="Q867" s="8">
        <v>0.41670000000000001</v>
      </c>
      <c r="R867" s="8">
        <v>8.3299999999999999E-2</v>
      </c>
      <c r="S867" s="8">
        <v>0.41670000000000001</v>
      </c>
      <c r="T867" s="8">
        <v>0.25</v>
      </c>
      <c r="V867" s="8">
        <v>8.3299999999999999E-2</v>
      </c>
      <c r="X867" s="8">
        <v>0.75</v>
      </c>
      <c r="Y867" s="8">
        <v>0.25</v>
      </c>
    </row>
    <row r="869" spans="1:25" ht="72" x14ac:dyDescent="0.3">
      <c r="A869" s="22" t="s">
        <v>269</v>
      </c>
    </row>
    <row r="870" spans="1:25" x14ac:dyDescent="0.3">
      <c r="A870" s="22" t="s">
        <v>66</v>
      </c>
      <c r="B870" t="s">
        <v>62</v>
      </c>
      <c r="C870" t="s">
        <v>57</v>
      </c>
      <c r="D870" t="s">
        <v>63</v>
      </c>
      <c r="E870" t="s">
        <v>226</v>
      </c>
      <c r="F870" t="s">
        <v>227</v>
      </c>
      <c r="G870" t="s">
        <v>228</v>
      </c>
      <c r="H870" t="s">
        <v>229</v>
      </c>
      <c r="I870" t="s">
        <v>154</v>
      </c>
      <c r="J870" t="s">
        <v>230</v>
      </c>
      <c r="K870" t="s">
        <v>231</v>
      </c>
      <c r="L870" t="s">
        <v>232</v>
      </c>
      <c r="M870" t="s">
        <v>233</v>
      </c>
      <c r="N870" t="s">
        <v>234</v>
      </c>
      <c r="O870" t="s">
        <v>235</v>
      </c>
      <c r="P870" t="s">
        <v>236</v>
      </c>
      <c r="Q870" t="s">
        <v>237</v>
      </c>
      <c r="R870" t="s">
        <v>136</v>
      </c>
      <c r="S870" t="s">
        <v>238</v>
      </c>
      <c r="T870" t="s">
        <v>240</v>
      </c>
      <c r="U870" t="s">
        <v>241</v>
      </c>
      <c r="V870" t="s">
        <v>242</v>
      </c>
      <c r="W870" t="s">
        <v>243</v>
      </c>
      <c r="X870" t="s">
        <v>244</v>
      </c>
      <c r="Y870" t="s">
        <v>245</v>
      </c>
    </row>
    <row r="871" spans="1:25" x14ac:dyDescent="0.3">
      <c r="A871" s="22" t="s">
        <v>67</v>
      </c>
      <c r="B871">
        <v>130</v>
      </c>
      <c r="C871" t="s">
        <v>64</v>
      </c>
      <c r="D871">
        <v>130</v>
      </c>
      <c r="E871" s="8">
        <v>6.1499999999999999E-2</v>
      </c>
      <c r="F871" s="8">
        <v>1.54E-2</v>
      </c>
      <c r="G871" s="8">
        <v>8.4599999999999995E-2</v>
      </c>
      <c r="H871" s="8">
        <v>0.1923</v>
      </c>
      <c r="I871" s="8">
        <v>1.54E-2</v>
      </c>
      <c r="J871" s="8">
        <v>0.4</v>
      </c>
      <c r="K871" s="8">
        <v>0.1231</v>
      </c>
      <c r="L871" s="8">
        <v>5.3800000000000001E-2</v>
      </c>
      <c r="M871" s="8">
        <v>0.87690000000000001</v>
      </c>
      <c r="N871" s="8">
        <v>0.40770000000000001</v>
      </c>
      <c r="O871" s="8">
        <v>0.1</v>
      </c>
      <c r="P871" s="8">
        <v>0.67689999999999995</v>
      </c>
      <c r="Q871" s="8">
        <v>0.5615</v>
      </c>
      <c r="R871" s="8">
        <v>1.54E-2</v>
      </c>
      <c r="S871" s="8">
        <v>0.39229999999999998</v>
      </c>
      <c r="T871" s="8">
        <v>5.3800000000000001E-2</v>
      </c>
      <c r="U871" s="8">
        <v>2.3099999999999999E-2</v>
      </c>
      <c r="V871" s="8">
        <v>2.3099999999999999E-2</v>
      </c>
      <c r="W871" s="8">
        <v>0.1615</v>
      </c>
      <c r="X871" s="8">
        <v>0.83850000000000002</v>
      </c>
      <c r="Y871" s="8">
        <v>0.1462</v>
      </c>
    </row>
    <row r="873" spans="1:25" ht="57.6" x14ac:dyDescent="0.3">
      <c r="A873" s="22" t="s">
        <v>270</v>
      </c>
    </row>
    <row r="874" spans="1:25" x14ac:dyDescent="0.3">
      <c r="A874" s="22" t="s">
        <v>66</v>
      </c>
      <c r="B874" t="s">
        <v>62</v>
      </c>
      <c r="C874" t="s">
        <v>57</v>
      </c>
      <c r="D874" t="s">
        <v>63</v>
      </c>
      <c r="E874" t="s">
        <v>226</v>
      </c>
      <c r="F874" t="s">
        <v>227</v>
      </c>
      <c r="G874" t="s">
        <v>228</v>
      </c>
      <c r="H874" t="s">
        <v>229</v>
      </c>
      <c r="I874" t="s">
        <v>154</v>
      </c>
      <c r="J874" t="s">
        <v>230</v>
      </c>
      <c r="K874" t="s">
        <v>231</v>
      </c>
      <c r="L874" t="s">
        <v>232</v>
      </c>
      <c r="M874" t="s">
        <v>233</v>
      </c>
      <c r="N874" t="s">
        <v>234</v>
      </c>
      <c r="O874" t="s">
        <v>235</v>
      </c>
      <c r="P874" t="s">
        <v>236</v>
      </c>
      <c r="Q874" t="s">
        <v>237</v>
      </c>
      <c r="R874" t="s">
        <v>136</v>
      </c>
      <c r="S874" t="s">
        <v>238</v>
      </c>
      <c r="T874" t="s">
        <v>240</v>
      </c>
      <c r="U874" t="s">
        <v>241</v>
      </c>
      <c r="V874" t="s">
        <v>242</v>
      </c>
      <c r="W874" t="s">
        <v>243</v>
      </c>
      <c r="X874" t="s">
        <v>244</v>
      </c>
      <c r="Y874" t="s">
        <v>245</v>
      </c>
    </row>
    <row r="875" spans="1:25" x14ac:dyDescent="0.3">
      <c r="A875" s="22" t="s">
        <v>67</v>
      </c>
      <c r="B875">
        <v>77</v>
      </c>
      <c r="C875" t="s">
        <v>64</v>
      </c>
      <c r="D875">
        <v>130</v>
      </c>
      <c r="E875" s="8">
        <v>3.9E-2</v>
      </c>
      <c r="F875" s="8">
        <v>1.2999999999999999E-2</v>
      </c>
      <c r="G875" s="8">
        <v>7.7899999999999997E-2</v>
      </c>
      <c r="H875" s="8">
        <v>0.20780000000000001</v>
      </c>
      <c r="I875" s="8">
        <v>1.2999999999999999E-2</v>
      </c>
      <c r="J875" s="8">
        <v>0.42859999999999998</v>
      </c>
      <c r="K875" s="8">
        <v>0.10390000000000001</v>
      </c>
      <c r="L875" s="8">
        <v>5.1900000000000002E-2</v>
      </c>
      <c r="M875" s="8">
        <v>0.87009999999999998</v>
      </c>
      <c r="N875" s="8">
        <v>0.32469999999999999</v>
      </c>
      <c r="O875" s="8">
        <v>6.4899999999999999E-2</v>
      </c>
      <c r="P875" s="8">
        <v>0.70130000000000003</v>
      </c>
      <c r="Q875" s="8">
        <v>0.63639999999999997</v>
      </c>
      <c r="R875" s="8">
        <v>1.2999999999999999E-2</v>
      </c>
      <c r="S875" s="8">
        <v>0.41560000000000002</v>
      </c>
      <c r="T875" s="8">
        <v>3.9E-2</v>
      </c>
      <c r="U875" s="8">
        <v>2.5999999999999999E-2</v>
      </c>
      <c r="W875" s="8">
        <v>0.20780000000000001</v>
      </c>
      <c r="X875" s="8">
        <v>0.83120000000000005</v>
      </c>
      <c r="Y875" s="8">
        <v>0.10390000000000001</v>
      </c>
    </row>
    <row r="876" spans="1:25" x14ac:dyDescent="0.3">
      <c r="A876" s="22" t="s">
        <v>68</v>
      </c>
      <c r="B876">
        <v>53</v>
      </c>
      <c r="C876" t="s">
        <v>64</v>
      </c>
      <c r="D876">
        <v>130</v>
      </c>
      <c r="E876" s="8">
        <v>9.4299999999999995E-2</v>
      </c>
      <c r="F876" s="8">
        <v>1.89E-2</v>
      </c>
      <c r="G876" s="8">
        <v>9.4299999999999995E-2</v>
      </c>
      <c r="H876" s="8">
        <v>0.16980000000000001</v>
      </c>
      <c r="I876" s="8">
        <v>1.89E-2</v>
      </c>
      <c r="J876" s="8">
        <v>0.35849999999999999</v>
      </c>
      <c r="K876" s="8">
        <v>0.15090000000000001</v>
      </c>
      <c r="L876" s="8">
        <v>5.6599999999999998E-2</v>
      </c>
      <c r="M876" s="8">
        <v>0.88680000000000003</v>
      </c>
      <c r="N876" s="8">
        <v>0.52829999999999999</v>
      </c>
      <c r="O876" s="8">
        <v>0.15090000000000001</v>
      </c>
      <c r="P876" s="8">
        <v>0.64149999999999996</v>
      </c>
      <c r="Q876" s="8">
        <v>0.45279999999999998</v>
      </c>
      <c r="R876" s="8">
        <v>1.89E-2</v>
      </c>
      <c r="S876" s="8">
        <v>0.35849999999999999</v>
      </c>
      <c r="T876" s="8">
        <v>7.5499999999999998E-2</v>
      </c>
      <c r="U876" s="8">
        <v>1.89E-2</v>
      </c>
      <c r="V876" s="8">
        <v>5.6599999999999998E-2</v>
      </c>
      <c r="W876" s="8">
        <v>9.4299999999999995E-2</v>
      </c>
      <c r="X876" s="8">
        <v>0.84909999999999997</v>
      </c>
      <c r="Y876" s="8">
        <v>0.20749999999999999</v>
      </c>
    </row>
    <row r="878" spans="1:25" ht="72" x14ac:dyDescent="0.3">
      <c r="A878" s="22" t="s">
        <v>271</v>
      </c>
    </row>
    <row r="879" spans="1:25" x14ac:dyDescent="0.3">
      <c r="A879" s="22" t="s">
        <v>66</v>
      </c>
      <c r="B879" t="s">
        <v>62</v>
      </c>
      <c r="C879" t="s">
        <v>57</v>
      </c>
      <c r="D879" t="s">
        <v>63</v>
      </c>
      <c r="E879" t="s">
        <v>226</v>
      </c>
      <c r="F879" t="s">
        <v>227</v>
      </c>
      <c r="G879" t="s">
        <v>228</v>
      </c>
      <c r="H879" t="s">
        <v>229</v>
      </c>
      <c r="I879" t="s">
        <v>154</v>
      </c>
      <c r="J879" t="s">
        <v>230</v>
      </c>
      <c r="K879" t="s">
        <v>231</v>
      </c>
      <c r="L879" t="s">
        <v>232</v>
      </c>
      <c r="M879" t="s">
        <v>233</v>
      </c>
      <c r="N879" t="s">
        <v>234</v>
      </c>
      <c r="O879" t="s">
        <v>235</v>
      </c>
      <c r="P879" t="s">
        <v>236</v>
      </c>
      <c r="Q879" t="s">
        <v>237</v>
      </c>
      <c r="R879" t="s">
        <v>136</v>
      </c>
      <c r="S879" t="s">
        <v>238</v>
      </c>
      <c r="T879" t="s">
        <v>240</v>
      </c>
      <c r="U879" t="s">
        <v>241</v>
      </c>
      <c r="V879" t="s">
        <v>242</v>
      </c>
      <c r="W879" t="s">
        <v>243</v>
      </c>
      <c r="X879" t="s">
        <v>244</v>
      </c>
      <c r="Y879" t="s">
        <v>245</v>
      </c>
    </row>
    <row r="880" spans="1:25" x14ac:dyDescent="0.3">
      <c r="A880" s="22" t="s">
        <v>67</v>
      </c>
      <c r="B880">
        <v>114</v>
      </c>
      <c r="C880" t="s">
        <v>64</v>
      </c>
      <c r="D880">
        <v>130</v>
      </c>
      <c r="E880" s="8">
        <v>7.0199999999999999E-2</v>
      </c>
      <c r="F880" s="8">
        <v>8.8000000000000005E-3</v>
      </c>
      <c r="G880" s="8">
        <v>8.77E-2</v>
      </c>
      <c r="H880" s="8">
        <v>0.20180000000000001</v>
      </c>
      <c r="I880" s="8">
        <v>8.8000000000000005E-3</v>
      </c>
      <c r="J880" s="8">
        <v>0.38600000000000001</v>
      </c>
      <c r="K880" s="8">
        <v>0.12280000000000001</v>
      </c>
      <c r="L880" s="8">
        <v>5.2600000000000001E-2</v>
      </c>
      <c r="M880" s="8">
        <v>0.87719999999999998</v>
      </c>
      <c r="N880" s="8">
        <v>0.43859999999999999</v>
      </c>
      <c r="O880" s="8">
        <v>0.1053</v>
      </c>
      <c r="P880" s="8">
        <v>0.6754</v>
      </c>
      <c r="Q880" s="8">
        <v>0.55259999999999998</v>
      </c>
      <c r="R880" s="8">
        <v>1.7500000000000002E-2</v>
      </c>
      <c r="S880" s="8">
        <v>0.36840000000000001</v>
      </c>
      <c r="T880" s="8">
        <v>6.1400000000000003E-2</v>
      </c>
      <c r="U880" s="8">
        <v>2.63E-2</v>
      </c>
      <c r="V880" s="8">
        <v>2.63E-2</v>
      </c>
      <c r="W880" s="8">
        <v>0.1842</v>
      </c>
      <c r="X880" s="8">
        <v>0.84209999999999996</v>
      </c>
      <c r="Y880" s="8">
        <v>0.13159999999999999</v>
      </c>
    </row>
    <row r="881" spans="1:25" x14ac:dyDescent="0.3">
      <c r="A881" s="22" t="s">
        <v>68</v>
      </c>
      <c r="B881">
        <v>16</v>
      </c>
      <c r="C881" t="s">
        <v>64</v>
      </c>
      <c r="D881">
        <v>130</v>
      </c>
      <c r="F881" s="8">
        <v>6.25E-2</v>
      </c>
      <c r="G881" s="8">
        <v>6.25E-2</v>
      </c>
      <c r="H881" s="8">
        <v>0.125</v>
      </c>
      <c r="I881" s="8">
        <v>6.25E-2</v>
      </c>
      <c r="J881" s="8">
        <v>0.5</v>
      </c>
      <c r="K881" s="8">
        <v>0.125</v>
      </c>
      <c r="L881" s="8">
        <v>6.25E-2</v>
      </c>
      <c r="M881" s="8">
        <v>0.875</v>
      </c>
      <c r="N881" s="8">
        <v>0.1875</v>
      </c>
      <c r="O881" s="8">
        <v>6.25E-2</v>
      </c>
      <c r="P881" s="8">
        <v>0.6875</v>
      </c>
      <c r="Q881" s="8">
        <v>0.625</v>
      </c>
      <c r="S881" s="8">
        <v>0.5625</v>
      </c>
      <c r="X881" s="8">
        <v>0.8125</v>
      </c>
      <c r="Y881" s="8">
        <v>0.25</v>
      </c>
    </row>
    <row r="883" spans="1:25" ht="43.2" x14ac:dyDescent="0.3">
      <c r="A883" s="22" t="s">
        <v>272</v>
      </c>
    </row>
    <row r="884" spans="1:25" x14ac:dyDescent="0.3">
      <c r="A884" s="22" t="s">
        <v>66</v>
      </c>
      <c r="B884" t="s">
        <v>62</v>
      </c>
      <c r="C884" t="s">
        <v>57</v>
      </c>
      <c r="D884" t="s">
        <v>63</v>
      </c>
      <c r="E884" t="s">
        <v>226</v>
      </c>
      <c r="F884" t="s">
        <v>227</v>
      </c>
      <c r="G884" t="s">
        <v>228</v>
      </c>
      <c r="H884" t="s">
        <v>229</v>
      </c>
      <c r="I884" t="s">
        <v>154</v>
      </c>
      <c r="J884" t="s">
        <v>230</v>
      </c>
      <c r="K884" t="s">
        <v>231</v>
      </c>
      <c r="L884" t="s">
        <v>232</v>
      </c>
      <c r="M884" t="s">
        <v>233</v>
      </c>
      <c r="N884" t="s">
        <v>234</v>
      </c>
      <c r="O884" t="s">
        <v>235</v>
      </c>
      <c r="P884" t="s">
        <v>236</v>
      </c>
      <c r="Q884" t="s">
        <v>237</v>
      </c>
      <c r="R884" t="s">
        <v>136</v>
      </c>
      <c r="S884" t="s">
        <v>238</v>
      </c>
      <c r="T884" t="s">
        <v>240</v>
      </c>
      <c r="U884" t="s">
        <v>241</v>
      </c>
      <c r="V884" t="s">
        <v>242</v>
      </c>
      <c r="W884" t="s">
        <v>243</v>
      </c>
      <c r="X884" t="s">
        <v>244</v>
      </c>
      <c r="Y884" t="s">
        <v>245</v>
      </c>
    </row>
    <row r="885" spans="1:25" x14ac:dyDescent="0.3">
      <c r="A885" s="22" t="s">
        <v>81</v>
      </c>
      <c r="B885">
        <v>32</v>
      </c>
      <c r="C885" t="s">
        <v>64</v>
      </c>
      <c r="D885">
        <v>130</v>
      </c>
      <c r="G885" s="8">
        <v>9.3799999999999994E-2</v>
      </c>
      <c r="H885" s="8">
        <v>0.21879999999999999</v>
      </c>
      <c r="J885" s="8">
        <v>0.5</v>
      </c>
      <c r="K885" s="8">
        <v>0.15620000000000001</v>
      </c>
      <c r="L885" s="8">
        <v>3.1199999999999999E-2</v>
      </c>
      <c r="M885" s="8">
        <v>0.84379999999999999</v>
      </c>
      <c r="N885" s="8">
        <v>0.46879999999999999</v>
      </c>
      <c r="O885" s="8">
        <v>0.15620000000000001</v>
      </c>
      <c r="P885" s="8">
        <v>0.75</v>
      </c>
      <c r="Q885" s="8">
        <v>0.5625</v>
      </c>
      <c r="S885" s="8">
        <v>0.34379999999999999</v>
      </c>
      <c r="T885" s="8">
        <v>3.1199999999999999E-2</v>
      </c>
      <c r="U885" s="8">
        <v>6.25E-2</v>
      </c>
      <c r="W885" s="8">
        <v>0.21879999999999999</v>
      </c>
      <c r="X885" s="8">
        <v>0.90620000000000001</v>
      </c>
      <c r="Y885" s="8">
        <v>0.21879999999999999</v>
      </c>
    </row>
    <row r="886" spans="1:25" x14ac:dyDescent="0.3">
      <c r="A886" s="22" t="s">
        <v>82</v>
      </c>
      <c r="B886">
        <v>34</v>
      </c>
      <c r="C886" t="s">
        <v>64</v>
      </c>
      <c r="D886">
        <v>130</v>
      </c>
      <c r="E886" s="8">
        <v>2.9399999999999999E-2</v>
      </c>
      <c r="G886" s="8">
        <v>8.8200000000000001E-2</v>
      </c>
      <c r="H886" s="8">
        <v>0.23530000000000001</v>
      </c>
      <c r="I886" s="8">
        <v>2.9399999999999999E-2</v>
      </c>
      <c r="J886" s="8">
        <v>0.26469999999999999</v>
      </c>
      <c r="K886" s="8">
        <v>8.8200000000000001E-2</v>
      </c>
      <c r="L886" s="8">
        <v>5.8799999999999998E-2</v>
      </c>
      <c r="M886" s="8">
        <v>0.79410000000000003</v>
      </c>
      <c r="N886" s="8">
        <v>0.35289999999999999</v>
      </c>
      <c r="O886" s="8">
        <v>5.8799999999999998E-2</v>
      </c>
      <c r="P886" s="8">
        <v>0.61760000000000004</v>
      </c>
      <c r="Q886" s="8">
        <v>0.5</v>
      </c>
      <c r="R886" s="8">
        <v>2.9399999999999999E-2</v>
      </c>
      <c r="S886" s="8">
        <v>0.35289999999999999</v>
      </c>
      <c r="W886" s="8">
        <v>0.17649999999999999</v>
      </c>
      <c r="X886" s="8">
        <v>0.79410000000000003</v>
      </c>
      <c r="Y886" s="8">
        <v>0.1176</v>
      </c>
    </row>
    <row r="887" spans="1:25" x14ac:dyDescent="0.3">
      <c r="A887" s="22" t="s">
        <v>83</v>
      </c>
      <c r="B887">
        <v>33</v>
      </c>
      <c r="C887" t="s">
        <v>64</v>
      </c>
      <c r="D887">
        <v>130</v>
      </c>
      <c r="E887" s="8">
        <v>0.18179999999999999</v>
      </c>
      <c r="F887" s="8">
        <v>6.0600000000000001E-2</v>
      </c>
      <c r="G887" s="8">
        <v>9.0899999999999995E-2</v>
      </c>
      <c r="H887" s="8">
        <v>0.18179999999999999</v>
      </c>
      <c r="I887" s="8">
        <v>3.0300000000000001E-2</v>
      </c>
      <c r="J887" s="8">
        <v>0.48480000000000001</v>
      </c>
      <c r="K887" s="8">
        <v>0.21210000000000001</v>
      </c>
      <c r="L887" s="8">
        <v>9.0899999999999995E-2</v>
      </c>
      <c r="M887" s="8">
        <v>0.87880000000000003</v>
      </c>
      <c r="N887" s="8">
        <v>0.48480000000000001</v>
      </c>
      <c r="O887" s="8">
        <v>0.1515</v>
      </c>
      <c r="P887" s="8">
        <v>0.66669999999999996</v>
      </c>
      <c r="Q887" s="8">
        <v>0.57579999999999998</v>
      </c>
      <c r="S887" s="8">
        <v>0.54549999999999998</v>
      </c>
      <c r="T887" s="8">
        <v>0.1515</v>
      </c>
      <c r="V887" s="8">
        <v>3.0300000000000001E-2</v>
      </c>
      <c r="W887" s="8">
        <v>0.1515</v>
      </c>
      <c r="X887" s="8">
        <v>0.84850000000000003</v>
      </c>
      <c r="Y887" s="8">
        <v>9.0899999999999995E-2</v>
      </c>
    </row>
    <row r="888" spans="1:25" x14ac:dyDescent="0.3">
      <c r="A888" s="22" t="s">
        <v>84</v>
      </c>
      <c r="B888">
        <v>31</v>
      </c>
      <c r="C888" t="s">
        <v>64</v>
      </c>
      <c r="D888">
        <v>130</v>
      </c>
      <c r="E888" s="8">
        <v>3.2300000000000002E-2</v>
      </c>
      <c r="G888" s="8">
        <v>6.4500000000000002E-2</v>
      </c>
      <c r="H888" s="8">
        <v>0.129</v>
      </c>
      <c r="J888" s="8">
        <v>0.3548</v>
      </c>
      <c r="K888" s="8">
        <v>3.2300000000000002E-2</v>
      </c>
      <c r="L888" s="8">
        <v>3.2300000000000002E-2</v>
      </c>
      <c r="M888" s="8">
        <v>1</v>
      </c>
      <c r="N888" s="8">
        <v>0.3226</v>
      </c>
      <c r="O888" s="8">
        <v>3.2300000000000002E-2</v>
      </c>
      <c r="P888" s="8">
        <v>0.6774</v>
      </c>
      <c r="Q888" s="8">
        <v>0.6129</v>
      </c>
      <c r="R888" s="8">
        <v>3.2300000000000002E-2</v>
      </c>
      <c r="S888" s="8">
        <v>0.3226</v>
      </c>
      <c r="T888" s="8">
        <v>3.2300000000000002E-2</v>
      </c>
      <c r="U888" s="8">
        <v>3.2300000000000002E-2</v>
      </c>
      <c r="V888" s="8">
        <v>6.4500000000000002E-2</v>
      </c>
      <c r="W888" s="8">
        <v>9.6799999999999997E-2</v>
      </c>
      <c r="X888" s="8">
        <v>0.80649999999999999</v>
      </c>
      <c r="Y888" s="8">
        <v>0.1613</v>
      </c>
    </row>
    <row r="890" spans="1:25" ht="43.2" x14ac:dyDescent="0.3">
      <c r="A890" s="22" t="s">
        <v>273</v>
      </c>
    </row>
    <row r="891" spans="1:25" x14ac:dyDescent="0.3">
      <c r="A891" s="22" t="s">
        <v>62</v>
      </c>
      <c r="B891" t="s">
        <v>57</v>
      </c>
      <c r="C891" t="s">
        <v>63</v>
      </c>
      <c r="D891" t="s">
        <v>274</v>
      </c>
      <c r="E891" t="s">
        <v>275</v>
      </c>
      <c r="F891" t="s">
        <v>276</v>
      </c>
      <c r="G891" t="s">
        <v>277</v>
      </c>
      <c r="H891" t="s">
        <v>278</v>
      </c>
      <c r="I891" t="s">
        <v>279</v>
      </c>
      <c r="J891" t="s">
        <v>280</v>
      </c>
    </row>
    <row r="892" spans="1:25" x14ac:dyDescent="0.3">
      <c r="A892" s="22">
        <v>195</v>
      </c>
      <c r="B892" t="s">
        <v>64</v>
      </c>
      <c r="C892">
        <v>195</v>
      </c>
      <c r="D892" s="8">
        <v>0.2051</v>
      </c>
      <c r="E892" s="8">
        <v>8.72E-2</v>
      </c>
      <c r="F892" s="8">
        <v>1.54E-2</v>
      </c>
      <c r="G892" s="8">
        <v>1.54E-2</v>
      </c>
      <c r="H892" s="8">
        <v>0.33850000000000002</v>
      </c>
      <c r="I892" s="8">
        <v>0.1026</v>
      </c>
      <c r="J892" s="8">
        <v>0.2359</v>
      </c>
    </row>
    <row r="894" spans="1:25" ht="57.6" x14ac:dyDescent="0.3">
      <c r="A894" s="22" t="s">
        <v>281</v>
      </c>
    </row>
    <row r="895" spans="1:25" x14ac:dyDescent="0.3">
      <c r="A895" s="22" t="s">
        <v>66</v>
      </c>
      <c r="B895" t="s">
        <v>62</v>
      </c>
      <c r="C895" t="s">
        <v>57</v>
      </c>
      <c r="D895" t="s">
        <v>63</v>
      </c>
      <c r="E895" t="s">
        <v>274</v>
      </c>
      <c r="F895" t="s">
        <v>275</v>
      </c>
      <c r="G895" t="s">
        <v>276</v>
      </c>
      <c r="H895" t="s">
        <v>277</v>
      </c>
      <c r="I895" t="s">
        <v>278</v>
      </c>
      <c r="J895" t="s">
        <v>279</v>
      </c>
      <c r="K895" t="s">
        <v>280</v>
      </c>
    </row>
    <row r="896" spans="1:25" x14ac:dyDescent="0.3">
      <c r="A896" s="22" t="s">
        <v>67</v>
      </c>
      <c r="B896">
        <v>186</v>
      </c>
      <c r="C896" t="s">
        <v>64</v>
      </c>
      <c r="D896">
        <v>195</v>
      </c>
      <c r="E896" s="8">
        <v>0.20430000000000001</v>
      </c>
      <c r="F896" s="8">
        <v>9.1399999999999995E-2</v>
      </c>
      <c r="G896" s="8">
        <v>1.61E-2</v>
      </c>
      <c r="H896" s="8">
        <v>1.61E-2</v>
      </c>
      <c r="I896" s="8">
        <v>0.3387</v>
      </c>
      <c r="J896" s="8">
        <v>0.1022</v>
      </c>
      <c r="K896" s="8">
        <v>0.23119999999999999</v>
      </c>
    </row>
    <row r="897" spans="1:11" x14ac:dyDescent="0.3">
      <c r="A897" s="22" t="s">
        <v>68</v>
      </c>
      <c r="B897">
        <v>9</v>
      </c>
      <c r="C897" t="s">
        <v>64</v>
      </c>
      <c r="D897">
        <v>195</v>
      </c>
      <c r="E897" s="8">
        <v>0.22220000000000001</v>
      </c>
      <c r="I897" s="8">
        <v>0.33329999999999999</v>
      </c>
      <c r="J897" s="8">
        <v>0.1111</v>
      </c>
      <c r="K897" s="8">
        <v>0.33329999999999999</v>
      </c>
    </row>
    <row r="899" spans="1:11" x14ac:dyDescent="0.3">
      <c r="A899"/>
    </row>
    <row r="900" spans="1:11" x14ac:dyDescent="0.3">
      <c r="A900"/>
    </row>
    <row r="901" spans="1:11" x14ac:dyDescent="0.3">
      <c r="A901"/>
    </row>
    <row r="903" spans="1:11" ht="57.6" x14ac:dyDescent="0.3">
      <c r="A903" s="22" t="s">
        <v>282</v>
      </c>
    </row>
    <row r="904" spans="1:11" x14ac:dyDescent="0.3">
      <c r="A904" s="22" t="s">
        <v>66</v>
      </c>
      <c r="B904" t="s">
        <v>62</v>
      </c>
      <c r="C904" t="s">
        <v>57</v>
      </c>
      <c r="D904" t="s">
        <v>63</v>
      </c>
      <c r="E904" t="s">
        <v>274</v>
      </c>
      <c r="F904" t="s">
        <v>275</v>
      </c>
      <c r="G904" t="s">
        <v>276</v>
      </c>
      <c r="H904" t="s">
        <v>277</v>
      </c>
      <c r="I904" t="s">
        <v>278</v>
      </c>
      <c r="J904" t="s">
        <v>279</v>
      </c>
      <c r="K904" t="s">
        <v>280</v>
      </c>
    </row>
    <row r="905" spans="1:11" x14ac:dyDescent="0.3">
      <c r="A905" s="22" t="s">
        <v>67</v>
      </c>
      <c r="B905">
        <v>186</v>
      </c>
      <c r="C905" t="s">
        <v>64</v>
      </c>
      <c r="D905">
        <v>195</v>
      </c>
      <c r="E905" s="8">
        <v>0.2097</v>
      </c>
      <c r="F905" s="8">
        <v>9.1399999999999995E-2</v>
      </c>
      <c r="G905" s="8">
        <v>1.61E-2</v>
      </c>
      <c r="H905" s="8">
        <v>1.61E-2</v>
      </c>
      <c r="I905" s="8">
        <v>0.3387</v>
      </c>
      <c r="J905" s="8">
        <v>9.1399999999999995E-2</v>
      </c>
      <c r="K905" s="8">
        <v>0.2366</v>
      </c>
    </row>
    <row r="906" spans="1:11" x14ac:dyDescent="0.3">
      <c r="A906" s="22" t="s">
        <v>68</v>
      </c>
      <c r="B906">
        <v>9</v>
      </c>
      <c r="C906" t="s">
        <v>64</v>
      </c>
      <c r="D906">
        <v>195</v>
      </c>
      <c r="E906" s="8">
        <v>0.1111</v>
      </c>
      <c r="I906" s="8">
        <v>0.33329999999999999</v>
      </c>
      <c r="J906" s="8">
        <v>0.33329999999999999</v>
      </c>
      <c r="K906" s="8">
        <v>0.22220000000000001</v>
      </c>
    </row>
    <row r="908" spans="1:11" ht="57.6" x14ac:dyDescent="0.3">
      <c r="A908" s="22" t="s">
        <v>283</v>
      </c>
    </row>
    <row r="909" spans="1:11" x14ac:dyDescent="0.3">
      <c r="A909" s="22" t="s">
        <v>66</v>
      </c>
      <c r="B909" t="s">
        <v>62</v>
      </c>
      <c r="C909" t="s">
        <v>57</v>
      </c>
      <c r="D909" t="s">
        <v>63</v>
      </c>
      <c r="E909" t="s">
        <v>274</v>
      </c>
      <c r="F909" t="s">
        <v>275</v>
      </c>
      <c r="G909" t="s">
        <v>276</v>
      </c>
      <c r="H909" t="s">
        <v>277</v>
      </c>
      <c r="I909" t="s">
        <v>278</v>
      </c>
      <c r="J909" t="s">
        <v>279</v>
      </c>
      <c r="K909" t="s">
        <v>280</v>
      </c>
    </row>
    <row r="910" spans="1:11" x14ac:dyDescent="0.3">
      <c r="A910" s="22" t="s">
        <v>67</v>
      </c>
      <c r="B910">
        <v>194</v>
      </c>
      <c r="C910" t="s">
        <v>64</v>
      </c>
      <c r="D910">
        <v>195</v>
      </c>
      <c r="E910" s="8">
        <v>0.20619999999999999</v>
      </c>
      <c r="F910" s="8">
        <v>8.7599999999999997E-2</v>
      </c>
      <c r="G910" s="8">
        <v>1.55E-2</v>
      </c>
      <c r="H910" s="8">
        <v>1.55E-2</v>
      </c>
      <c r="I910" s="8">
        <v>0.33510000000000001</v>
      </c>
      <c r="J910" s="8">
        <v>0.1031</v>
      </c>
      <c r="K910" s="8">
        <v>0.23710000000000001</v>
      </c>
    </row>
    <row r="911" spans="1:11" x14ac:dyDescent="0.3">
      <c r="A911" s="22" t="s">
        <v>68</v>
      </c>
      <c r="B911">
        <v>1</v>
      </c>
      <c r="C911" t="s">
        <v>64</v>
      </c>
      <c r="D911">
        <v>195</v>
      </c>
      <c r="I911" s="8">
        <v>1</v>
      </c>
    </row>
    <row r="913" spans="1:11" ht="57.6" x14ac:dyDescent="0.3">
      <c r="A913" s="22" t="s">
        <v>284</v>
      </c>
    </row>
    <row r="914" spans="1:11" x14ac:dyDescent="0.3">
      <c r="A914" s="22" t="s">
        <v>66</v>
      </c>
      <c r="B914" t="s">
        <v>62</v>
      </c>
      <c r="C914" t="s">
        <v>57</v>
      </c>
      <c r="D914" t="s">
        <v>63</v>
      </c>
      <c r="E914" t="s">
        <v>274</v>
      </c>
      <c r="F914" t="s">
        <v>275</v>
      </c>
      <c r="G914" t="s">
        <v>276</v>
      </c>
      <c r="H914" t="s">
        <v>277</v>
      </c>
      <c r="I914" t="s">
        <v>278</v>
      </c>
      <c r="J914" t="s">
        <v>279</v>
      </c>
      <c r="K914" t="s">
        <v>280</v>
      </c>
    </row>
    <row r="915" spans="1:11" x14ac:dyDescent="0.3">
      <c r="A915" s="22" t="s">
        <v>67</v>
      </c>
      <c r="B915">
        <v>182</v>
      </c>
      <c r="C915" t="s">
        <v>64</v>
      </c>
      <c r="D915">
        <v>195</v>
      </c>
      <c r="E915" s="8">
        <v>0.21429999999999999</v>
      </c>
      <c r="F915" s="8">
        <v>9.3399999999999997E-2</v>
      </c>
      <c r="G915" s="8">
        <v>1.0999999999999999E-2</v>
      </c>
      <c r="H915" s="8">
        <v>1.0999999999999999E-2</v>
      </c>
      <c r="I915" s="8">
        <v>0.3407</v>
      </c>
      <c r="J915" s="8">
        <v>9.3399999999999997E-2</v>
      </c>
      <c r="K915" s="8">
        <v>0.23630000000000001</v>
      </c>
    </row>
    <row r="916" spans="1:11" x14ac:dyDescent="0.3">
      <c r="A916" s="22" t="s">
        <v>68</v>
      </c>
      <c r="B916">
        <v>13</v>
      </c>
      <c r="C916" t="s">
        <v>64</v>
      </c>
      <c r="D916">
        <v>195</v>
      </c>
      <c r="E916" s="8">
        <v>7.6899999999999996E-2</v>
      </c>
      <c r="G916" s="8">
        <v>7.6899999999999996E-2</v>
      </c>
      <c r="H916" s="8">
        <v>7.6899999999999996E-2</v>
      </c>
      <c r="I916" s="8">
        <v>0.30769999999999997</v>
      </c>
      <c r="J916" s="8">
        <v>0.23080000000000001</v>
      </c>
      <c r="K916" s="8">
        <v>0.23080000000000001</v>
      </c>
    </row>
    <row r="918" spans="1:11" ht="57.6" x14ac:dyDescent="0.3">
      <c r="A918" s="22" t="s">
        <v>285</v>
      </c>
    </row>
    <row r="919" spans="1:11" x14ac:dyDescent="0.3">
      <c r="A919" s="22" t="s">
        <v>66</v>
      </c>
      <c r="B919" t="s">
        <v>62</v>
      </c>
      <c r="C919" t="s">
        <v>57</v>
      </c>
      <c r="D919" t="s">
        <v>63</v>
      </c>
      <c r="E919" t="s">
        <v>274</v>
      </c>
      <c r="F919" t="s">
        <v>275</v>
      </c>
      <c r="G919" t="s">
        <v>276</v>
      </c>
      <c r="H919" t="s">
        <v>277</v>
      </c>
      <c r="I919" t="s">
        <v>278</v>
      </c>
      <c r="J919" t="s">
        <v>279</v>
      </c>
      <c r="K919" t="s">
        <v>280</v>
      </c>
    </row>
    <row r="920" spans="1:11" x14ac:dyDescent="0.3">
      <c r="A920" s="22" t="s">
        <v>67</v>
      </c>
      <c r="B920">
        <v>5</v>
      </c>
      <c r="C920" t="s">
        <v>64</v>
      </c>
      <c r="D920">
        <v>195</v>
      </c>
      <c r="E920" s="8">
        <v>0.4</v>
      </c>
      <c r="I920" s="8">
        <v>0.6</v>
      </c>
    </row>
    <row r="921" spans="1:11" x14ac:dyDescent="0.3">
      <c r="A921" s="22" t="s">
        <v>68</v>
      </c>
      <c r="B921">
        <v>190</v>
      </c>
      <c r="C921" t="s">
        <v>64</v>
      </c>
      <c r="D921">
        <v>195</v>
      </c>
      <c r="E921" s="8">
        <v>0.2</v>
      </c>
      <c r="F921" s="8">
        <v>8.9499999999999996E-2</v>
      </c>
      <c r="G921" s="8">
        <v>1.5800000000000002E-2</v>
      </c>
      <c r="H921" s="8">
        <v>1.5800000000000002E-2</v>
      </c>
      <c r="I921" s="8">
        <v>0.33160000000000001</v>
      </c>
      <c r="J921" s="8">
        <v>0.1053</v>
      </c>
      <c r="K921" s="8">
        <v>0.24210000000000001</v>
      </c>
    </row>
    <row r="923" spans="1:11" ht="57.6" x14ac:dyDescent="0.3">
      <c r="A923" s="22" t="s">
        <v>286</v>
      </c>
    </row>
    <row r="924" spans="1:11" x14ac:dyDescent="0.3">
      <c r="A924" s="22" t="s">
        <v>66</v>
      </c>
      <c r="B924" t="s">
        <v>62</v>
      </c>
      <c r="C924" t="s">
        <v>57</v>
      </c>
      <c r="D924" t="s">
        <v>63</v>
      </c>
      <c r="E924" t="s">
        <v>274</v>
      </c>
      <c r="F924" t="s">
        <v>275</v>
      </c>
      <c r="G924" t="s">
        <v>276</v>
      </c>
      <c r="H924" t="s">
        <v>277</v>
      </c>
      <c r="I924" t="s">
        <v>278</v>
      </c>
      <c r="J924" t="s">
        <v>279</v>
      </c>
      <c r="K924" t="s">
        <v>280</v>
      </c>
    </row>
    <row r="925" spans="1:11" x14ac:dyDescent="0.3">
      <c r="A925" s="22" t="s">
        <v>67</v>
      </c>
      <c r="B925">
        <v>155</v>
      </c>
      <c r="C925" t="s">
        <v>64</v>
      </c>
      <c r="D925">
        <v>195</v>
      </c>
      <c r="E925" s="8">
        <v>0.21940000000000001</v>
      </c>
      <c r="F925" s="8">
        <v>6.4500000000000002E-2</v>
      </c>
      <c r="G925" s="8">
        <v>1.29E-2</v>
      </c>
      <c r="H925" s="8">
        <v>1.29E-2</v>
      </c>
      <c r="I925" s="8">
        <v>0.33550000000000002</v>
      </c>
      <c r="J925" s="8">
        <v>0.1032</v>
      </c>
      <c r="K925" s="8">
        <v>0.25159999999999999</v>
      </c>
    </row>
    <row r="926" spans="1:11" x14ac:dyDescent="0.3">
      <c r="A926" s="22" t="s">
        <v>68</v>
      </c>
      <c r="B926">
        <v>40</v>
      </c>
      <c r="C926" t="s">
        <v>64</v>
      </c>
      <c r="D926">
        <v>195</v>
      </c>
      <c r="E926" s="8">
        <v>0.15</v>
      </c>
      <c r="F926" s="8">
        <v>0.17499999999999999</v>
      </c>
      <c r="G926" s="8">
        <v>2.5000000000000001E-2</v>
      </c>
      <c r="H926" s="8">
        <v>2.5000000000000001E-2</v>
      </c>
      <c r="I926" s="8">
        <v>0.35</v>
      </c>
      <c r="J926" s="8">
        <v>0.1</v>
      </c>
      <c r="K926" s="8">
        <v>0.17499999999999999</v>
      </c>
    </row>
    <row r="928" spans="1:11" ht="57.6" x14ac:dyDescent="0.3">
      <c r="A928" s="22" t="s">
        <v>287</v>
      </c>
    </row>
    <row r="929" spans="1:11" x14ac:dyDescent="0.3">
      <c r="A929" s="22" t="s">
        <v>66</v>
      </c>
      <c r="B929" t="s">
        <v>62</v>
      </c>
      <c r="C929" t="s">
        <v>57</v>
      </c>
      <c r="D929" t="s">
        <v>63</v>
      </c>
      <c r="E929" t="s">
        <v>274</v>
      </c>
      <c r="F929" t="s">
        <v>275</v>
      </c>
      <c r="G929" t="s">
        <v>276</v>
      </c>
      <c r="H929" t="s">
        <v>277</v>
      </c>
      <c r="I929" t="s">
        <v>278</v>
      </c>
      <c r="J929" t="s">
        <v>279</v>
      </c>
      <c r="K929" t="s">
        <v>280</v>
      </c>
    </row>
    <row r="930" spans="1:11" x14ac:dyDescent="0.3">
      <c r="A930" s="22" t="s">
        <v>67</v>
      </c>
      <c r="B930">
        <v>152</v>
      </c>
      <c r="C930" t="s">
        <v>64</v>
      </c>
      <c r="D930">
        <v>195</v>
      </c>
      <c r="E930" s="8">
        <v>0.2039</v>
      </c>
      <c r="F930" s="8">
        <v>7.8899999999999998E-2</v>
      </c>
      <c r="G930" s="8">
        <v>1.9699999999999999E-2</v>
      </c>
      <c r="H930" s="8">
        <v>6.6E-3</v>
      </c>
      <c r="I930" s="8">
        <v>0.34210000000000002</v>
      </c>
      <c r="J930" s="8">
        <v>0.1053</v>
      </c>
      <c r="K930" s="8">
        <v>0.24340000000000001</v>
      </c>
    </row>
    <row r="931" spans="1:11" x14ac:dyDescent="0.3">
      <c r="A931" s="22" t="s">
        <v>68</v>
      </c>
      <c r="B931">
        <v>43</v>
      </c>
      <c r="C931" t="s">
        <v>64</v>
      </c>
      <c r="D931">
        <v>195</v>
      </c>
      <c r="E931" s="8">
        <v>0.20930000000000001</v>
      </c>
      <c r="F931" s="8">
        <v>0.1163</v>
      </c>
      <c r="H931" s="8">
        <v>4.65E-2</v>
      </c>
      <c r="I931" s="8">
        <v>0.3256</v>
      </c>
      <c r="J931" s="8">
        <v>9.2999999999999999E-2</v>
      </c>
      <c r="K931" s="8">
        <v>0.20930000000000001</v>
      </c>
    </row>
    <row r="933" spans="1:11" ht="57.6" x14ac:dyDescent="0.3">
      <c r="A933" s="22" t="s">
        <v>288</v>
      </c>
    </row>
    <row r="934" spans="1:11" x14ac:dyDescent="0.3">
      <c r="A934" s="22" t="s">
        <v>66</v>
      </c>
      <c r="B934" t="s">
        <v>62</v>
      </c>
      <c r="C934" t="s">
        <v>57</v>
      </c>
      <c r="D934" t="s">
        <v>63</v>
      </c>
      <c r="E934" t="s">
        <v>274</v>
      </c>
      <c r="F934" t="s">
        <v>275</v>
      </c>
      <c r="G934" t="s">
        <v>276</v>
      </c>
      <c r="H934" t="s">
        <v>277</v>
      </c>
      <c r="I934" t="s">
        <v>278</v>
      </c>
      <c r="J934" t="s">
        <v>279</v>
      </c>
      <c r="K934" t="s">
        <v>280</v>
      </c>
    </row>
    <row r="935" spans="1:11" x14ac:dyDescent="0.3">
      <c r="A935" s="22" t="s">
        <v>67</v>
      </c>
      <c r="B935">
        <v>147</v>
      </c>
      <c r="C935" t="s">
        <v>64</v>
      </c>
      <c r="D935">
        <v>195</v>
      </c>
      <c r="E935" s="8">
        <v>0.1769</v>
      </c>
      <c r="F935" s="8">
        <v>0.10199999999999999</v>
      </c>
      <c r="G935" s="8">
        <v>2.0400000000000001E-2</v>
      </c>
      <c r="H935" s="8">
        <v>2.0400000000000001E-2</v>
      </c>
      <c r="I935" s="8">
        <v>0.31969999999999998</v>
      </c>
      <c r="J935" s="8">
        <v>0.11559999999999999</v>
      </c>
      <c r="K935" s="8">
        <v>0.24490000000000001</v>
      </c>
    </row>
    <row r="936" spans="1:11" x14ac:dyDescent="0.3">
      <c r="A936" s="22" t="s">
        <v>68</v>
      </c>
      <c r="B936">
        <v>48</v>
      </c>
      <c r="C936" t="s">
        <v>64</v>
      </c>
      <c r="D936">
        <v>195</v>
      </c>
      <c r="E936" s="8">
        <v>0.29170000000000001</v>
      </c>
      <c r="F936" s="8">
        <v>4.1700000000000001E-2</v>
      </c>
      <c r="I936" s="8">
        <v>0.39579999999999999</v>
      </c>
      <c r="J936" s="8">
        <v>6.25E-2</v>
      </c>
      <c r="K936" s="8">
        <v>0.20830000000000001</v>
      </c>
    </row>
    <row r="938" spans="1:11" ht="72" x14ac:dyDescent="0.3">
      <c r="A938" s="22" t="s">
        <v>289</v>
      </c>
    </row>
    <row r="939" spans="1:11" x14ac:dyDescent="0.3">
      <c r="A939" s="22" t="s">
        <v>66</v>
      </c>
      <c r="B939" t="s">
        <v>62</v>
      </c>
      <c r="C939" t="s">
        <v>57</v>
      </c>
      <c r="D939" t="s">
        <v>63</v>
      </c>
      <c r="E939" t="s">
        <v>274</v>
      </c>
      <c r="F939" t="s">
        <v>275</v>
      </c>
      <c r="G939" t="s">
        <v>276</v>
      </c>
      <c r="H939" t="s">
        <v>277</v>
      </c>
      <c r="I939" t="s">
        <v>278</v>
      </c>
      <c r="J939" t="s">
        <v>279</v>
      </c>
      <c r="K939" t="s">
        <v>280</v>
      </c>
    </row>
    <row r="940" spans="1:11" x14ac:dyDescent="0.3">
      <c r="A940" s="22" t="s">
        <v>67</v>
      </c>
      <c r="B940">
        <v>182</v>
      </c>
      <c r="C940" t="s">
        <v>64</v>
      </c>
      <c r="D940">
        <v>195</v>
      </c>
      <c r="E940" s="8">
        <v>0.18679999999999999</v>
      </c>
      <c r="F940" s="8">
        <v>9.3399999999999997E-2</v>
      </c>
      <c r="G940" s="8">
        <v>1.6500000000000001E-2</v>
      </c>
      <c r="H940" s="8">
        <v>1.6500000000000001E-2</v>
      </c>
      <c r="I940" s="8">
        <v>0.3407</v>
      </c>
      <c r="J940" s="8">
        <v>0.1099</v>
      </c>
      <c r="K940" s="8">
        <v>0.23630000000000001</v>
      </c>
    </row>
    <row r="941" spans="1:11" x14ac:dyDescent="0.3">
      <c r="A941" s="22" t="s">
        <v>68</v>
      </c>
      <c r="B941">
        <v>13</v>
      </c>
      <c r="C941" t="s">
        <v>64</v>
      </c>
      <c r="D941">
        <v>195</v>
      </c>
      <c r="E941" s="8">
        <v>0.46150000000000002</v>
      </c>
      <c r="I941" s="8">
        <v>0.30769999999999997</v>
      </c>
      <c r="K941" s="8">
        <v>0.23080000000000001</v>
      </c>
    </row>
    <row r="943" spans="1:11" ht="72" x14ac:dyDescent="0.3">
      <c r="A943" s="22" t="s">
        <v>290</v>
      </c>
    </row>
    <row r="944" spans="1:11" x14ac:dyDescent="0.3">
      <c r="A944" s="22" t="s">
        <v>66</v>
      </c>
      <c r="B944" t="s">
        <v>62</v>
      </c>
      <c r="C944" t="s">
        <v>57</v>
      </c>
      <c r="D944" t="s">
        <v>63</v>
      </c>
      <c r="E944" t="s">
        <v>274</v>
      </c>
      <c r="F944" t="s">
        <v>275</v>
      </c>
      <c r="G944" t="s">
        <v>276</v>
      </c>
      <c r="H944" t="s">
        <v>277</v>
      </c>
      <c r="I944" t="s">
        <v>278</v>
      </c>
      <c r="J944" t="s">
        <v>279</v>
      </c>
      <c r="K944" t="s">
        <v>280</v>
      </c>
    </row>
    <row r="945" spans="1:11" x14ac:dyDescent="0.3">
      <c r="A945" s="22" t="s">
        <v>67</v>
      </c>
      <c r="B945">
        <v>195</v>
      </c>
      <c r="C945" t="s">
        <v>64</v>
      </c>
      <c r="D945">
        <v>195</v>
      </c>
      <c r="E945" s="8">
        <v>0.2051</v>
      </c>
      <c r="F945" s="8">
        <v>8.72E-2</v>
      </c>
      <c r="G945" s="8">
        <v>1.54E-2</v>
      </c>
      <c r="H945" s="8">
        <v>1.54E-2</v>
      </c>
      <c r="I945" s="8">
        <v>0.33850000000000002</v>
      </c>
      <c r="J945" s="8">
        <v>0.1026</v>
      </c>
      <c r="K945" s="8">
        <v>0.2359</v>
      </c>
    </row>
    <row r="947" spans="1:11" ht="57.6" x14ac:dyDescent="0.3">
      <c r="A947" s="22" t="s">
        <v>291</v>
      </c>
    </row>
    <row r="948" spans="1:11" x14ac:dyDescent="0.3">
      <c r="A948" s="22" t="s">
        <v>66</v>
      </c>
      <c r="B948" t="s">
        <v>62</v>
      </c>
      <c r="C948" t="s">
        <v>57</v>
      </c>
      <c r="D948" t="s">
        <v>63</v>
      </c>
      <c r="E948" t="s">
        <v>274</v>
      </c>
      <c r="F948" t="s">
        <v>275</v>
      </c>
      <c r="G948" t="s">
        <v>276</v>
      </c>
      <c r="H948" t="s">
        <v>277</v>
      </c>
      <c r="I948" t="s">
        <v>278</v>
      </c>
      <c r="J948" t="s">
        <v>279</v>
      </c>
      <c r="K948" t="s">
        <v>280</v>
      </c>
    </row>
    <row r="949" spans="1:11" x14ac:dyDescent="0.3">
      <c r="A949" s="22" t="s">
        <v>67</v>
      </c>
      <c r="B949">
        <v>123</v>
      </c>
      <c r="C949" t="s">
        <v>64</v>
      </c>
      <c r="D949">
        <v>195</v>
      </c>
      <c r="E949" s="8">
        <v>0.2114</v>
      </c>
      <c r="F949" s="8">
        <v>8.9399999999999993E-2</v>
      </c>
      <c r="G949" s="8">
        <v>1.6299999999999999E-2</v>
      </c>
      <c r="H949" s="8">
        <v>1.6299999999999999E-2</v>
      </c>
      <c r="I949" s="8">
        <v>0.34960000000000002</v>
      </c>
      <c r="J949" s="8">
        <v>0.122</v>
      </c>
      <c r="K949" s="8">
        <v>0.1951</v>
      </c>
    </row>
    <row r="950" spans="1:11" x14ac:dyDescent="0.3">
      <c r="A950" s="22" t="s">
        <v>68</v>
      </c>
      <c r="B950">
        <v>72</v>
      </c>
      <c r="C950" t="s">
        <v>64</v>
      </c>
      <c r="D950">
        <v>195</v>
      </c>
      <c r="E950" s="8">
        <v>0.19439999999999999</v>
      </c>
      <c r="F950" s="8">
        <v>8.3299999999999999E-2</v>
      </c>
      <c r="G950" s="8">
        <v>1.3899999999999999E-2</v>
      </c>
      <c r="H950" s="8">
        <v>1.3899999999999999E-2</v>
      </c>
      <c r="I950" s="8">
        <v>0.31940000000000002</v>
      </c>
      <c r="J950" s="8">
        <v>6.9400000000000003E-2</v>
      </c>
      <c r="K950" s="8">
        <v>0.30559999999999998</v>
      </c>
    </row>
    <row r="952" spans="1:11" ht="72" x14ac:dyDescent="0.3">
      <c r="A952" s="22" t="s">
        <v>292</v>
      </c>
    </row>
    <row r="953" spans="1:11" x14ac:dyDescent="0.3">
      <c r="A953" s="22" t="s">
        <v>66</v>
      </c>
      <c r="B953" t="s">
        <v>62</v>
      </c>
      <c r="C953" t="s">
        <v>57</v>
      </c>
      <c r="D953" t="s">
        <v>63</v>
      </c>
      <c r="E953" t="s">
        <v>274</v>
      </c>
      <c r="F953" t="s">
        <v>275</v>
      </c>
      <c r="G953" t="s">
        <v>276</v>
      </c>
      <c r="H953" t="s">
        <v>277</v>
      </c>
      <c r="I953" t="s">
        <v>278</v>
      </c>
      <c r="J953" t="s">
        <v>279</v>
      </c>
      <c r="K953" t="s">
        <v>280</v>
      </c>
    </row>
    <row r="954" spans="1:11" x14ac:dyDescent="0.3">
      <c r="A954" s="22" t="s">
        <v>67</v>
      </c>
      <c r="B954">
        <v>176</v>
      </c>
      <c r="C954" t="s">
        <v>64</v>
      </c>
      <c r="D954">
        <v>195</v>
      </c>
      <c r="E954" s="8">
        <v>0.2102</v>
      </c>
      <c r="F954" s="8">
        <v>9.6600000000000005E-2</v>
      </c>
      <c r="G954" s="8">
        <v>1.14E-2</v>
      </c>
      <c r="H954" s="8">
        <v>1.14E-2</v>
      </c>
      <c r="I954" s="8">
        <v>0.3352</v>
      </c>
      <c r="J954" s="8">
        <v>9.6600000000000005E-2</v>
      </c>
      <c r="K954" s="8">
        <v>0.23860000000000001</v>
      </c>
    </row>
    <row r="955" spans="1:11" x14ac:dyDescent="0.3">
      <c r="A955" s="22" t="s">
        <v>68</v>
      </c>
      <c r="B955">
        <v>19</v>
      </c>
      <c r="C955" t="s">
        <v>64</v>
      </c>
      <c r="D955">
        <v>195</v>
      </c>
      <c r="E955" s="8">
        <v>0.15790000000000001</v>
      </c>
      <c r="G955" s="8">
        <v>5.2600000000000001E-2</v>
      </c>
      <c r="H955" s="8">
        <v>5.2600000000000001E-2</v>
      </c>
      <c r="I955" s="8">
        <v>0.36840000000000001</v>
      </c>
      <c r="J955" s="8">
        <v>0.15790000000000001</v>
      </c>
      <c r="K955" s="8">
        <v>0.21049999999999999</v>
      </c>
    </row>
    <row r="957" spans="1:11" ht="43.2" x14ac:dyDescent="0.3">
      <c r="A957" s="22" t="s">
        <v>293</v>
      </c>
    </row>
    <row r="958" spans="1:11" x14ac:dyDescent="0.3">
      <c r="A958" s="22" t="s">
        <v>66</v>
      </c>
      <c r="B958" t="s">
        <v>62</v>
      </c>
      <c r="C958" t="s">
        <v>57</v>
      </c>
      <c r="D958" t="s">
        <v>63</v>
      </c>
      <c r="E958" t="s">
        <v>274</v>
      </c>
      <c r="F958" t="s">
        <v>275</v>
      </c>
      <c r="G958" t="s">
        <v>276</v>
      </c>
      <c r="H958" t="s">
        <v>277</v>
      </c>
      <c r="I958" t="s">
        <v>278</v>
      </c>
      <c r="J958" t="s">
        <v>279</v>
      </c>
      <c r="K958" t="s">
        <v>280</v>
      </c>
    </row>
    <row r="959" spans="1:11" x14ac:dyDescent="0.3">
      <c r="A959" s="22" t="s">
        <v>81</v>
      </c>
      <c r="B959">
        <v>55</v>
      </c>
      <c r="C959" t="s">
        <v>64</v>
      </c>
      <c r="D959">
        <v>195</v>
      </c>
      <c r="E959" s="8">
        <v>0.1636</v>
      </c>
      <c r="F959" s="8">
        <v>0.1273</v>
      </c>
      <c r="G959" s="8">
        <v>1.8200000000000001E-2</v>
      </c>
      <c r="H959" s="8">
        <v>3.6400000000000002E-2</v>
      </c>
      <c r="I959" s="8">
        <v>0.4</v>
      </c>
      <c r="J959" s="8">
        <v>0.1273</v>
      </c>
      <c r="K959" s="8">
        <v>0.1273</v>
      </c>
    </row>
    <row r="960" spans="1:11" x14ac:dyDescent="0.3">
      <c r="A960" s="22" t="s">
        <v>82</v>
      </c>
      <c r="B960">
        <v>47</v>
      </c>
      <c r="C960" t="s">
        <v>64</v>
      </c>
      <c r="D960">
        <v>195</v>
      </c>
      <c r="E960" s="8">
        <v>0.1489</v>
      </c>
      <c r="F960" s="8">
        <v>0.10639999999999999</v>
      </c>
      <c r="G960" s="8">
        <v>2.1299999999999999E-2</v>
      </c>
      <c r="I960" s="8">
        <v>0.38300000000000001</v>
      </c>
      <c r="J960" s="8">
        <v>8.5099999999999995E-2</v>
      </c>
      <c r="K960" s="8">
        <v>0.25530000000000003</v>
      </c>
    </row>
    <row r="961" spans="1:11" x14ac:dyDescent="0.3">
      <c r="A961" s="22" t="s">
        <v>83</v>
      </c>
      <c r="B961">
        <v>48</v>
      </c>
      <c r="C961" t="s">
        <v>64</v>
      </c>
      <c r="D961">
        <v>195</v>
      </c>
      <c r="E961" s="8">
        <v>0.27079999999999999</v>
      </c>
      <c r="F961" s="8">
        <v>4.1700000000000001E-2</v>
      </c>
      <c r="H961" s="8">
        <v>2.0799999999999999E-2</v>
      </c>
      <c r="I961" s="8">
        <v>0.29170000000000001</v>
      </c>
      <c r="J961" s="8">
        <v>0.1042</v>
      </c>
      <c r="K961" s="8">
        <v>0.27079999999999999</v>
      </c>
    </row>
    <row r="962" spans="1:11" x14ac:dyDescent="0.3">
      <c r="A962" s="22" t="s">
        <v>84</v>
      </c>
      <c r="B962">
        <v>45</v>
      </c>
      <c r="C962" t="s">
        <v>64</v>
      </c>
      <c r="D962">
        <v>195</v>
      </c>
      <c r="E962" s="8">
        <v>0.24440000000000001</v>
      </c>
      <c r="F962" s="8">
        <v>6.6699999999999995E-2</v>
      </c>
      <c r="G962" s="8">
        <v>2.2200000000000001E-2</v>
      </c>
      <c r="I962" s="8">
        <v>0.26669999999999999</v>
      </c>
      <c r="J962" s="8">
        <v>8.8900000000000007E-2</v>
      </c>
      <c r="K962" s="8">
        <v>0.31109999999999999</v>
      </c>
    </row>
    <row r="964" spans="1:11" ht="43.2" x14ac:dyDescent="0.3">
      <c r="A964" s="22" t="s">
        <v>294</v>
      </c>
    </row>
    <row r="965" spans="1:11" x14ac:dyDescent="0.3">
      <c r="A965" s="22" t="s">
        <v>62</v>
      </c>
      <c r="B965" t="s">
        <v>57</v>
      </c>
      <c r="C965" t="s">
        <v>63</v>
      </c>
      <c r="D965" t="s">
        <v>295</v>
      </c>
      <c r="E965" t="s">
        <v>296</v>
      </c>
      <c r="F965" t="s">
        <v>297</v>
      </c>
      <c r="G965" t="s">
        <v>154</v>
      </c>
      <c r="H965" t="s">
        <v>298</v>
      </c>
      <c r="I965" t="s">
        <v>299</v>
      </c>
      <c r="J965" t="s">
        <v>300</v>
      </c>
    </row>
    <row r="966" spans="1:11" x14ac:dyDescent="0.3">
      <c r="A966" s="22">
        <v>130</v>
      </c>
      <c r="B966" t="s">
        <v>64</v>
      </c>
      <c r="C966">
        <v>130</v>
      </c>
      <c r="D966" s="8">
        <v>1.54E-2</v>
      </c>
      <c r="E966" s="8">
        <v>3.85E-2</v>
      </c>
      <c r="F966" s="8">
        <v>0.15379999999999999</v>
      </c>
      <c r="G966" s="8">
        <v>6.1499999999999999E-2</v>
      </c>
      <c r="H966" s="8">
        <v>0.42309999999999998</v>
      </c>
      <c r="I966" s="8">
        <v>8.4599999999999995E-2</v>
      </c>
      <c r="J966" s="8">
        <v>0.22309999999999999</v>
      </c>
    </row>
    <row r="968" spans="1:11" ht="57.6" x14ac:dyDescent="0.3">
      <c r="A968" s="22" t="s">
        <v>301</v>
      </c>
    </row>
    <row r="969" spans="1:11" x14ac:dyDescent="0.3">
      <c r="A969" s="22" t="s">
        <v>66</v>
      </c>
      <c r="B969" t="s">
        <v>62</v>
      </c>
      <c r="C969" t="s">
        <v>57</v>
      </c>
      <c r="D969" t="s">
        <v>63</v>
      </c>
      <c r="E969" t="s">
        <v>295</v>
      </c>
      <c r="F969" t="s">
        <v>302</v>
      </c>
      <c r="G969" t="s">
        <v>297</v>
      </c>
      <c r="H969" t="s">
        <v>154</v>
      </c>
      <c r="I969" t="s">
        <v>303</v>
      </c>
      <c r="J969" t="s">
        <v>299</v>
      </c>
      <c r="K969" t="s">
        <v>300</v>
      </c>
    </row>
    <row r="970" spans="1:11" x14ac:dyDescent="0.3">
      <c r="A970" s="22" t="s">
        <v>67</v>
      </c>
      <c r="B970">
        <v>123</v>
      </c>
      <c r="C970" t="s">
        <v>64</v>
      </c>
      <c r="D970">
        <v>130</v>
      </c>
      <c r="E970" s="8">
        <v>1.6299999999999999E-2</v>
      </c>
      <c r="F970" s="8">
        <v>4.07E-2</v>
      </c>
      <c r="G970" s="8">
        <v>0.1545</v>
      </c>
      <c r="H970" s="8">
        <v>6.5000000000000002E-2</v>
      </c>
      <c r="I970" s="8">
        <v>0.43090000000000001</v>
      </c>
      <c r="J970" s="8">
        <v>8.1299999999999997E-2</v>
      </c>
      <c r="K970" s="8">
        <v>0.2114</v>
      </c>
    </row>
    <row r="971" spans="1:11" x14ac:dyDescent="0.3">
      <c r="A971" s="22" t="s">
        <v>68</v>
      </c>
      <c r="B971">
        <v>7</v>
      </c>
      <c r="C971" t="s">
        <v>64</v>
      </c>
      <c r="D971">
        <v>130</v>
      </c>
      <c r="G971" s="8">
        <v>0.1429</v>
      </c>
      <c r="I971" s="8">
        <v>0.28570000000000001</v>
      </c>
      <c r="J971" s="8">
        <v>0.1429</v>
      </c>
      <c r="K971" s="8">
        <v>0.42859999999999998</v>
      </c>
    </row>
    <row r="973" spans="1:11" x14ac:dyDescent="0.3">
      <c r="A973"/>
    </row>
    <row r="974" spans="1:11" x14ac:dyDescent="0.3">
      <c r="A974"/>
    </row>
    <row r="975" spans="1:11" x14ac:dyDescent="0.3">
      <c r="A975"/>
    </row>
    <row r="977" spans="1:11" ht="57.6" x14ac:dyDescent="0.3">
      <c r="A977" s="22" t="s">
        <v>304</v>
      </c>
    </row>
    <row r="978" spans="1:11" x14ac:dyDescent="0.3">
      <c r="A978" s="22" t="s">
        <v>66</v>
      </c>
      <c r="B978" t="s">
        <v>62</v>
      </c>
      <c r="C978" t="s">
        <v>57</v>
      </c>
      <c r="D978" t="s">
        <v>63</v>
      </c>
      <c r="E978" t="s">
        <v>295</v>
      </c>
      <c r="F978" t="s">
        <v>302</v>
      </c>
      <c r="G978" t="s">
        <v>297</v>
      </c>
      <c r="H978" t="s">
        <v>154</v>
      </c>
      <c r="I978" t="s">
        <v>303</v>
      </c>
      <c r="J978" t="s">
        <v>299</v>
      </c>
      <c r="K978" t="s">
        <v>300</v>
      </c>
    </row>
    <row r="979" spans="1:11" x14ac:dyDescent="0.3">
      <c r="A979" s="22" t="s">
        <v>67</v>
      </c>
      <c r="B979">
        <v>124</v>
      </c>
      <c r="C979" t="s">
        <v>64</v>
      </c>
      <c r="D979">
        <v>130</v>
      </c>
      <c r="E979" s="8">
        <v>1.61E-2</v>
      </c>
      <c r="F979" s="8">
        <v>4.0300000000000002E-2</v>
      </c>
      <c r="G979" s="8">
        <v>0.1613</v>
      </c>
      <c r="H979" s="8">
        <v>5.6500000000000002E-2</v>
      </c>
      <c r="I979" s="8">
        <v>0.4355</v>
      </c>
      <c r="J979" s="8">
        <v>8.0600000000000005E-2</v>
      </c>
      <c r="K979" s="8">
        <v>0.2097</v>
      </c>
    </row>
    <row r="980" spans="1:11" x14ac:dyDescent="0.3">
      <c r="A980" s="22" t="s">
        <v>68</v>
      </c>
      <c r="B980">
        <v>6</v>
      </c>
      <c r="C980" t="s">
        <v>64</v>
      </c>
      <c r="D980">
        <v>130</v>
      </c>
      <c r="H980" s="8">
        <v>0.16669999999999999</v>
      </c>
      <c r="I980" s="8">
        <v>0.16669999999999999</v>
      </c>
      <c r="J980" s="8">
        <v>0.16669999999999999</v>
      </c>
      <c r="K980" s="8">
        <v>0.5</v>
      </c>
    </row>
    <row r="982" spans="1:11" ht="57.6" x14ac:dyDescent="0.3">
      <c r="A982" s="22" t="s">
        <v>305</v>
      </c>
    </row>
    <row r="983" spans="1:11" x14ac:dyDescent="0.3">
      <c r="A983" s="22" t="s">
        <v>66</v>
      </c>
      <c r="B983" t="s">
        <v>62</v>
      </c>
      <c r="C983" t="s">
        <v>57</v>
      </c>
      <c r="D983" t="s">
        <v>63</v>
      </c>
      <c r="E983" t="s">
        <v>295</v>
      </c>
      <c r="F983" t="s">
        <v>302</v>
      </c>
      <c r="G983" t="s">
        <v>297</v>
      </c>
      <c r="H983" t="s">
        <v>154</v>
      </c>
      <c r="I983" t="s">
        <v>303</v>
      </c>
      <c r="J983" t="s">
        <v>299</v>
      </c>
      <c r="K983" t="s">
        <v>300</v>
      </c>
    </row>
    <row r="984" spans="1:11" x14ac:dyDescent="0.3">
      <c r="A984" s="22" t="s">
        <v>67</v>
      </c>
      <c r="B984">
        <v>129</v>
      </c>
      <c r="C984" t="s">
        <v>64</v>
      </c>
      <c r="D984">
        <v>130</v>
      </c>
      <c r="E984" s="8">
        <v>1.55E-2</v>
      </c>
      <c r="F984" s="8">
        <v>3.8800000000000001E-2</v>
      </c>
      <c r="G984" s="8">
        <v>0.155</v>
      </c>
      <c r="H984" s="8">
        <v>6.2E-2</v>
      </c>
      <c r="I984" s="8">
        <v>0.41860000000000003</v>
      </c>
      <c r="J984" s="8">
        <v>8.5300000000000001E-2</v>
      </c>
      <c r="K984" s="8">
        <v>0.2248</v>
      </c>
    </row>
    <row r="985" spans="1:11" x14ac:dyDescent="0.3">
      <c r="A985" s="22" t="s">
        <v>68</v>
      </c>
      <c r="B985">
        <v>1</v>
      </c>
      <c r="C985" t="s">
        <v>64</v>
      </c>
      <c r="D985">
        <v>130</v>
      </c>
      <c r="I985" s="8">
        <v>1</v>
      </c>
    </row>
    <row r="987" spans="1:11" ht="57.6" x14ac:dyDescent="0.3">
      <c r="A987" s="22" t="s">
        <v>306</v>
      </c>
    </row>
    <row r="988" spans="1:11" x14ac:dyDescent="0.3">
      <c r="A988" s="22" t="s">
        <v>66</v>
      </c>
      <c r="B988" t="s">
        <v>62</v>
      </c>
      <c r="C988" t="s">
        <v>57</v>
      </c>
      <c r="D988" t="s">
        <v>63</v>
      </c>
      <c r="E988" t="s">
        <v>295</v>
      </c>
      <c r="F988" t="s">
        <v>302</v>
      </c>
      <c r="G988" t="s">
        <v>297</v>
      </c>
      <c r="H988" t="s">
        <v>154</v>
      </c>
      <c r="I988" t="s">
        <v>303</v>
      </c>
      <c r="J988" t="s">
        <v>299</v>
      </c>
      <c r="K988" t="s">
        <v>300</v>
      </c>
    </row>
    <row r="989" spans="1:11" x14ac:dyDescent="0.3">
      <c r="A989" s="22" t="s">
        <v>67</v>
      </c>
      <c r="B989">
        <v>120</v>
      </c>
      <c r="C989" t="s">
        <v>64</v>
      </c>
      <c r="D989">
        <v>130</v>
      </c>
      <c r="E989" s="8">
        <v>1.67E-2</v>
      </c>
      <c r="F989" s="8">
        <v>3.3300000000000003E-2</v>
      </c>
      <c r="G989" s="8">
        <v>0.1583</v>
      </c>
      <c r="H989" s="8">
        <v>6.6699999999999995E-2</v>
      </c>
      <c r="I989" s="8">
        <v>0.44169999999999998</v>
      </c>
      <c r="J989" s="8">
        <v>7.4999999999999997E-2</v>
      </c>
      <c r="K989" s="8">
        <v>0.20830000000000001</v>
      </c>
    </row>
    <row r="990" spans="1:11" x14ac:dyDescent="0.3">
      <c r="A990" s="22" t="s">
        <v>68</v>
      </c>
      <c r="B990">
        <v>10</v>
      </c>
      <c r="C990" t="s">
        <v>64</v>
      </c>
      <c r="D990">
        <v>130</v>
      </c>
      <c r="F990" s="8">
        <v>0.1</v>
      </c>
      <c r="G990" s="8">
        <v>0.1</v>
      </c>
      <c r="I990" s="8">
        <v>0.2</v>
      </c>
      <c r="J990" s="8">
        <v>0.2</v>
      </c>
      <c r="K990" s="8">
        <v>0.4</v>
      </c>
    </row>
    <row r="992" spans="1:11" ht="57.6" x14ac:dyDescent="0.3">
      <c r="A992" s="22" t="s">
        <v>307</v>
      </c>
    </row>
    <row r="993" spans="1:11" x14ac:dyDescent="0.3">
      <c r="A993" s="22" t="s">
        <v>66</v>
      </c>
      <c r="B993" t="s">
        <v>62</v>
      </c>
      <c r="C993" t="s">
        <v>57</v>
      </c>
      <c r="D993" t="s">
        <v>63</v>
      </c>
      <c r="E993" t="s">
        <v>295</v>
      </c>
      <c r="F993" t="s">
        <v>302</v>
      </c>
      <c r="G993" t="s">
        <v>297</v>
      </c>
      <c r="H993" t="s">
        <v>154</v>
      </c>
      <c r="I993" t="s">
        <v>303</v>
      </c>
      <c r="J993" t="s">
        <v>299</v>
      </c>
      <c r="K993" t="s">
        <v>300</v>
      </c>
    </row>
    <row r="994" spans="1:11" x14ac:dyDescent="0.3">
      <c r="A994" s="22" t="s">
        <v>67</v>
      </c>
      <c r="B994">
        <v>5</v>
      </c>
      <c r="C994" t="s">
        <v>64</v>
      </c>
      <c r="D994">
        <v>130</v>
      </c>
      <c r="I994" s="8">
        <v>0.4</v>
      </c>
      <c r="J994" s="8">
        <v>0.2</v>
      </c>
      <c r="K994" s="8">
        <v>0.4</v>
      </c>
    </row>
    <row r="995" spans="1:11" x14ac:dyDescent="0.3">
      <c r="A995" s="22" t="s">
        <v>68</v>
      </c>
      <c r="B995">
        <v>125</v>
      </c>
      <c r="C995" t="s">
        <v>64</v>
      </c>
      <c r="D995">
        <v>130</v>
      </c>
      <c r="E995" s="8">
        <v>1.6E-2</v>
      </c>
      <c r="F995" s="8">
        <v>0.04</v>
      </c>
      <c r="G995" s="8">
        <v>0.16</v>
      </c>
      <c r="H995" s="8">
        <v>6.4000000000000001E-2</v>
      </c>
      <c r="I995" s="8">
        <v>0.42399999999999999</v>
      </c>
      <c r="J995" s="8">
        <v>0.08</v>
      </c>
      <c r="K995" s="8">
        <v>0.216</v>
      </c>
    </row>
    <row r="997" spans="1:11" ht="57.6" x14ac:dyDescent="0.3">
      <c r="A997" s="22" t="s">
        <v>308</v>
      </c>
    </row>
    <row r="998" spans="1:11" x14ac:dyDescent="0.3">
      <c r="A998" s="22" t="s">
        <v>66</v>
      </c>
      <c r="B998" t="s">
        <v>62</v>
      </c>
      <c r="C998" t="s">
        <v>57</v>
      </c>
      <c r="D998" t="s">
        <v>63</v>
      </c>
      <c r="E998" t="s">
        <v>295</v>
      </c>
      <c r="F998" t="s">
        <v>302</v>
      </c>
      <c r="G998" t="s">
        <v>297</v>
      </c>
      <c r="H998" t="s">
        <v>154</v>
      </c>
      <c r="I998" t="s">
        <v>303</v>
      </c>
      <c r="J998" t="s">
        <v>299</v>
      </c>
      <c r="K998" t="s">
        <v>300</v>
      </c>
    </row>
    <row r="999" spans="1:11" x14ac:dyDescent="0.3">
      <c r="A999" s="22" t="s">
        <v>67</v>
      </c>
      <c r="B999">
        <v>106</v>
      </c>
      <c r="C999" t="s">
        <v>64</v>
      </c>
      <c r="D999">
        <v>130</v>
      </c>
      <c r="E999" s="8">
        <v>1.89E-2</v>
      </c>
      <c r="F999" s="8">
        <v>3.7699999999999997E-2</v>
      </c>
      <c r="G999" s="8">
        <v>0.16980000000000001</v>
      </c>
      <c r="H999" s="8">
        <v>4.7199999999999999E-2</v>
      </c>
      <c r="I999" s="8">
        <v>0.42449999999999999</v>
      </c>
      <c r="J999" s="8">
        <v>7.5499999999999998E-2</v>
      </c>
      <c r="K999" s="8">
        <v>0.22639999999999999</v>
      </c>
    </row>
    <row r="1000" spans="1:11" x14ac:dyDescent="0.3">
      <c r="A1000" s="22" t="s">
        <v>68</v>
      </c>
      <c r="B1000">
        <v>24</v>
      </c>
      <c r="C1000" t="s">
        <v>64</v>
      </c>
      <c r="D1000">
        <v>130</v>
      </c>
      <c r="F1000" s="8">
        <v>4.1700000000000001E-2</v>
      </c>
      <c r="G1000" s="8">
        <v>8.3299999999999999E-2</v>
      </c>
      <c r="H1000" s="8">
        <v>0.125</v>
      </c>
      <c r="I1000" s="8">
        <v>0.41670000000000001</v>
      </c>
      <c r="J1000" s="8">
        <v>0.125</v>
      </c>
      <c r="K1000" s="8">
        <v>0.20830000000000001</v>
      </c>
    </row>
    <row r="1002" spans="1:11" ht="57.6" x14ac:dyDescent="0.3">
      <c r="A1002" s="22" t="s">
        <v>309</v>
      </c>
    </row>
    <row r="1003" spans="1:11" x14ac:dyDescent="0.3">
      <c r="A1003" s="22" t="s">
        <v>66</v>
      </c>
      <c r="B1003" t="s">
        <v>62</v>
      </c>
      <c r="C1003" t="s">
        <v>57</v>
      </c>
      <c r="D1003" t="s">
        <v>63</v>
      </c>
      <c r="E1003" t="s">
        <v>295</v>
      </c>
      <c r="F1003" t="s">
        <v>302</v>
      </c>
      <c r="G1003" t="s">
        <v>297</v>
      </c>
      <c r="H1003" t="s">
        <v>154</v>
      </c>
      <c r="I1003" t="s">
        <v>303</v>
      </c>
      <c r="J1003" t="s">
        <v>299</v>
      </c>
      <c r="K1003" t="s">
        <v>300</v>
      </c>
    </row>
    <row r="1004" spans="1:11" x14ac:dyDescent="0.3">
      <c r="A1004" s="22" t="s">
        <v>67</v>
      </c>
      <c r="B1004">
        <v>101</v>
      </c>
      <c r="C1004" t="s">
        <v>64</v>
      </c>
      <c r="D1004">
        <v>130</v>
      </c>
      <c r="E1004" s="8">
        <v>9.9000000000000008E-3</v>
      </c>
      <c r="F1004" s="8">
        <v>4.9500000000000002E-2</v>
      </c>
      <c r="G1004" s="8">
        <v>0.1782</v>
      </c>
      <c r="H1004" s="8">
        <v>6.93E-2</v>
      </c>
      <c r="I1004" s="8">
        <v>0.37619999999999998</v>
      </c>
      <c r="J1004" s="8">
        <v>7.9200000000000007E-2</v>
      </c>
      <c r="K1004" s="8">
        <v>0.23760000000000001</v>
      </c>
    </row>
    <row r="1005" spans="1:11" x14ac:dyDescent="0.3">
      <c r="A1005" s="22" t="s">
        <v>68</v>
      </c>
      <c r="B1005">
        <v>29</v>
      </c>
      <c r="C1005" t="s">
        <v>64</v>
      </c>
      <c r="D1005">
        <v>130</v>
      </c>
      <c r="E1005" s="8">
        <v>3.4500000000000003E-2</v>
      </c>
      <c r="G1005" s="8">
        <v>6.9000000000000006E-2</v>
      </c>
      <c r="H1005" s="8">
        <v>3.4500000000000003E-2</v>
      </c>
      <c r="I1005" s="8">
        <v>0.58620000000000005</v>
      </c>
      <c r="J1005" s="8">
        <v>0.10340000000000001</v>
      </c>
      <c r="K1005" s="8">
        <v>0.1724</v>
      </c>
    </row>
    <row r="1007" spans="1:11" ht="57.6" x14ac:dyDescent="0.3">
      <c r="A1007" s="22" t="s">
        <v>310</v>
      </c>
    </row>
    <row r="1008" spans="1:11" x14ac:dyDescent="0.3">
      <c r="A1008" s="22" t="s">
        <v>66</v>
      </c>
      <c r="B1008" t="s">
        <v>62</v>
      </c>
      <c r="C1008" t="s">
        <v>57</v>
      </c>
      <c r="D1008" t="s">
        <v>63</v>
      </c>
      <c r="E1008" t="s">
        <v>295</v>
      </c>
      <c r="F1008" t="s">
        <v>302</v>
      </c>
      <c r="G1008" t="s">
        <v>297</v>
      </c>
      <c r="H1008" t="s">
        <v>154</v>
      </c>
      <c r="I1008" t="s">
        <v>303</v>
      </c>
      <c r="J1008" t="s">
        <v>299</v>
      </c>
      <c r="K1008" t="s">
        <v>300</v>
      </c>
    </row>
    <row r="1009" spans="1:11" x14ac:dyDescent="0.3">
      <c r="A1009" s="22" t="s">
        <v>67</v>
      </c>
      <c r="B1009">
        <v>98</v>
      </c>
      <c r="C1009" t="s">
        <v>64</v>
      </c>
      <c r="D1009">
        <v>130</v>
      </c>
      <c r="E1009" s="8">
        <v>2.0400000000000001E-2</v>
      </c>
      <c r="F1009" s="8">
        <v>5.0999999999999997E-2</v>
      </c>
      <c r="G1009" s="8">
        <v>0.17349999999999999</v>
      </c>
      <c r="H1009" s="8">
        <v>8.1600000000000006E-2</v>
      </c>
      <c r="I1009" s="8">
        <v>0.38779999999999998</v>
      </c>
      <c r="J1009" s="8">
        <v>7.1400000000000005E-2</v>
      </c>
      <c r="K1009" s="8">
        <v>0.21429999999999999</v>
      </c>
    </row>
    <row r="1010" spans="1:11" x14ac:dyDescent="0.3">
      <c r="A1010" s="22" t="s">
        <v>68</v>
      </c>
      <c r="B1010">
        <v>32</v>
      </c>
      <c r="C1010" t="s">
        <v>64</v>
      </c>
      <c r="D1010">
        <v>130</v>
      </c>
      <c r="G1010" s="8">
        <v>9.3799999999999994E-2</v>
      </c>
      <c r="I1010" s="8">
        <v>0.53120000000000001</v>
      </c>
      <c r="J1010" s="8">
        <v>0.125</v>
      </c>
      <c r="K1010" s="8">
        <v>0.25</v>
      </c>
    </row>
    <row r="1012" spans="1:11" ht="72" x14ac:dyDescent="0.3">
      <c r="A1012" s="22" t="s">
        <v>311</v>
      </c>
    </row>
    <row r="1013" spans="1:11" x14ac:dyDescent="0.3">
      <c r="A1013" s="22" t="s">
        <v>66</v>
      </c>
      <c r="B1013" t="s">
        <v>62</v>
      </c>
      <c r="C1013" t="s">
        <v>57</v>
      </c>
      <c r="D1013" t="s">
        <v>63</v>
      </c>
      <c r="E1013" t="s">
        <v>295</v>
      </c>
      <c r="F1013" t="s">
        <v>302</v>
      </c>
      <c r="G1013" t="s">
        <v>297</v>
      </c>
      <c r="H1013" t="s">
        <v>154</v>
      </c>
      <c r="I1013" t="s">
        <v>303</v>
      </c>
      <c r="J1013" t="s">
        <v>299</v>
      </c>
      <c r="K1013" t="s">
        <v>300</v>
      </c>
    </row>
    <row r="1014" spans="1:11" x14ac:dyDescent="0.3">
      <c r="A1014" s="22" t="s">
        <v>67</v>
      </c>
      <c r="B1014">
        <v>118</v>
      </c>
      <c r="C1014" t="s">
        <v>64</v>
      </c>
      <c r="D1014">
        <v>130</v>
      </c>
      <c r="E1014" s="8">
        <v>8.5000000000000006E-3</v>
      </c>
      <c r="F1014" s="8">
        <v>4.24E-2</v>
      </c>
      <c r="G1014" s="8">
        <v>0.14410000000000001</v>
      </c>
      <c r="H1014" s="8">
        <v>6.7799999999999999E-2</v>
      </c>
      <c r="I1014" s="8">
        <v>0.42370000000000002</v>
      </c>
      <c r="J1014" s="8">
        <v>9.3200000000000005E-2</v>
      </c>
      <c r="K1014" s="8">
        <v>0.2203</v>
      </c>
    </row>
    <row r="1015" spans="1:11" x14ac:dyDescent="0.3">
      <c r="A1015" s="22" t="s">
        <v>68</v>
      </c>
      <c r="B1015">
        <v>12</v>
      </c>
      <c r="C1015" t="s">
        <v>64</v>
      </c>
      <c r="D1015">
        <v>130</v>
      </c>
      <c r="E1015" s="8">
        <v>8.3299999999999999E-2</v>
      </c>
      <c r="G1015" s="8">
        <v>0.25</v>
      </c>
      <c r="I1015" s="8">
        <v>0.41670000000000001</v>
      </c>
      <c r="K1015" s="8">
        <v>0.25</v>
      </c>
    </row>
    <row r="1017" spans="1:11" ht="72" x14ac:dyDescent="0.3">
      <c r="A1017" s="22" t="s">
        <v>312</v>
      </c>
    </row>
    <row r="1018" spans="1:11" x14ac:dyDescent="0.3">
      <c r="A1018" s="22" t="s">
        <v>66</v>
      </c>
      <c r="B1018" t="s">
        <v>62</v>
      </c>
      <c r="C1018" t="s">
        <v>57</v>
      </c>
      <c r="D1018" t="s">
        <v>63</v>
      </c>
      <c r="E1018" t="s">
        <v>295</v>
      </c>
      <c r="F1018" t="s">
        <v>302</v>
      </c>
      <c r="G1018" t="s">
        <v>297</v>
      </c>
      <c r="H1018" t="s">
        <v>154</v>
      </c>
      <c r="I1018" t="s">
        <v>303</v>
      </c>
      <c r="J1018" t="s">
        <v>299</v>
      </c>
      <c r="K1018" t="s">
        <v>300</v>
      </c>
    </row>
    <row r="1019" spans="1:11" x14ac:dyDescent="0.3">
      <c r="A1019" s="22" t="s">
        <v>67</v>
      </c>
      <c r="B1019">
        <v>130</v>
      </c>
      <c r="C1019" t="s">
        <v>64</v>
      </c>
      <c r="D1019">
        <v>130</v>
      </c>
      <c r="E1019" s="8">
        <v>1.54E-2</v>
      </c>
      <c r="F1019" s="8">
        <v>3.85E-2</v>
      </c>
      <c r="G1019" s="8">
        <v>0.15379999999999999</v>
      </c>
      <c r="H1019" s="8">
        <v>6.1499999999999999E-2</v>
      </c>
      <c r="I1019" s="8">
        <v>0.42309999999999998</v>
      </c>
      <c r="J1019" s="8">
        <v>8.4599999999999995E-2</v>
      </c>
      <c r="K1019" s="8">
        <v>0.22309999999999999</v>
      </c>
    </row>
    <row r="1021" spans="1:11" ht="57.6" x14ac:dyDescent="0.3">
      <c r="A1021" s="22" t="s">
        <v>313</v>
      </c>
    </row>
    <row r="1022" spans="1:11" x14ac:dyDescent="0.3">
      <c r="A1022" s="22" t="s">
        <v>66</v>
      </c>
      <c r="B1022" t="s">
        <v>62</v>
      </c>
      <c r="C1022" t="s">
        <v>57</v>
      </c>
      <c r="D1022" t="s">
        <v>63</v>
      </c>
      <c r="E1022" t="s">
        <v>295</v>
      </c>
      <c r="F1022" t="s">
        <v>302</v>
      </c>
      <c r="G1022" t="s">
        <v>297</v>
      </c>
      <c r="H1022" t="s">
        <v>154</v>
      </c>
      <c r="I1022" t="s">
        <v>303</v>
      </c>
      <c r="J1022" t="s">
        <v>299</v>
      </c>
      <c r="K1022" t="s">
        <v>300</v>
      </c>
    </row>
    <row r="1023" spans="1:11" x14ac:dyDescent="0.3">
      <c r="A1023" s="22" t="s">
        <v>67</v>
      </c>
      <c r="B1023">
        <v>77</v>
      </c>
      <c r="C1023" t="s">
        <v>64</v>
      </c>
      <c r="D1023">
        <v>130</v>
      </c>
      <c r="E1023" s="8">
        <v>1.2999999999999999E-2</v>
      </c>
      <c r="F1023" s="8">
        <v>5.1900000000000002E-2</v>
      </c>
      <c r="G1023" s="8">
        <v>0.12989999999999999</v>
      </c>
      <c r="H1023" s="8">
        <v>7.7899999999999997E-2</v>
      </c>
      <c r="I1023" s="8">
        <v>0.42859999999999998</v>
      </c>
      <c r="J1023" s="8">
        <v>9.0899999999999995E-2</v>
      </c>
      <c r="K1023" s="8">
        <v>0.20780000000000001</v>
      </c>
    </row>
    <row r="1024" spans="1:11" x14ac:dyDescent="0.3">
      <c r="A1024" s="22" t="s">
        <v>68</v>
      </c>
      <c r="B1024">
        <v>53</v>
      </c>
      <c r="C1024" t="s">
        <v>64</v>
      </c>
      <c r="D1024">
        <v>130</v>
      </c>
      <c r="E1024" s="8">
        <v>1.89E-2</v>
      </c>
      <c r="F1024" s="8">
        <v>1.89E-2</v>
      </c>
      <c r="G1024" s="8">
        <v>0.18870000000000001</v>
      </c>
      <c r="H1024" s="8">
        <v>3.7699999999999997E-2</v>
      </c>
      <c r="I1024" s="8">
        <v>0.41510000000000002</v>
      </c>
      <c r="J1024" s="8">
        <v>7.5499999999999998E-2</v>
      </c>
      <c r="K1024" s="8">
        <v>0.24529999999999999</v>
      </c>
    </row>
    <row r="1026" spans="1:18" ht="57.6" x14ac:dyDescent="0.3">
      <c r="A1026" s="22" t="s">
        <v>314</v>
      </c>
    </row>
    <row r="1027" spans="1:18" x14ac:dyDescent="0.3">
      <c r="A1027" s="22" t="s">
        <v>66</v>
      </c>
      <c r="B1027" t="s">
        <v>62</v>
      </c>
      <c r="C1027" t="s">
        <v>57</v>
      </c>
      <c r="D1027" t="s">
        <v>63</v>
      </c>
      <c r="E1027" t="s">
        <v>295</v>
      </c>
      <c r="F1027" t="s">
        <v>302</v>
      </c>
      <c r="G1027" t="s">
        <v>297</v>
      </c>
      <c r="H1027" t="s">
        <v>154</v>
      </c>
      <c r="I1027" t="s">
        <v>303</v>
      </c>
      <c r="J1027" t="s">
        <v>299</v>
      </c>
      <c r="K1027" t="s">
        <v>300</v>
      </c>
    </row>
    <row r="1028" spans="1:18" x14ac:dyDescent="0.3">
      <c r="A1028" s="22" t="s">
        <v>67</v>
      </c>
      <c r="B1028">
        <v>114</v>
      </c>
      <c r="C1028" t="s">
        <v>64</v>
      </c>
      <c r="D1028">
        <v>130</v>
      </c>
      <c r="E1028" s="8">
        <v>1.7500000000000002E-2</v>
      </c>
      <c r="F1028" s="8">
        <v>3.5099999999999999E-2</v>
      </c>
      <c r="G1028" s="8">
        <v>0.15790000000000001</v>
      </c>
      <c r="H1028" s="8">
        <v>4.3900000000000002E-2</v>
      </c>
      <c r="I1028" s="8">
        <v>0.42109999999999997</v>
      </c>
      <c r="J1028" s="8">
        <v>8.77E-2</v>
      </c>
      <c r="K1028" s="8">
        <v>0.23680000000000001</v>
      </c>
    </row>
    <row r="1029" spans="1:18" x14ac:dyDescent="0.3">
      <c r="A1029" s="22" t="s">
        <v>68</v>
      </c>
      <c r="B1029">
        <v>16</v>
      </c>
      <c r="C1029" t="s">
        <v>64</v>
      </c>
      <c r="D1029">
        <v>130</v>
      </c>
      <c r="F1029" s="8">
        <v>6.25E-2</v>
      </c>
      <c r="G1029" s="8">
        <v>0.125</v>
      </c>
      <c r="H1029" s="8">
        <v>0.1875</v>
      </c>
      <c r="I1029" s="8">
        <v>0.4375</v>
      </c>
      <c r="J1029" s="8">
        <v>6.25E-2</v>
      </c>
      <c r="K1029" s="8">
        <v>0.125</v>
      </c>
    </row>
    <row r="1031" spans="1:18" ht="43.2" x14ac:dyDescent="0.3">
      <c r="A1031" s="22" t="s">
        <v>315</v>
      </c>
    </row>
    <row r="1032" spans="1:18" x14ac:dyDescent="0.3">
      <c r="A1032" s="22" t="s">
        <v>66</v>
      </c>
      <c r="B1032" t="s">
        <v>62</v>
      </c>
      <c r="C1032" t="s">
        <v>57</v>
      </c>
      <c r="D1032" t="s">
        <v>63</v>
      </c>
      <c r="E1032" t="s">
        <v>295</v>
      </c>
      <c r="F1032" t="s">
        <v>302</v>
      </c>
      <c r="G1032" t="s">
        <v>297</v>
      </c>
      <c r="H1032" t="s">
        <v>154</v>
      </c>
      <c r="I1032" t="s">
        <v>303</v>
      </c>
      <c r="J1032" t="s">
        <v>299</v>
      </c>
      <c r="K1032" t="s">
        <v>300</v>
      </c>
    </row>
    <row r="1033" spans="1:18" x14ac:dyDescent="0.3">
      <c r="A1033" s="22" t="s">
        <v>81</v>
      </c>
      <c r="B1033">
        <v>32</v>
      </c>
      <c r="C1033" t="s">
        <v>64</v>
      </c>
      <c r="D1033">
        <v>130</v>
      </c>
      <c r="F1033" s="8">
        <v>3.1199999999999999E-2</v>
      </c>
      <c r="G1033" s="8">
        <v>9.3799999999999994E-2</v>
      </c>
      <c r="H1033" s="8">
        <v>6.25E-2</v>
      </c>
      <c r="I1033" s="8">
        <v>0.46879999999999999</v>
      </c>
      <c r="J1033" s="8">
        <v>0.125</v>
      </c>
      <c r="K1033" s="8">
        <v>0.21879999999999999</v>
      </c>
    </row>
    <row r="1034" spans="1:18" x14ac:dyDescent="0.3">
      <c r="A1034" s="22" t="s">
        <v>82</v>
      </c>
      <c r="B1034">
        <v>34</v>
      </c>
      <c r="C1034" t="s">
        <v>64</v>
      </c>
      <c r="D1034">
        <v>130</v>
      </c>
      <c r="F1034" s="8">
        <v>5.8799999999999998E-2</v>
      </c>
      <c r="G1034" s="8">
        <v>0.17649999999999999</v>
      </c>
      <c r="H1034" s="8">
        <v>8.8200000000000001E-2</v>
      </c>
      <c r="I1034" s="8">
        <v>0.44119999999999998</v>
      </c>
      <c r="J1034" s="8">
        <v>0.1176</v>
      </c>
      <c r="K1034" s="8">
        <v>0.1176</v>
      </c>
    </row>
    <row r="1035" spans="1:18" x14ac:dyDescent="0.3">
      <c r="A1035" s="22" t="s">
        <v>83</v>
      </c>
      <c r="B1035">
        <v>33</v>
      </c>
      <c r="C1035" t="s">
        <v>64</v>
      </c>
      <c r="D1035">
        <v>130</v>
      </c>
      <c r="E1035" s="8">
        <v>6.0600000000000001E-2</v>
      </c>
      <c r="F1035" s="8">
        <v>6.0600000000000001E-2</v>
      </c>
      <c r="G1035" s="8">
        <v>0.1212</v>
      </c>
      <c r="H1035" s="8">
        <v>6.0600000000000001E-2</v>
      </c>
      <c r="I1035" s="8">
        <v>0.39389999999999997</v>
      </c>
      <c r="J1035" s="8">
        <v>9.0899999999999995E-2</v>
      </c>
      <c r="K1035" s="8">
        <v>0.21210000000000001</v>
      </c>
    </row>
    <row r="1036" spans="1:18" x14ac:dyDescent="0.3">
      <c r="A1036" s="22" t="s">
        <v>84</v>
      </c>
      <c r="B1036">
        <v>31</v>
      </c>
      <c r="C1036" t="s">
        <v>64</v>
      </c>
      <c r="D1036">
        <v>130</v>
      </c>
      <c r="G1036" s="8">
        <v>0.2258</v>
      </c>
      <c r="H1036" s="8">
        <v>3.2300000000000002E-2</v>
      </c>
      <c r="I1036" s="8">
        <v>0.3871</v>
      </c>
      <c r="K1036" s="8">
        <v>0.3548</v>
      </c>
    </row>
    <row r="1038" spans="1:18" ht="43.2" x14ac:dyDescent="0.3">
      <c r="A1038" s="22" t="s">
        <v>316</v>
      </c>
    </row>
    <row r="1039" spans="1:18" x14ac:dyDescent="0.3">
      <c r="A1039" s="22" t="s">
        <v>62</v>
      </c>
      <c r="B1039" t="s">
        <v>57</v>
      </c>
      <c r="C1039" t="s">
        <v>63</v>
      </c>
      <c r="D1039" t="s">
        <v>226</v>
      </c>
      <c r="E1039" t="s">
        <v>228</v>
      </c>
      <c r="F1039" t="s">
        <v>229</v>
      </c>
      <c r="G1039" t="s">
        <v>154</v>
      </c>
      <c r="H1039" t="s">
        <v>230</v>
      </c>
      <c r="I1039" t="s">
        <v>231</v>
      </c>
      <c r="J1039" t="s">
        <v>232</v>
      </c>
      <c r="K1039" t="s">
        <v>233</v>
      </c>
      <c r="L1039" t="s">
        <v>234</v>
      </c>
      <c r="M1039" t="s">
        <v>236</v>
      </c>
      <c r="N1039" t="s">
        <v>136</v>
      </c>
      <c r="O1039" t="s">
        <v>238</v>
      </c>
      <c r="P1039" t="s">
        <v>239</v>
      </c>
      <c r="Q1039" t="s">
        <v>240</v>
      </c>
      <c r="R1039" t="s">
        <v>244</v>
      </c>
    </row>
    <row r="1040" spans="1:18" x14ac:dyDescent="0.3">
      <c r="A1040" s="22">
        <v>175</v>
      </c>
      <c r="B1040" t="s">
        <v>64</v>
      </c>
      <c r="C1040">
        <v>175</v>
      </c>
      <c r="D1040" s="8">
        <v>1.7100000000000001E-2</v>
      </c>
      <c r="E1040" s="8">
        <v>6.8599999999999994E-2</v>
      </c>
      <c r="F1040" s="8">
        <v>0.27429999999999999</v>
      </c>
      <c r="G1040" s="8">
        <v>3.4299999999999997E-2</v>
      </c>
      <c r="H1040" s="8">
        <v>5.7000000000000002E-3</v>
      </c>
      <c r="I1040" s="8">
        <v>5.7000000000000002E-3</v>
      </c>
      <c r="J1040" s="8">
        <v>1.14E-2</v>
      </c>
      <c r="K1040" s="8">
        <v>0.20569999999999999</v>
      </c>
      <c r="L1040" s="8">
        <v>0.33710000000000001</v>
      </c>
      <c r="M1040" s="8">
        <v>0.33139999999999997</v>
      </c>
      <c r="N1040" s="8">
        <v>0.10290000000000001</v>
      </c>
      <c r="O1040" s="8">
        <v>1.7100000000000001E-2</v>
      </c>
      <c r="P1040" s="8">
        <v>1.14E-2</v>
      </c>
      <c r="Q1040" s="8">
        <v>1.14E-2</v>
      </c>
      <c r="R1040" s="8">
        <v>0.45710000000000001</v>
      </c>
    </row>
    <row r="1042" spans="1:19" ht="57.6" x14ac:dyDescent="0.3">
      <c r="A1042" s="22" t="s">
        <v>317</v>
      </c>
    </row>
    <row r="1043" spans="1:19" x14ac:dyDescent="0.3">
      <c r="A1043" s="22" t="s">
        <v>66</v>
      </c>
      <c r="B1043" t="s">
        <v>62</v>
      </c>
      <c r="C1043" t="s">
        <v>57</v>
      </c>
      <c r="D1043" t="s">
        <v>63</v>
      </c>
      <c r="E1043" t="s">
        <v>226</v>
      </c>
      <c r="F1043" t="s">
        <v>228</v>
      </c>
      <c r="G1043" t="s">
        <v>229</v>
      </c>
      <c r="H1043" t="s">
        <v>154</v>
      </c>
      <c r="I1043" t="s">
        <v>230</v>
      </c>
      <c r="J1043" t="s">
        <v>231</v>
      </c>
      <c r="K1043" t="s">
        <v>232</v>
      </c>
      <c r="L1043" t="s">
        <v>233</v>
      </c>
      <c r="M1043" t="s">
        <v>234</v>
      </c>
      <c r="N1043" t="s">
        <v>236</v>
      </c>
      <c r="O1043" t="s">
        <v>136</v>
      </c>
      <c r="P1043" t="s">
        <v>238</v>
      </c>
      <c r="Q1043" t="s">
        <v>239</v>
      </c>
      <c r="R1043" t="s">
        <v>240</v>
      </c>
      <c r="S1043" t="s">
        <v>244</v>
      </c>
    </row>
    <row r="1044" spans="1:19" x14ac:dyDescent="0.3">
      <c r="A1044" s="22" t="s">
        <v>67</v>
      </c>
      <c r="B1044">
        <v>166</v>
      </c>
      <c r="C1044" t="s">
        <v>64</v>
      </c>
      <c r="D1044">
        <v>175</v>
      </c>
      <c r="E1044" s="8">
        <v>1.8100000000000002E-2</v>
      </c>
      <c r="F1044" s="8">
        <v>7.2300000000000003E-2</v>
      </c>
      <c r="G1044" s="8">
        <v>0.2651</v>
      </c>
      <c r="H1044" s="8">
        <v>3.61E-2</v>
      </c>
      <c r="I1044" s="8">
        <v>6.0000000000000001E-3</v>
      </c>
      <c r="J1044" s="8">
        <v>6.0000000000000001E-3</v>
      </c>
      <c r="K1044" s="8">
        <v>1.2E-2</v>
      </c>
      <c r="L1044" s="8">
        <v>0.1867</v>
      </c>
      <c r="M1044" s="8">
        <v>0.33729999999999999</v>
      </c>
      <c r="N1044" s="8">
        <v>0.34339999999999998</v>
      </c>
      <c r="O1044" s="8">
        <v>0.1084</v>
      </c>
      <c r="P1044" s="8">
        <v>1.8100000000000002E-2</v>
      </c>
      <c r="Q1044" s="8">
        <v>1.2E-2</v>
      </c>
      <c r="R1044" s="8">
        <v>1.2E-2</v>
      </c>
      <c r="S1044" s="8">
        <v>0.44579999999999997</v>
      </c>
    </row>
    <row r="1045" spans="1:19" x14ac:dyDescent="0.3">
      <c r="A1045" s="22" t="s">
        <v>68</v>
      </c>
      <c r="B1045">
        <v>9</v>
      </c>
      <c r="C1045" t="s">
        <v>64</v>
      </c>
      <c r="D1045">
        <v>175</v>
      </c>
      <c r="G1045" s="8">
        <v>0.44440000000000002</v>
      </c>
      <c r="L1045" s="8">
        <v>0.55559999999999998</v>
      </c>
      <c r="M1045" s="8">
        <v>0.33329999999999999</v>
      </c>
      <c r="N1045" s="8">
        <v>0.1111</v>
      </c>
      <c r="S1045" s="8">
        <v>0.66669999999999996</v>
      </c>
    </row>
    <row r="1047" spans="1:19" x14ac:dyDescent="0.3">
      <c r="A1047"/>
    </row>
    <row r="1048" spans="1:19" x14ac:dyDescent="0.3">
      <c r="A1048"/>
    </row>
    <row r="1049" spans="1:19" x14ac:dyDescent="0.3">
      <c r="A1049"/>
    </row>
    <row r="1051" spans="1:19" ht="57.6" x14ac:dyDescent="0.3">
      <c r="A1051" s="22" t="s">
        <v>318</v>
      </c>
    </row>
    <row r="1052" spans="1:19" x14ac:dyDescent="0.3">
      <c r="A1052" s="22" t="s">
        <v>66</v>
      </c>
      <c r="B1052" t="s">
        <v>62</v>
      </c>
      <c r="C1052" t="s">
        <v>57</v>
      </c>
      <c r="D1052" t="s">
        <v>63</v>
      </c>
      <c r="E1052" t="s">
        <v>226</v>
      </c>
      <c r="F1052" t="s">
        <v>228</v>
      </c>
      <c r="G1052" t="s">
        <v>229</v>
      </c>
      <c r="H1052" t="s">
        <v>154</v>
      </c>
      <c r="I1052" t="s">
        <v>230</v>
      </c>
      <c r="J1052" t="s">
        <v>231</v>
      </c>
      <c r="K1052" t="s">
        <v>232</v>
      </c>
      <c r="L1052" t="s">
        <v>233</v>
      </c>
      <c r="M1052" t="s">
        <v>234</v>
      </c>
      <c r="N1052" t="s">
        <v>236</v>
      </c>
      <c r="O1052" t="s">
        <v>136</v>
      </c>
      <c r="P1052" t="s">
        <v>238</v>
      </c>
      <c r="Q1052" t="s">
        <v>239</v>
      </c>
      <c r="R1052" t="s">
        <v>240</v>
      </c>
      <c r="S1052" t="s">
        <v>244</v>
      </c>
    </row>
    <row r="1053" spans="1:19" x14ac:dyDescent="0.3">
      <c r="A1053" s="22" t="s">
        <v>67</v>
      </c>
      <c r="B1053">
        <v>166</v>
      </c>
      <c r="C1053" t="s">
        <v>64</v>
      </c>
      <c r="D1053">
        <v>175</v>
      </c>
      <c r="E1053" s="8">
        <v>1.8100000000000002E-2</v>
      </c>
      <c r="F1053" s="8">
        <v>7.2300000000000003E-2</v>
      </c>
      <c r="G1053" s="8">
        <v>0.27710000000000001</v>
      </c>
      <c r="H1053" s="8">
        <v>3.61E-2</v>
      </c>
      <c r="I1053" s="8">
        <v>6.0000000000000001E-3</v>
      </c>
      <c r="J1053" s="8">
        <v>6.0000000000000001E-3</v>
      </c>
      <c r="K1053" s="8">
        <v>1.2E-2</v>
      </c>
      <c r="L1053" s="8">
        <v>0.21690000000000001</v>
      </c>
      <c r="M1053" s="8">
        <v>0.34339999999999998</v>
      </c>
      <c r="N1053" s="8">
        <v>0.34339999999999998</v>
      </c>
      <c r="O1053" s="8">
        <v>0.1024</v>
      </c>
      <c r="P1053" s="8">
        <v>1.8100000000000002E-2</v>
      </c>
      <c r="Q1053" s="8">
        <v>1.2E-2</v>
      </c>
      <c r="R1053" s="8">
        <v>1.2E-2</v>
      </c>
      <c r="S1053" s="8">
        <v>0.44579999999999997</v>
      </c>
    </row>
    <row r="1054" spans="1:19" x14ac:dyDescent="0.3">
      <c r="A1054" s="22" t="s">
        <v>68</v>
      </c>
      <c r="B1054">
        <v>9</v>
      </c>
      <c r="C1054" t="s">
        <v>64</v>
      </c>
      <c r="D1054">
        <v>175</v>
      </c>
      <c r="G1054" s="8">
        <v>0.22220000000000001</v>
      </c>
      <c r="M1054" s="8">
        <v>0.22220000000000001</v>
      </c>
      <c r="N1054" s="8">
        <v>0.1111</v>
      </c>
      <c r="O1054" s="8">
        <v>0.1111</v>
      </c>
      <c r="S1054" s="8">
        <v>0.66669999999999996</v>
      </c>
    </row>
    <row r="1056" spans="1:19" ht="57.6" x14ac:dyDescent="0.3">
      <c r="A1056" s="22" t="s">
        <v>319</v>
      </c>
    </row>
    <row r="1057" spans="1:19" x14ac:dyDescent="0.3">
      <c r="A1057" s="22" t="s">
        <v>66</v>
      </c>
      <c r="B1057" t="s">
        <v>62</v>
      </c>
      <c r="C1057" t="s">
        <v>57</v>
      </c>
      <c r="D1057" t="s">
        <v>63</v>
      </c>
      <c r="E1057" t="s">
        <v>226</v>
      </c>
      <c r="F1057" t="s">
        <v>228</v>
      </c>
      <c r="G1057" t="s">
        <v>229</v>
      </c>
      <c r="H1057" t="s">
        <v>154</v>
      </c>
      <c r="I1057" t="s">
        <v>230</v>
      </c>
      <c r="J1057" t="s">
        <v>231</v>
      </c>
      <c r="K1057" t="s">
        <v>232</v>
      </c>
      <c r="L1057" t="s">
        <v>233</v>
      </c>
      <c r="M1057" t="s">
        <v>234</v>
      </c>
      <c r="N1057" t="s">
        <v>236</v>
      </c>
      <c r="O1057" t="s">
        <v>136</v>
      </c>
      <c r="P1057" t="s">
        <v>238</v>
      </c>
      <c r="Q1057" t="s">
        <v>239</v>
      </c>
      <c r="R1057" t="s">
        <v>240</v>
      </c>
      <c r="S1057" t="s">
        <v>244</v>
      </c>
    </row>
    <row r="1058" spans="1:19" x14ac:dyDescent="0.3">
      <c r="A1058" s="22" t="s">
        <v>67</v>
      </c>
      <c r="B1058">
        <v>174</v>
      </c>
      <c r="C1058" t="s">
        <v>64</v>
      </c>
      <c r="D1058">
        <v>175</v>
      </c>
      <c r="E1058" s="8">
        <v>1.72E-2</v>
      </c>
      <c r="F1058" s="8">
        <v>6.9000000000000006E-2</v>
      </c>
      <c r="G1058" s="8">
        <v>0.27589999999999998</v>
      </c>
      <c r="H1058" s="8">
        <v>3.4500000000000003E-2</v>
      </c>
      <c r="I1058" s="8">
        <v>5.7000000000000002E-3</v>
      </c>
      <c r="J1058" s="8">
        <v>5.7000000000000002E-3</v>
      </c>
      <c r="K1058" s="8">
        <v>1.15E-2</v>
      </c>
      <c r="L1058" s="8">
        <v>0.2069</v>
      </c>
      <c r="M1058" s="8">
        <v>0.33910000000000001</v>
      </c>
      <c r="N1058" s="8">
        <v>0.33329999999999999</v>
      </c>
      <c r="O1058" s="8">
        <v>0.10340000000000001</v>
      </c>
      <c r="P1058" s="8">
        <v>1.72E-2</v>
      </c>
      <c r="Q1058" s="8">
        <v>1.15E-2</v>
      </c>
      <c r="R1058" s="8">
        <v>1.15E-2</v>
      </c>
      <c r="S1058" s="8">
        <v>0.45400000000000001</v>
      </c>
    </row>
    <row r="1059" spans="1:19" x14ac:dyDescent="0.3">
      <c r="A1059" s="22" t="s">
        <v>68</v>
      </c>
      <c r="B1059">
        <v>1</v>
      </c>
      <c r="C1059" t="s">
        <v>64</v>
      </c>
      <c r="D1059">
        <v>175</v>
      </c>
      <c r="S1059" s="8">
        <v>1</v>
      </c>
    </row>
    <row r="1061" spans="1:19" ht="57.6" x14ac:dyDescent="0.3">
      <c r="A1061" s="22" t="s">
        <v>320</v>
      </c>
    </row>
    <row r="1062" spans="1:19" x14ac:dyDescent="0.3">
      <c r="A1062" s="22" t="s">
        <v>66</v>
      </c>
      <c r="B1062" t="s">
        <v>62</v>
      </c>
      <c r="C1062" t="s">
        <v>57</v>
      </c>
      <c r="D1062" t="s">
        <v>63</v>
      </c>
      <c r="E1062" t="s">
        <v>226</v>
      </c>
      <c r="F1062" t="s">
        <v>228</v>
      </c>
      <c r="G1062" t="s">
        <v>229</v>
      </c>
      <c r="H1062" t="s">
        <v>154</v>
      </c>
      <c r="I1062" t="s">
        <v>230</v>
      </c>
      <c r="J1062" t="s">
        <v>231</v>
      </c>
      <c r="K1062" t="s">
        <v>232</v>
      </c>
      <c r="L1062" t="s">
        <v>233</v>
      </c>
      <c r="M1062" t="s">
        <v>234</v>
      </c>
      <c r="N1062" t="s">
        <v>236</v>
      </c>
      <c r="O1062" t="s">
        <v>136</v>
      </c>
      <c r="P1062" t="s">
        <v>238</v>
      </c>
      <c r="Q1062" t="s">
        <v>239</v>
      </c>
      <c r="R1062" t="s">
        <v>240</v>
      </c>
      <c r="S1062" t="s">
        <v>244</v>
      </c>
    </row>
    <row r="1063" spans="1:19" x14ac:dyDescent="0.3">
      <c r="A1063" s="22" t="s">
        <v>67</v>
      </c>
      <c r="B1063">
        <v>163</v>
      </c>
      <c r="C1063" t="s">
        <v>64</v>
      </c>
      <c r="D1063">
        <v>175</v>
      </c>
      <c r="E1063" s="8">
        <v>1.84E-2</v>
      </c>
      <c r="F1063" s="8">
        <v>6.13E-2</v>
      </c>
      <c r="G1063" s="8">
        <v>0.28220000000000001</v>
      </c>
      <c r="H1063" s="8">
        <v>3.6799999999999999E-2</v>
      </c>
      <c r="I1063" s="8">
        <v>6.1000000000000004E-3</v>
      </c>
      <c r="J1063" s="8">
        <v>6.1000000000000004E-3</v>
      </c>
      <c r="K1063" s="8">
        <v>1.23E-2</v>
      </c>
      <c r="L1063" s="8">
        <v>0.20860000000000001</v>
      </c>
      <c r="M1063" s="8">
        <v>0.34970000000000001</v>
      </c>
      <c r="N1063" s="8">
        <v>0.32519999999999999</v>
      </c>
      <c r="O1063" s="8">
        <v>9.8199999999999996E-2</v>
      </c>
      <c r="P1063" s="8">
        <v>1.84E-2</v>
      </c>
      <c r="Q1063" s="8">
        <v>6.1000000000000004E-3</v>
      </c>
      <c r="R1063" s="8">
        <v>1.23E-2</v>
      </c>
      <c r="S1063" s="8">
        <v>0.46629999999999999</v>
      </c>
    </row>
    <row r="1064" spans="1:19" x14ac:dyDescent="0.3">
      <c r="A1064" s="22" t="s">
        <v>68</v>
      </c>
      <c r="B1064">
        <v>12</v>
      </c>
      <c r="C1064" t="s">
        <v>64</v>
      </c>
      <c r="D1064">
        <v>175</v>
      </c>
      <c r="F1064" s="8">
        <v>0.16669999999999999</v>
      </c>
      <c r="G1064" s="8">
        <v>0.16669999999999999</v>
      </c>
      <c r="L1064" s="8">
        <v>0.16669999999999999</v>
      </c>
      <c r="M1064" s="8">
        <v>0.16669999999999999</v>
      </c>
      <c r="N1064" s="8">
        <v>0.41670000000000001</v>
      </c>
      <c r="O1064" s="8">
        <v>0.16669999999999999</v>
      </c>
      <c r="Q1064" s="8">
        <v>8.3299999999999999E-2</v>
      </c>
      <c r="S1064" s="8">
        <v>0.33329999999999999</v>
      </c>
    </row>
    <row r="1066" spans="1:19" ht="57.6" x14ac:dyDescent="0.3">
      <c r="A1066" s="22" t="s">
        <v>321</v>
      </c>
    </row>
    <row r="1067" spans="1:19" x14ac:dyDescent="0.3">
      <c r="A1067" s="22" t="s">
        <v>66</v>
      </c>
      <c r="B1067" t="s">
        <v>62</v>
      </c>
      <c r="C1067" t="s">
        <v>57</v>
      </c>
      <c r="D1067" t="s">
        <v>63</v>
      </c>
      <c r="E1067" t="s">
        <v>226</v>
      </c>
      <c r="F1067" t="s">
        <v>228</v>
      </c>
      <c r="G1067" t="s">
        <v>229</v>
      </c>
      <c r="H1067" t="s">
        <v>154</v>
      </c>
      <c r="I1067" t="s">
        <v>230</v>
      </c>
      <c r="J1067" t="s">
        <v>231</v>
      </c>
      <c r="K1067" t="s">
        <v>232</v>
      </c>
      <c r="L1067" t="s">
        <v>233</v>
      </c>
      <c r="M1067" t="s">
        <v>234</v>
      </c>
      <c r="N1067" t="s">
        <v>236</v>
      </c>
      <c r="O1067" t="s">
        <v>136</v>
      </c>
      <c r="P1067" t="s">
        <v>238</v>
      </c>
      <c r="Q1067" t="s">
        <v>239</v>
      </c>
      <c r="R1067" t="s">
        <v>240</v>
      </c>
      <c r="S1067" t="s">
        <v>244</v>
      </c>
    </row>
    <row r="1068" spans="1:19" x14ac:dyDescent="0.3">
      <c r="A1068" s="22" t="s">
        <v>67</v>
      </c>
      <c r="B1068">
        <v>5</v>
      </c>
      <c r="C1068" t="s">
        <v>64</v>
      </c>
      <c r="D1068">
        <v>175</v>
      </c>
      <c r="G1068" s="8">
        <v>0.4</v>
      </c>
      <c r="L1068" s="8">
        <v>0.2</v>
      </c>
      <c r="M1068" s="8">
        <v>0.2</v>
      </c>
      <c r="S1068" s="8">
        <v>1</v>
      </c>
    </row>
    <row r="1069" spans="1:19" x14ac:dyDescent="0.3">
      <c r="A1069" s="22" t="s">
        <v>68</v>
      </c>
      <c r="B1069">
        <v>170</v>
      </c>
      <c r="C1069" t="s">
        <v>64</v>
      </c>
      <c r="D1069">
        <v>175</v>
      </c>
      <c r="E1069" s="8">
        <v>1.7600000000000001E-2</v>
      </c>
      <c r="F1069" s="8">
        <v>7.0599999999999996E-2</v>
      </c>
      <c r="G1069" s="8">
        <v>0.27060000000000001</v>
      </c>
      <c r="H1069" s="8">
        <v>3.5299999999999998E-2</v>
      </c>
      <c r="I1069" s="8">
        <v>5.8999999999999999E-3</v>
      </c>
      <c r="J1069" s="8">
        <v>5.8999999999999999E-3</v>
      </c>
      <c r="K1069" s="8">
        <v>1.18E-2</v>
      </c>
      <c r="L1069" s="8">
        <v>0.2059</v>
      </c>
      <c r="M1069" s="8">
        <v>0.3412</v>
      </c>
      <c r="N1069" s="8">
        <v>0.3412</v>
      </c>
      <c r="O1069" s="8">
        <v>0.10589999999999999</v>
      </c>
      <c r="P1069" s="8">
        <v>1.7600000000000001E-2</v>
      </c>
      <c r="Q1069" s="8">
        <v>1.18E-2</v>
      </c>
      <c r="R1069" s="8">
        <v>1.18E-2</v>
      </c>
      <c r="S1069" s="8">
        <v>0.44119999999999998</v>
      </c>
    </row>
    <row r="1071" spans="1:19" ht="57.6" x14ac:dyDescent="0.3">
      <c r="A1071" s="22" t="s">
        <v>322</v>
      </c>
    </row>
    <row r="1072" spans="1:19" x14ac:dyDescent="0.3">
      <c r="A1072" s="22" t="s">
        <v>66</v>
      </c>
      <c r="B1072" t="s">
        <v>62</v>
      </c>
      <c r="C1072" t="s">
        <v>57</v>
      </c>
      <c r="D1072" t="s">
        <v>63</v>
      </c>
      <c r="E1072" t="s">
        <v>226</v>
      </c>
      <c r="F1072" t="s">
        <v>228</v>
      </c>
      <c r="G1072" t="s">
        <v>229</v>
      </c>
      <c r="H1072" t="s">
        <v>154</v>
      </c>
      <c r="I1072" t="s">
        <v>230</v>
      </c>
      <c r="J1072" t="s">
        <v>231</v>
      </c>
      <c r="K1072" t="s">
        <v>232</v>
      </c>
      <c r="L1072" t="s">
        <v>233</v>
      </c>
      <c r="M1072" t="s">
        <v>234</v>
      </c>
      <c r="N1072" t="s">
        <v>236</v>
      </c>
      <c r="O1072" t="s">
        <v>136</v>
      </c>
      <c r="P1072" t="s">
        <v>238</v>
      </c>
      <c r="Q1072" t="s">
        <v>239</v>
      </c>
      <c r="R1072" t="s">
        <v>240</v>
      </c>
      <c r="S1072" t="s">
        <v>244</v>
      </c>
    </row>
    <row r="1073" spans="1:19" x14ac:dyDescent="0.3">
      <c r="A1073" s="22" t="s">
        <v>67</v>
      </c>
      <c r="B1073">
        <v>143</v>
      </c>
      <c r="C1073" t="s">
        <v>64</v>
      </c>
      <c r="D1073">
        <v>175</v>
      </c>
      <c r="E1073" s="8">
        <v>2.1000000000000001E-2</v>
      </c>
      <c r="F1073" s="8">
        <v>5.5899999999999998E-2</v>
      </c>
      <c r="G1073" s="8">
        <v>0.2797</v>
      </c>
      <c r="H1073" s="8">
        <v>3.5000000000000003E-2</v>
      </c>
      <c r="J1073" s="8">
        <v>7.0000000000000001E-3</v>
      </c>
      <c r="K1073" s="8">
        <v>1.4E-2</v>
      </c>
      <c r="L1073" s="8">
        <v>0.1888</v>
      </c>
      <c r="M1073" s="8">
        <v>0.35659999999999997</v>
      </c>
      <c r="N1073" s="8">
        <v>0.28670000000000001</v>
      </c>
      <c r="O1073" s="8">
        <v>9.0899999999999995E-2</v>
      </c>
      <c r="P1073" s="8">
        <v>1.4E-2</v>
      </c>
      <c r="Q1073" s="8">
        <v>1.4E-2</v>
      </c>
      <c r="R1073" s="8">
        <v>1.4E-2</v>
      </c>
      <c r="S1073" s="8">
        <v>0.4965</v>
      </c>
    </row>
    <row r="1074" spans="1:19" x14ac:dyDescent="0.3">
      <c r="A1074" s="22" t="s">
        <v>68</v>
      </c>
      <c r="B1074">
        <v>32</v>
      </c>
      <c r="C1074" t="s">
        <v>64</v>
      </c>
      <c r="D1074">
        <v>175</v>
      </c>
      <c r="F1074" s="8">
        <v>0.125</v>
      </c>
      <c r="G1074" s="8">
        <v>0.25</v>
      </c>
      <c r="H1074" s="8">
        <v>3.1199999999999999E-2</v>
      </c>
      <c r="I1074" s="8">
        <v>3.1199999999999999E-2</v>
      </c>
      <c r="L1074" s="8">
        <v>0.28120000000000001</v>
      </c>
      <c r="M1074" s="8">
        <v>0.25</v>
      </c>
      <c r="N1074" s="8">
        <v>0.53120000000000001</v>
      </c>
      <c r="O1074" s="8">
        <v>0.15620000000000001</v>
      </c>
      <c r="P1074" s="8">
        <v>3.1199999999999999E-2</v>
      </c>
      <c r="S1074" s="8">
        <v>0.28120000000000001</v>
      </c>
    </row>
    <row r="1076" spans="1:19" ht="57.6" x14ac:dyDescent="0.3">
      <c r="A1076" s="22" t="s">
        <v>323</v>
      </c>
    </row>
    <row r="1077" spans="1:19" x14ac:dyDescent="0.3">
      <c r="A1077" s="22" t="s">
        <v>66</v>
      </c>
      <c r="B1077" t="s">
        <v>62</v>
      </c>
      <c r="C1077" t="s">
        <v>57</v>
      </c>
      <c r="D1077" t="s">
        <v>63</v>
      </c>
      <c r="E1077" t="s">
        <v>226</v>
      </c>
      <c r="F1077" t="s">
        <v>228</v>
      </c>
      <c r="G1077" t="s">
        <v>229</v>
      </c>
      <c r="H1077" t="s">
        <v>154</v>
      </c>
      <c r="I1077" t="s">
        <v>230</v>
      </c>
      <c r="J1077" t="s">
        <v>231</v>
      </c>
      <c r="K1077" t="s">
        <v>232</v>
      </c>
      <c r="L1077" t="s">
        <v>233</v>
      </c>
      <c r="M1077" t="s">
        <v>234</v>
      </c>
      <c r="N1077" t="s">
        <v>236</v>
      </c>
      <c r="O1077" t="s">
        <v>136</v>
      </c>
      <c r="P1077" t="s">
        <v>238</v>
      </c>
      <c r="Q1077" t="s">
        <v>239</v>
      </c>
      <c r="R1077" t="s">
        <v>240</v>
      </c>
      <c r="S1077" t="s">
        <v>244</v>
      </c>
    </row>
    <row r="1078" spans="1:19" x14ac:dyDescent="0.3">
      <c r="A1078" s="22" t="s">
        <v>67</v>
      </c>
      <c r="B1078">
        <v>137</v>
      </c>
      <c r="C1078" t="s">
        <v>64</v>
      </c>
      <c r="D1078">
        <v>175</v>
      </c>
      <c r="E1078" s="8">
        <v>2.1899999999999999E-2</v>
      </c>
      <c r="F1078" s="8">
        <v>6.5699999999999995E-2</v>
      </c>
      <c r="G1078" s="8">
        <v>0.26279999999999998</v>
      </c>
      <c r="H1078" s="8">
        <v>3.6499999999999998E-2</v>
      </c>
      <c r="I1078" s="8">
        <v>7.3000000000000001E-3</v>
      </c>
      <c r="J1078" s="8">
        <v>7.3000000000000001E-3</v>
      </c>
      <c r="K1078" s="8">
        <v>1.46E-2</v>
      </c>
      <c r="L1078" s="8">
        <v>0.1971</v>
      </c>
      <c r="M1078" s="8">
        <v>0.34310000000000002</v>
      </c>
      <c r="N1078" s="8">
        <v>0.32850000000000001</v>
      </c>
      <c r="O1078" s="8">
        <v>0.1095</v>
      </c>
      <c r="P1078" s="8">
        <v>2.1899999999999999E-2</v>
      </c>
      <c r="Q1078" s="8">
        <v>1.46E-2</v>
      </c>
      <c r="R1078" s="8">
        <v>1.46E-2</v>
      </c>
      <c r="S1078" s="8">
        <v>0.44529999999999997</v>
      </c>
    </row>
    <row r="1079" spans="1:19" x14ac:dyDescent="0.3">
      <c r="A1079" s="22" t="s">
        <v>68</v>
      </c>
      <c r="B1079">
        <v>38</v>
      </c>
      <c r="C1079" t="s">
        <v>64</v>
      </c>
      <c r="D1079">
        <v>175</v>
      </c>
      <c r="F1079" s="8">
        <v>7.8899999999999998E-2</v>
      </c>
      <c r="G1079" s="8">
        <v>0.31580000000000003</v>
      </c>
      <c r="H1079" s="8">
        <v>2.63E-2</v>
      </c>
      <c r="L1079" s="8">
        <v>0.23680000000000001</v>
      </c>
      <c r="M1079" s="8">
        <v>0.31580000000000003</v>
      </c>
      <c r="N1079" s="8">
        <v>0.34210000000000002</v>
      </c>
      <c r="O1079" s="8">
        <v>7.8899999999999998E-2</v>
      </c>
      <c r="S1079" s="8">
        <v>0.5</v>
      </c>
    </row>
    <row r="1081" spans="1:19" ht="57.6" x14ac:dyDescent="0.3">
      <c r="A1081" s="22" t="s">
        <v>324</v>
      </c>
    </row>
    <row r="1082" spans="1:19" x14ac:dyDescent="0.3">
      <c r="A1082" s="22" t="s">
        <v>66</v>
      </c>
      <c r="B1082" t="s">
        <v>62</v>
      </c>
      <c r="C1082" t="s">
        <v>57</v>
      </c>
      <c r="D1082" t="s">
        <v>63</v>
      </c>
      <c r="E1082" t="s">
        <v>226</v>
      </c>
      <c r="F1082" t="s">
        <v>228</v>
      </c>
      <c r="G1082" t="s">
        <v>229</v>
      </c>
      <c r="H1082" t="s">
        <v>154</v>
      </c>
      <c r="I1082" t="s">
        <v>230</v>
      </c>
      <c r="J1082" t="s">
        <v>231</v>
      </c>
      <c r="K1082" t="s">
        <v>232</v>
      </c>
      <c r="L1082" t="s">
        <v>233</v>
      </c>
      <c r="M1082" t="s">
        <v>234</v>
      </c>
      <c r="N1082" t="s">
        <v>236</v>
      </c>
      <c r="O1082" t="s">
        <v>136</v>
      </c>
      <c r="P1082" t="s">
        <v>238</v>
      </c>
      <c r="Q1082" t="s">
        <v>239</v>
      </c>
      <c r="R1082" t="s">
        <v>240</v>
      </c>
      <c r="S1082" t="s">
        <v>244</v>
      </c>
    </row>
    <row r="1083" spans="1:19" x14ac:dyDescent="0.3">
      <c r="A1083" s="22" t="s">
        <v>67</v>
      </c>
      <c r="B1083">
        <v>129</v>
      </c>
      <c r="C1083" t="s">
        <v>64</v>
      </c>
      <c r="D1083">
        <v>175</v>
      </c>
      <c r="E1083" s="8">
        <v>1.55E-2</v>
      </c>
      <c r="F1083" s="8">
        <v>8.5300000000000001E-2</v>
      </c>
      <c r="G1083" s="8">
        <v>0.25580000000000003</v>
      </c>
      <c r="H1083" s="8">
        <v>3.1E-2</v>
      </c>
      <c r="I1083" s="8">
        <v>7.7999999999999996E-3</v>
      </c>
      <c r="J1083" s="8">
        <v>7.7999999999999996E-3</v>
      </c>
      <c r="K1083" s="8">
        <v>1.55E-2</v>
      </c>
      <c r="L1083" s="8">
        <v>0.20930000000000001</v>
      </c>
      <c r="M1083" s="8">
        <v>0.33329999999999999</v>
      </c>
      <c r="N1083" s="8">
        <v>0.33329999999999999</v>
      </c>
      <c r="O1083" s="8">
        <v>0.1085</v>
      </c>
      <c r="P1083" s="8">
        <v>2.3300000000000001E-2</v>
      </c>
      <c r="Q1083" s="8">
        <v>7.7999999999999996E-3</v>
      </c>
      <c r="R1083" s="8">
        <v>7.7999999999999996E-3</v>
      </c>
      <c r="S1083" s="8">
        <v>0.45739999999999997</v>
      </c>
    </row>
    <row r="1084" spans="1:19" x14ac:dyDescent="0.3">
      <c r="A1084" s="22" t="s">
        <v>68</v>
      </c>
      <c r="B1084">
        <v>46</v>
      </c>
      <c r="C1084" t="s">
        <v>64</v>
      </c>
      <c r="D1084">
        <v>175</v>
      </c>
      <c r="E1084" s="8">
        <v>2.1700000000000001E-2</v>
      </c>
      <c r="F1084" s="8">
        <v>2.1700000000000001E-2</v>
      </c>
      <c r="G1084" s="8">
        <v>0.3261</v>
      </c>
      <c r="H1084" s="8">
        <v>4.3499999999999997E-2</v>
      </c>
      <c r="L1084" s="8">
        <v>0.19570000000000001</v>
      </c>
      <c r="M1084" s="8">
        <v>0.3478</v>
      </c>
      <c r="N1084" s="8">
        <v>0.3261</v>
      </c>
      <c r="O1084" s="8">
        <v>8.6999999999999994E-2</v>
      </c>
      <c r="Q1084" s="8">
        <v>2.1700000000000001E-2</v>
      </c>
      <c r="R1084" s="8">
        <v>2.1700000000000001E-2</v>
      </c>
      <c r="S1084" s="8">
        <v>0.45650000000000002</v>
      </c>
    </row>
    <row r="1086" spans="1:19" ht="72" x14ac:dyDescent="0.3">
      <c r="A1086" s="22" t="s">
        <v>325</v>
      </c>
    </row>
    <row r="1087" spans="1:19" x14ac:dyDescent="0.3">
      <c r="A1087" s="22" t="s">
        <v>66</v>
      </c>
      <c r="B1087" t="s">
        <v>62</v>
      </c>
      <c r="C1087" t="s">
        <v>57</v>
      </c>
      <c r="D1087" t="s">
        <v>63</v>
      </c>
      <c r="E1087" t="s">
        <v>226</v>
      </c>
      <c r="F1087" t="s">
        <v>228</v>
      </c>
      <c r="G1087" t="s">
        <v>229</v>
      </c>
      <c r="H1087" t="s">
        <v>154</v>
      </c>
      <c r="I1087" t="s">
        <v>230</v>
      </c>
      <c r="J1087" t="s">
        <v>231</v>
      </c>
      <c r="K1087" t="s">
        <v>232</v>
      </c>
      <c r="L1087" t="s">
        <v>233</v>
      </c>
      <c r="M1087" t="s">
        <v>234</v>
      </c>
      <c r="N1087" t="s">
        <v>236</v>
      </c>
      <c r="O1087" t="s">
        <v>136</v>
      </c>
      <c r="P1087" t="s">
        <v>238</v>
      </c>
      <c r="Q1087" t="s">
        <v>239</v>
      </c>
      <c r="R1087" t="s">
        <v>240</v>
      </c>
      <c r="S1087" t="s">
        <v>244</v>
      </c>
    </row>
    <row r="1088" spans="1:19" x14ac:dyDescent="0.3">
      <c r="A1088" s="22" t="s">
        <v>67</v>
      </c>
      <c r="B1088">
        <v>162</v>
      </c>
      <c r="C1088" t="s">
        <v>64</v>
      </c>
      <c r="D1088">
        <v>175</v>
      </c>
      <c r="E1088" s="8">
        <v>1.8499999999999999E-2</v>
      </c>
      <c r="F1088" s="8">
        <v>7.4099999999999999E-2</v>
      </c>
      <c r="G1088" s="8">
        <v>0.27160000000000001</v>
      </c>
      <c r="H1088" s="8">
        <v>3.6999999999999998E-2</v>
      </c>
      <c r="I1088" s="8">
        <v>6.1999999999999998E-3</v>
      </c>
      <c r="J1088" s="8">
        <v>6.1999999999999998E-3</v>
      </c>
      <c r="K1088" s="8">
        <v>1.23E-2</v>
      </c>
      <c r="L1088" s="8">
        <v>0.1852</v>
      </c>
      <c r="M1088" s="8">
        <v>0.35189999999999999</v>
      </c>
      <c r="N1088" s="8">
        <v>0.32719999999999999</v>
      </c>
      <c r="O1088" s="8">
        <v>9.8799999999999999E-2</v>
      </c>
      <c r="P1088" s="8">
        <v>1.23E-2</v>
      </c>
      <c r="Q1088" s="8">
        <v>1.23E-2</v>
      </c>
      <c r="R1088" s="8">
        <v>6.1999999999999998E-3</v>
      </c>
      <c r="S1088" s="8">
        <v>0.44440000000000002</v>
      </c>
    </row>
    <row r="1089" spans="1:19" x14ac:dyDescent="0.3">
      <c r="A1089" s="22" t="s">
        <v>68</v>
      </c>
      <c r="B1089">
        <v>13</v>
      </c>
      <c r="C1089" t="s">
        <v>64</v>
      </c>
      <c r="D1089">
        <v>175</v>
      </c>
      <c r="G1089" s="8">
        <v>0.30769999999999997</v>
      </c>
      <c r="L1089" s="8">
        <v>0.46150000000000002</v>
      </c>
      <c r="M1089" s="8">
        <v>0.15379999999999999</v>
      </c>
      <c r="N1089" s="8">
        <v>0.3846</v>
      </c>
      <c r="O1089" s="8">
        <v>0.15379999999999999</v>
      </c>
      <c r="P1089" s="8">
        <v>7.6899999999999996E-2</v>
      </c>
      <c r="R1089" s="8">
        <v>7.6899999999999996E-2</v>
      </c>
      <c r="S1089" s="8">
        <v>0.61539999999999995</v>
      </c>
    </row>
    <row r="1091" spans="1:19" ht="72" x14ac:dyDescent="0.3">
      <c r="A1091" s="22" t="s">
        <v>326</v>
      </c>
    </row>
    <row r="1092" spans="1:19" x14ac:dyDescent="0.3">
      <c r="A1092" s="22" t="s">
        <v>66</v>
      </c>
      <c r="B1092" t="s">
        <v>62</v>
      </c>
      <c r="C1092" t="s">
        <v>57</v>
      </c>
      <c r="D1092" t="s">
        <v>63</v>
      </c>
      <c r="E1092" t="s">
        <v>226</v>
      </c>
      <c r="F1092" t="s">
        <v>228</v>
      </c>
      <c r="G1092" t="s">
        <v>229</v>
      </c>
      <c r="H1092" t="s">
        <v>154</v>
      </c>
      <c r="I1092" t="s">
        <v>230</v>
      </c>
      <c r="J1092" t="s">
        <v>231</v>
      </c>
      <c r="K1092" t="s">
        <v>232</v>
      </c>
      <c r="L1092" t="s">
        <v>233</v>
      </c>
      <c r="M1092" t="s">
        <v>234</v>
      </c>
      <c r="N1092" t="s">
        <v>236</v>
      </c>
      <c r="O1092" t="s">
        <v>136</v>
      </c>
      <c r="P1092" t="s">
        <v>238</v>
      </c>
      <c r="Q1092" t="s">
        <v>239</v>
      </c>
      <c r="R1092" t="s">
        <v>240</v>
      </c>
      <c r="S1092" t="s">
        <v>244</v>
      </c>
    </row>
    <row r="1093" spans="1:19" x14ac:dyDescent="0.3">
      <c r="A1093" s="22" t="s">
        <v>67</v>
      </c>
      <c r="B1093">
        <v>175</v>
      </c>
      <c r="C1093" t="s">
        <v>64</v>
      </c>
      <c r="D1093">
        <v>175</v>
      </c>
      <c r="E1093" s="8">
        <v>1.7100000000000001E-2</v>
      </c>
      <c r="F1093" s="8">
        <v>6.8599999999999994E-2</v>
      </c>
      <c r="G1093" s="8">
        <v>0.27429999999999999</v>
      </c>
      <c r="H1093" s="8">
        <v>3.4299999999999997E-2</v>
      </c>
      <c r="I1093" s="8">
        <v>5.7000000000000002E-3</v>
      </c>
      <c r="J1093" s="8">
        <v>5.7000000000000002E-3</v>
      </c>
      <c r="K1093" s="8">
        <v>1.14E-2</v>
      </c>
      <c r="L1093" s="8">
        <v>0.20569999999999999</v>
      </c>
      <c r="M1093" s="8">
        <v>0.33710000000000001</v>
      </c>
      <c r="N1093" s="8">
        <v>0.33139999999999997</v>
      </c>
      <c r="O1093" s="8">
        <v>0.10290000000000001</v>
      </c>
      <c r="P1093" s="8">
        <v>1.7100000000000001E-2</v>
      </c>
      <c r="Q1093" s="8">
        <v>1.14E-2</v>
      </c>
      <c r="R1093" s="8">
        <v>1.14E-2</v>
      </c>
      <c r="S1093" s="8">
        <v>0.45710000000000001</v>
      </c>
    </row>
    <row r="1095" spans="1:19" ht="57.6" x14ac:dyDescent="0.3">
      <c r="A1095" s="22" t="s">
        <v>327</v>
      </c>
    </row>
    <row r="1096" spans="1:19" x14ac:dyDescent="0.3">
      <c r="A1096" s="22" t="s">
        <v>66</v>
      </c>
      <c r="B1096" t="s">
        <v>62</v>
      </c>
      <c r="C1096" t="s">
        <v>57</v>
      </c>
      <c r="D1096" t="s">
        <v>63</v>
      </c>
      <c r="E1096" t="s">
        <v>226</v>
      </c>
      <c r="F1096" t="s">
        <v>228</v>
      </c>
      <c r="G1096" t="s">
        <v>229</v>
      </c>
      <c r="H1096" t="s">
        <v>154</v>
      </c>
      <c r="I1096" t="s">
        <v>230</v>
      </c>
      <c r="J1096" t="s">
        <v>231</v>
      </c>
      <c r="K1096" t="s">
        <v>232</v>
      </c>
      <c r="L1096" t="s">
        <v>233</v>
      </c>
      <c r="M1096" t="s">
        <v>234</v>
      </c>
      <c r="N1096" t="s">
        <v>236</v>
      </c>
      <c r="O1096" t="s">
        <v>136</v>
      </c>
      <c r="P1096" t="s">
        <v>238</v>
      </c>
      <c r="Q1096" t="s">
        <v>239</v>
      </c>
      <c r="R1096" t="s">
        <v>240</v>
      </c>
      <c r="S1096" t="s">
        <v>244</v>
      </c>
    </row>
    <row r="1097" spans="1:19" x14ac:dyDescent="0.3">
      <c r="A1097" s="22" t="s">
        <v>67</v>
      </c>
      <c r="B1097">
        <v>110</v>
      </c>
      <c r="C1097" t="s">
        <v>64</v>
      </c>
      <c r="D1097">
        <v>175</v>
      </c>
      <c r="E1097" s="8">
        <v>2.7300000000000001E-2</v>
      </c>
      <c r="F1097" s="8">
        <v>3.6400000000000002E-2</v>
      </c>
      <c r="G1097" s="8">
        <v>0.2727</v>
      </c>
      <c r="H1097" s="8">
        <v>4.5499999999999999E-2</v>
      </c>
      <c r="I1097" s="8">
        <v>9.1000000000000004E-3</v>
      </c>
      <c r="K1097" s="8">
        <v>9.1000000000000004E-3</v>
      </c>
      <c r="L1097" s="8">
        <v>0.18179999999999999</v>
      </c>
      <c r="M1097" s="8">
        <v>0.34549999999999997</v>
      </c>
      <c r="N1097" s="8">
        <v>0.31819999999999998</v>
      </c>
      <c r="O1097" s="8">
        <v>0.1182</v>
      </c>
      <c r="P1097" s="8">
        <v>9.1000000000000004E-3</v>
      </c>
      <c r="Q1097" s="8">
        <v>9.1000000000000004E-3</v>
      </c>
      <c r="R1097" s="8">
        <v>9.1000000000000004E-3</v>
      </c>
      <c r="S1097" s="8">
        <v>0.41820000000000002</v>
      </c>
    </row>
    <row r="1098" spans="1:19" x14ac:dyDescent="0.3">
      <c r="A1098" s="22" t="s">
        <v>68</v>
      </c>
      <c r="B1098">
        <v>65</v>
      </c>
      <c r="C1098" t="s">
        <v>64</v>
      </c>
      <c r="D1098">
        <v>175</v>
      </c>
      <c r="F1098" s="8">
        <v>0.1231</v>
      </c>
      <c r="G1098" s="8">
        <v>0.27689999999999998</v>
      </c>
      <c r="H1098" s="8">
        <v>1.54E-2</v>
      </c>
      <c r="J1098" s="8">
        <v>1.54E-2</v>
      </c>
      <c r="K1098" s="8">
        <v>1.54E-2</v>
      </c>
      <c r="L1098" s="8">
        <v>0.2462</v>
      </c>
      <c r="M1098" s="8">
        <v>0.3231</v>
      </c>
      <c r="N1098" s="8">
        <v>0.3538</v>
      </c>
      <c r="O1098" s="8">
        <v>7.6899999999999996E-2</v>
      </c>
      <c r="P1098" s="8">
        <v>3.0800000000000001E-2</v>
      </c>
      <c r="Q1098" s="8">
        <v>1.54E-2</v>
      </c>
      <c r="R1098" s="8">
        <v>1.54E-2</v>
      </c>
      <c r="S1098" s="8">
        <v>0.52310000000000001</v>
      </c>
    </row>
    <row r="1100" spans="1:19" ht="57.6" x14ac:dyDescent="0.3">
      <c r="A1100" s="22" t="s">
        <v>328</v>
      </c>
    </row>
    <row r="1101" spans="1:19" x14ac:dyDescent="0.3">
      <c r="A1101" s="22" t="s">
        <v>66</v>
      </c>
      <c r="B1101" t="s">
        <v>62</v>
      </c>
      <c r="C1101" t="s">
        <v>57</v>
      </c>
      <c r="D1101" t="s">
        <v>63</v>
      </c>
      <c r="E1101" t="s">
        <v>226</v>
      </c>
      <c r="F1101" t="s">
        <v>228</v>
      </c>
      <c r="G1101" t="s">
        <v>229</v>
      </c>
      <c r="H1101" t="s">
        <v>154</v>
      </c>
      <c r="I1101" t="s">
        <v>230</v>
      </c>
      <c r="J1101" t="s">
        <v>231</v>
      </c>
      <c r="K1101" t="s">
        <v>232</v>
      </c>
      <c r="L1101" t="s">
        <v>233</v>
      </c>
      <c r="M1101" t="s">
        <v>234</v>
      </c>
      <c r="N1101" t="s">
        <v>236</v>
      </c>
      <c r="O1101" t="s">
        <v>136</v>
      </c>
      <c r="P1101" t="s">
        <v>238</v>
      </c>
      <c r="Q1101" t="s">
        <v>239</v>
      </c>
      <c r="R1101" t="s">
        <v>240</v>
      </c>
      <c r="S1101" t="s">
        <v>244</v>
      </c>
    </row>
    <row r="1102" spans="1:19" x14ac:dyDescent="0.3">
      <c r="A1102" s="22" t="s">
        <v>67</v>
      </c>
      <c r="B1102">
        <v>157</v>
      </c>
      <c r="C1102" t="s">
        <v>64</v>
      </c>
      <c r="D1102">
        <v>175</v>
      </c>
      <c r="E1102" s="8">
        <v>1.2699999999999999E-2</v>
      </c>
      <c r="F1102" s="8">
        <v>7.6399999999999996E-2</v>
      </c>
      <c r="G1102" s="8">
        <v>0.28660000000000002</v>
      </c>
      <c r="H1102" s="8">
        <v>3.8199999999999998E-2</v>
      </c>
      <c r="I1102" s="8">
        <v>6.4000000000000003E-3</v>
      </c>
      <c r="J1102" s="8">
        <v>6.4000000000000003E-3</v>
      </c>
      <c r="K1102" s="8">
        <v>1.2699999999999999E-2</v>
      </c>
      <c r="L1102" s="8">
        <v>0.19750000000000001</v>
      </c>
      <c r="M1102" s="8">
        <v>0.33760000000000001</v>
      </c>
      <c r="N1102" s="8">
        <v>0.32479999999999998</v>
      </c>
      <c r="O1102" s="8">
        <v>9.5500000000000002E-2</v>
      </c>
      <c r="P1102" s="8">
        <v>1.9099999999999999E-2</v>
      </c>
      <c r="Q1102" s="8">
        <v>1.2699999999999999E-2</v>
      </c>
      <c r="R1102" s="8">
        <v>1.2699999999999999E-2</v>
      </c>
      <c r="S1102" s="8">
        <v>0.46500000000000002</v>
      </c>
    </row>
    <row r="1103" spans="1:19" x14ac:dyDescent="0.3">
      <c r="A1103" s="22" t="s">
        <v>68</v>
      </c>
      <c r="B1103">
        <v>18</v>
      </c>
      <c r="C1103" t="s">
        <v>64</v>
      </c>
      <c r="D1103">
        <v>175</v>
      </c>
      <c r="E1103" s="8">
        <v>5.5599999999999997E-2</v>
      </c>
      <c r="G1103" s="8">
        <v>0.16669999999999999</v>
      </c>
      <c r="L1103" s="8">
        <v>0.27779999999999999</v>
      </c>
      <c r="M1103" s="8">
        <v>0.33329999999999999</v>
      </c>
      <c r="N1103" s="8">
        <v>0.38890000000000002</v>
      </c>
      <c r="O1103" s="8">
        <v>0.16669999999999999</v>
      </c>
      <c r="S1103" s="8">
        <v>0.38890000000000002</v>
      </c>
    </row>
    <row r="1105" spans="1:22" ht="43.2" x14ac:dyDescent="0.3">
      <c r="A1105" s="22" t="s">
        <v>329</v>
      </c>
    </row>
    <row r="1106" spans="1:22" x14ac:dyDescent="0.3">
      <c r="A1106" s="22" t="s">
        <v>66</v>
      </c>
      <c r="B1106" t="s">
        <v>62</v>
      </c>
      <c r="C1106" t="s">
        <v>57</v>
      </c>
      <c r="D1106" t="s">
        <v>63</v>
      </c>
      <c r="E1106" t="s">
        <v>226</v>
      </c>
      <c r="F1106" t="s">
        <v>228</v>
      </c>
      <c r="G1106" t="s">
        <v>229</v>
      </c>
      <c r="H1106" t="s">
        <v>154</v>
      </c>
      <c r="I1106" t="s">
        <v>230</v>
      </c>
      <c r="J1106" t="s">
        <v>231</v>
      </c>
      <c r="K1106" t="s">
        <v>232</v>
      </c>
      <c r="L1106" t="s">
        <v>233</v>
      </c>
      <c r="M1106" t="s">
        <v>234</v>
      </c>
      <c r="N1106" t="s">
        <v>236</v>
      </c>
      <c r="O1106" t="s">
        <v>136</v>
      </c>
      <c r="P1106" t="s">
        <v>238</v>
      </c>
      <c r="Q1106" t="s">
        <v>239</v>
      </c>
      <c r="R1106" t="s">
        <v>240</v>
      </c>
      <c r="S1106" t="s">
        <v>244</v>
      </c>
    </row>
    <row r="1107" spans="1:22" x14ac:dyDescent="0.3">
      <c r="A1107" s="22" t="s">
        <v>81</v>
      </c>
      <c r="B1107">
        <v>47</v>
      </c>
      <c r="C1107" t="s">
        <v>64</v>
      </c>
      <c r="D1107">
        <v>175</v>
      </c>
      <c r="F1107" s="8">
        <v>6.3799999999999996E-2</v>
      </c>
      <c r="G1107" s="8">
        <v>0.23400000000000001</v>
      </c>
      <c r="H1107" s="8">
        <v>6.3799999999999996E-2</v>
      </c>
      <c r="I1107" s="8">
        <v>2.1299999999999999E-2</v>
      </c>
      <c r="J1107" s="8">
        <v>2.1299999999999999E-2</v>
      </c>
      <c r="L1107" s="8">
        <v>0.17019999999999999</v>
      </c>
      <c r="M1107" s="8">
        <v>0.21279999999999999</v>
      </c>
      <c r="N1107" s="8">
        <v>0.31909999999999999</v>
      </c>
      <c r="O1107" s="8">
        <v>0.17019999999999999</v>
      </c>
      <c r="P1107" s="8">
        <v>2.1299999999999999E-2</v>
      </c>
      <c r="Q1107" s="8">
        <v>2.1299999999999999E-2</v>
      </c>
      <c r="R1107" s="8">
        <v>2.1299999999999999E-2</v>
      </c>
      <c r="S1107" s="8">
        <v>0.38300000000000001</v>
      </c>
    </row>
    <row r="1108" spans="1:22" x14ac:dyDescent="0.3">
      <c r="A1108" s="22" t="s">
        <v>82</v>
      </c>
      <c r="B1108">
        <v>41</v>
      </c>
      <c r="C1108" t="s">
        <v>64</v>
      </c>
      <c r="D1108">
        <v>175</v>
      </c>
      <c r="E1108" s="8">
        <v>2.4400000000000002E-2</v>
      </c>
      <c r="F1108" s="8">
        <v>4.8800000000000003E-2</v>
      </c>
      <c r="G1108" s="8">
        <v>0.34150000000000003</v>
      </c>
      <c r="K1108" s="8">
        <v>2.4400000000000002E-2</v>
      </c>
      <c r="L1108" s="8">
        <v>0.14630000000000001</v>
      </c>
      <c r="M1108" s="8">
        <v>0.51219999999999999</v>
      </c>
      <c r="N1108" s="8">
        <v>0.41460000000000002</v>
      </c>
      <c r="O1108" s="8">
        <v>9.7600000000000006E-2</v>
      </c>
      <c r="S1108" s="8">
        <v>0.41460000000000002</v>
      </c>
    </row>
    <row r="1109" spans="1:22" x14ac:dyDescent="0.3">
      <c r="A1109" s="22" t="s">
        <v>83</v>
      </c>
      <c r="B1109">
        <v>46</v>
      </c>
      <c r="C1109" t="s">
        <v>64</v>
      </c>
      <c r="D1109">
        <v>175</v>
      </c>
      <c r="E1109" s="8">
        <v>2.1700000000000001E-2</v>
      </c>
      <c r="F1109" s="8">
        <v>6.5199999999999994E-2</v>
      </c>
      <c r="G1109" s="8">
        <v>0.21740000000000001</v>
      </c>
      <c r="H1109" s="8">
        <v>4.3499999999999997E-2</v>
      </c>
      <c r="L1109" s="8">
        <v>0.23910000000000001</v>
      </c>
      <c r="M1109" s="8">
        <v>0.39129999999999998</v>
      </c>
      <c r="N1109" s="8">
        <v>0.23910000000000001</v>
      </c>
      <c r="O1109" s="8">
        <v>4.3499999999999997E-2</v>
      </c>
      <c r="R1109" s="8">
        <v>2.1700000000000001E-2</v>
      </c>
      <c r="S1109" s="8">
        <v>0.54349999999999998</v>
      </c>
    </row>
    <row r="1110" spans="1:22" x14ac:dyDescent="0.3">
      <c r="A1110" s="22" t="s">
        <v>84</v>
      </c>
      <c r="B1110">
        <v>41</v>
      </c>
      <c r="C1110" t="s">
        <v>64</v>
      </c>
      <c r="D1110">
        <v>175</v>
      </c>
      <c r="E1110" s="8">
        <v>2.4400000000000002E-2</v>
      </c>
      <c r="F1110" s="8">
        <v>9.7600000000000006E-2</v>
      </c>
      <c r="G1110" s="8">
        <v>0.31709999999999999</v>
      </c>
      <c r="H1110" s="8">
        <v>2.4400000000000002E-2</v>
      </c>
      <c r="K1110" s="8">
        <v>2.4400000000000002E-2</v>
      </c>
      <c r="L1110" s="8">
        <v>0.26829999999999998</v>
      </c>
      <c r="M1110" s="8">
        <v>0.24390000000000001</v>
      </c>
      <c r="N1110" s="8">
        <v>0.3659</v>
      </c>
      <c r="O1110" s="8">
        <v>9.7600000000000006E-2</v>
      </c>
      <c r="P1110" s="8">
        <v>4.8800000000000003E-2</v>
      </c>
      <c r="Q1110" s="8">
        <v>2.4400000000000002E-2</v>
      </c>
      <c r="S1110" s="8">
        <v>0.48780000000000001</v>
      </c>
    </row>
    <row r="1112" spans="1:22" ht="43.2" x14ac:dyDescent="0.3">
      <c r="A1112" s="22" t="s">
        <v>330</v>
      </c>
    </row>
    <row r="1113" spans="1:22" x14ac:dyDescent="0.3">
      <c r="A1113" s="22" t="s">
        <v>62</v>
      </c>
      <c r="B1113" t="s">
        <v>57</v>
      </c>
      <c r="C1113" t="s">
        <v>63</v>
      </c>
      <c r="D1113" t="s">
        <v>226</v>
      </c>
      <c r="E1113" t="s">
        <v>227</v>
      </c>
      <c r="F1113" t="s">
        <v>228</v>
      </c>
      <c r="G1113" t="s">
        <v>229</v>
      </c>
      <c r="H1113" t="s">
        <v>154</v>
      </c>
      <c r="I1113" t="s">
        <v>230</v>
      </c>
      <c r="J1113" t="s">
        <v>232</v>
      </c>
      <c r="K1113" t="s">
        <v>233</v>
      </c>
      <c r="L1113" t="s">
        <v>234</v>
      </c>
      <c r="M1113" t="s">
        <v>235</v>
      </c>
      <c r="N1113" t="s">
        <v>236</v>
      </c>
      <c r="O1113" t="s">
        <v>136</v>
      </c>
      <c r="P1113" t="s">
        <v>238</v>
      </c>
      <c r="Q1113" t="s">
        <v>240</v>
      </c>
      <c r="R1113" t="s">
        <v>241</v>
      </c>
      <c r="S1113" t="s">
        <v>243</v>
      </c>
      <c r="T1113" t="s">
        <v>244</v>
      </c>
      <c r="U1113" t="s">
        <v>245</v>
      </c>
    </row>
    <row r="1114" spans="1:22" x14ac:dyDescent="0.3">
      <c r="A1114" s="22">
        <v>120</v>
      </c>
      <c r="B1114" t="s">
        <v>64</v>
      </c>
      <c r="C1114">
        <v>120</v>
      </c>
      <c r="D1114" s="8">
        <v>1.67E-2</v>
      </c>
      <c r="E1114" s="8">
        <v>8.3000000000000001E-3</v>
      </c>
      <c r="F1114" s="8">
        <v>9.1700000000000004E-2</v>
      </c>
      <c r="G1114" s="8">
        <v>0.26669999999999999</v>
      </c>
      <c r="H1114" s="8">
        <v>0.1</v>
      </c>
      <c r="I1114" s="8">
        <v>3.3300000000000003E-2</v>
      </c>
      <c r="J1114" s="8">
        <v>4.1700000000000001E-2</v>
      </c>
      <c r="K1114" s="8">
        <v>0.23330000000000001</v>
      </c>
      <c r="L1114" s="8">
        <v>0.25829999999999997</v>
      </c>
      <c r="M1114" s="8">
        <v>2.5000000000000001E-2</v>
      </c>
      <c r="N1114" s="8">
        <v>0.45</v>
      </c>
      <c r="O1114" s="8">
        <v>0.1167</v>
      </c>
      <c r="P1114" s="8">
        <v>0.05</v>
      </c>
      <c r="Q1114" s="8">
        <v>8.3000000000000001E-3</v>
      </c>
      <c r="R1114" s="8">
        <v>8.3000000000000001E-3</v>
      </c>
      <c r="S1114" s="8">
        <v>1.67E-2</v>
      </c>
      <c r="T1114" s="8">
        <v>0.32500000000000001</v>
      </c>
      <c r="U1114" s="8">
        <v>3.3300000000000003E-2</v>
      </c>
    </row>
    <row r="1116" spans="1:22" ht="57.6" x14ac:dyDescent="0.3">
      <c r="A1116" s="22" t="s">
        <v>331</v>
      </c>
    </row>
    <row r="1117" spans="1:22" x14ac:dyDescent="0.3">
      <c r="A1117" s="22" t="s">
        <v>66</v>
      </c>
      <c r="B1117" t="s">
        <v>62</v>
      </c>
      <c r="C1117" t="s">
        <v>57</v>
      </c>
      <c r="D1117" t="s">
        <v>63</v>
      </c>
      <c r="E1117" t="s">
        <v>226</v>
      </c>
      <c r="F1117" t="s">
        <v>227</v>
      </c>
      <c r="G1117" t="s">
        <v>228</v>
      </c>
      <c r="H1117" t="s">
        <v>229</v>
      </c>
      <c r="I1117" t="s">
        <v>154</v>
      </c>
      <c r="J1117" t="s">
        <v>230</v>
      </c>
      <c r="K1117" t="s">
        <v>232</v>
      </c>
      <c r="L1117" t="s">
        <v>233</v>
      </c>
      <c r="M1117" t="s">
        <v>234</v>
      </c>
      <c r="N1117" t="s">
        <v>235</v>
      </c>
      <c r="O1117" t="s">
        <v>236</v>
      </c>
      <c r="P1117" t="s">
        <v>136</v>
      </c>
      <c r="Q1117" t="s">
        <v>238</v>
      </c>
      <c r="R1117" t="s">
        <v>240</v>
      </c>
      <c r="S1117" t="s">
        <v>241</v>
      </c>
      <c r="T1117" t="s">
        <v>243</v>
      </c>
      <c r="U1117" t="s">
        <v>244</v>
      </c>
      <c r="V1117" t="s">
        <v>245</v>
      </c>
    </row>
    <row r="1118" spans="1:22" x14ac:dyDescent="0.3">
      <c r="A1118" s="22" t="s">
        <v>67</v>
      </c>
      <c r="B1118">
        <v>113</v>
      </c>
      <c r="C1118" t="s">
        <v>64</v>
      </c>
      <c r="D1118">
        <v>120</v>
      </c>
      <c r="E1118" s="8">
        <v>1.77E-2</v>
      </c>
      <c r="F1118" s="8">
        <v>8.8000000000000005E-3</v>
      </c>
      <c r="G1118" s="8">
        <v>9.7299999999999998E-2</v>
      </c>
      <c r="H1118" s="8">
        <v>0.25659999999999999</v>
      </c>
      <c r="I1118" s="8">
        <v>8.8499999999999995E-2</v>
      </c>
      <c r="J1118" s="8">
        <v>3.5400000000000001E-2</v>
      </c>
      <c r="K1118" s="8">
        <v>4.4200000000000003E-2</v>
      </c>
      <c r="L1118" s="8">
        <v>0.22120000000000001</v>
      </c>
      <c r="M1118" s="8">
        <v>0.26550000000000001</v>
      </c>
      <c r="N1118" s="8">
        <v>2.6499999999999999E-2</v>
      </c>
      <c r="O1118" s="8">
        <v>0.46899999999999997</v>
      </c>
      <c r="P1118" s="8">
        <v>0.1239</v>
      </c>
      <c r="Q1118" s="8">
        <v>5.3100000000000001E-2</v>
      </c>
      <c r="S1118" s="8">
        <v>8.8000000000000005E-3</v>
      </c>
      <c r="T1118" s="8">
        <v>1.77E-2</v>
      </c>
      <c r="U1118" s="8">
        <v>0.30969999999999998</v>
      </c>
      <c r="V1118" s="8">
        <v>3.5400000000000001E-2</v>
      </c>
    </row>
    <row r="1119" spans="1:22" x14ac:dyDescent="0.3">
      <c r="A1119" s="22" t="s">
        <v>68</v>
      </c>
      <c r="B1119">
        <v>7</v>
      </c>
      <c r="C1119" t="s">
        <v>64</v>
      </c>
      <c r="D1119">
        <v>120</v>
      </c>
      <c r="H1119" s="8">
        <v>0.42859999999999998</v>
      </c>
      <c r="I1119" s="8">
        <v>0.28570000000000001</v>
      </c>
      <c r="L1119" s="8">
        <v>0.42859999999999998</v>
      </c>
      <c r="M1119" s="8">
        <v>0.1429</v>
      </c>
      <c r="O1119" s="8">
        <v>0.1429</v>
      </c>
      <c r="R1119" s="8">
        <v>0.1429</v>
      </c>
      <c r="U1119" s="8">
        <v>0.57140000000000002</v>
      </c>
    </row>
    <row r="1121" spans="1:22" x14ac:dyDescent="0.3">
      <c r="A1121"/>
    </row>
    <row r="1122" spans="1:22" x14ac:dyDescent="0.3">
      <c r="A1122"/>
    </row>
    <row r="1123" spans="1:22" x14ac:dyDescent="0.3">
      <c r="A1123"/>
    </row>
    <row r="1125" spans="1:22" ht="57.6" x14ac:dyDescent="0.3">
      <c r="A1125" s="22" t="s">
        <v>332</v>
      </c>
    </row>
    <row r="1126" spans="1:22" x14ac:dyDescent="0.3">
      <c r="A1126" s="22" t="s">
        <v>66</v>
      </c>
      <c r="B1126" t="s">
        <v>62</v>
      </c>
      <c r="C1126" t="s">
        <v>57</v>
      </c>
      <c r="D1126" t="s">
        <v>63</v>
      </c>
      <c r="E1126" t="s">
        <v>226</v>
      </c>
      <c r="F1126" t="s">
        <v>227</v>
      </c>
      <c r="G1126" t="s">
        <v>228</v>
      </c>
      <c r="H1126" t="s">
        <v>229</v>
      </c>
      <c r="I1126" t="s">
        <v>154</v>
      </c>
      <c r="J1126" t="s">
        <v>230</v>
      </c>
      <c r="K1126" t="s">
        <v>232</v>
      </c>
      <c r="L1126" t="s">
        <v>233</v>
      </c>
      <c r="M1126" t="s">
        <v>234</v>
      </c>
      <c r="N1126" t="s">
        <v>235</v>
      </c>
      <c r="O1126" t="s">
        <v>236</v>
      </c>
      <c r="P1126" t="s">
        <v>136</v>
      </c>
      <c r="Q1126" t="s">
        <v>238</v>
      </c>
      <c r="R1126" t="s">
        <v>240</v>
      </c>
      <c r="S1126" t="s">
        <v>241</v>
      </c>
      <c r="T1126" t="s">
        <v>243</v>
      </c>
      <c r="U1126" t="s">
        <v>244</v>
      </c>
      <c r="V1126" t="s">
        <v>245</v>
      </c>
    </row>
    <row r="1127" spans="1:22" x14ac:dyDescent="0.3">
      <c r="A1127" s="22" t="s">
        <v>67</v>
      </c>
      <c r="B1127">
        <v>115</v>
      </c>
      <c r="C1127" t="s">
        <v>64</v>
      </c>
      <c r="D1127">
        <v>120</v>
      </c>
      <c r="E1127" s="8">
        <v>1.7399999999999999E-2</v>
      </c>
      <c r="F1127" s="8">
        <v>8.6999999999999994E-3</v>
      </c>
      <c r="G1127" s="8">
        <v>9.5699999999999993E-2</v>
      </c>
      <c r="H1127" s="8">
        <v>0.26960000000000001</v>
      </c>
      <c r="I1127" s="8">
        <v>0.1043</v>
      </c>
      <c r="J1127" s="8">
        <v>2.6100000000000002E-2</v>
      </c>
      <c r="K1127" s="8">
        <v>4.3499999999999997E-2</v>
      </c>
      <c r="L1127" s="8">
        <v>0.23480000000000001</v>
      </c>
      <c r="M1127" s="8">
        <v>0.26960000000000001</v>
      </c>
      <c r="N1127" s="8">
        <v>2.6100000000000002E-2</v>
      </c>
      <c r="O1127" s="8">
        <v>0.45219999999999999</v>
      </c>
      <c r="P1127" s="8">
        <v>0.1217</v>
      </c>
      <c r="Q1127" s="8">
        <v>4.3499999999999997E-2</v>
      </c>
      <c r="R1127" s="8">
        <v>8.6999999999999994E-3</v>
      </c>
      <c r="S1127" s="8">
        <v>8.6999999999999994E-3</v>
      </c>
      <c r="T1127" s="8">
        <v>1.7399999999999999E-2</v>
      </c>
      <c r="U1127" s="8">
        <v>0.32169999999999999</v>
      </c>
      <c r="V1127" s="8">
        <v>2.6100000000000002E-2</v>
      </c>
    </row>
    <row r="1128" spans="1:22" x14ac:dyDescent="0.3">
      <c r="A1128" s="22" t="s">
        <v>68</v>
      </c>
      <c r="B1128">
        <v>5</v>
      </c>
      <c r="C1128" t="s">
        <v>64</v>
      </c>
      <c r="D1128">
        <v>120</v>
      </c>
      <c r="H1128" s="8">
        <v>0.2</v>
      </c>
      <c r="J1128" s="8">
        <v>0.2</v>
      </c>
      <c r="L1128" s="8">
        <v>0.2</v>
      </c>
      <c r="O1128" s="8">
        <v>0.4</v>
      </c>
      <c r="Q1128" s="8">
        <v>0.2</v>
      </c>
      <c r="U1128" s="8">
        <v>0.4</v>
      </c>
      <c r="V1128" s="8">
        <v>0.2</v>
      </c>
    </row>
    <row r="1130" spans="1:22" ht="57.6" x14ac:dyDescent="0.3">
      <c r="A1130" s="22" t="s">
        <v>333</v>
      </c>
    </row>
    <row r="1131" spans="1:22" x14ac:dyDescent="0.3">
      <c r="A1131" s="22" t="s">
        <v>66</v>
      </c>
      <c r="B1131" t="s">
        <v>62</v>
      </c>
      <c r="C1131" t="s">
        <v>57</v>
      </c>
      <c r="D1131" t="s">
        <v>63</v>
      </c>
      <c r="E1131" t="s">
        <v>226</v>
      </c>
      <c r="F1131" t="s">
        <v>227</v>
      </c>
      <c r="G1131" t="s">
        <v>228</v>
      </c>
      <c r="H1131" t="s">
        <v>229</v>
      </c>
      <c r="I1131" t="s">
        <v>154</v>
      </c>
      <c r="J1131" t="s">
        <v>230</v>
      </c>
      <c r="K1131" t="s">
        <v>232</v>
      </c>
      <c r="L1131" t="s">
        <v>233</v>
      </c>
      <c r="M1131" t="s">
        <v>234</v>
      </c>
      <c r="N1131" t="s">
        <v>235</v>
      </c>
      <c r="O1131" t="s">
        <v>236</v>
      </c>
      <c r="P1131" t="s">
        <v>136</v>
      </c>
      <c r="Q1131" t="s">
        <v>238</v>
      </c>
      <c r="R1131" t="s">
        <v>240</v>
      </c>
      <c r="S1131" t="s">
        <v>241</v>
      </c>
      <c r="T1131" t="s">
        <v>243</v>
      </c>
      <c r="U1131" t="s">
        <v>244</v>
      </c>
      <c r="V1131" t="s">
        <v>245</v>
      </c>
    </row>
    <row r="1132" spans="1:22" x14ac:dyDescent="0.3">
      <c r="A1132" s="22" t="s">
        <v>67</v>
      </c>
      <c r="B1132">
        <v>119</v>
      </c>
      <c r="C1132" t="s">
        <v>64</v>
      </c>
      <c r="D1132">
        <v>120</v>
      </c>
      <c r="E1132" s="8">
        <v>1.6799999999999999E-2</v>
      </c>
      <c r="F1132" s="8">
        <v>8.3999999999999995E-3</v>
      </c>
      <c r="G1132" s="8">
        <v>9.2399999999999996E-2</v>
      </c>
      <c r="H1132" s="8">
        <v>0.26889999999999997</v>
      </c>
      <c r="I1132" s="8">
        <v>0.1008</v>
      </c>
      <c r="J1132" s="8">
        <v>3.3599999999999998E-2</v>
      </c>
      <c r="K1132" s="8">
        <v>4.2000000000000003E-2</v>
      </c>
      <c r="L1132" s="8">
        <v>0.22689999999999999</v>
      </c>
      <c r="M1132" s="8">
        <v>0.25209999999999999</v>
      </c>
      <c r="N1132" s="8">
        <v>2.52E-2</v>
      </c>
      <c r="O1132" s="8">
        <v>0.45379999999999998</v>
      </c>
      <c r="P1132" s="8">
        <v>0.1176</v>
      </c>
      <c r="Q1132" s="8">
        <v>5.04E-2</v>
      </c>
      <c r="R1132" s="8">
        <v>8.3999999999999995E-3</v>
      </c>
      <c r="S1132" s="8">
        <v>8.3999999999999995E-3</v>
      </c>
      <c r="T1132" s="8">
        <v>1.6799999999999999E-2</v>
      </c>
      <c r="U1132" s="8">
        <v>0.31929999999999997</v>
      </c>
      <c r="V1132" s="8">
        <v>3.3599999999999998E-2</v>
      </c>
    </row>
    <row r="1133" spans="1:22" x14ac:dyDescent="0.3">
      <c r="A1133" s="22" t="s">
        <v>68</v>
      </c>
      <c r="B1133">
        <v>1</v>
      </c>
      <c r="C1133" t="s">
        <v>64</v>
      </c>
      <c r="D1133">
        <v>120</v>
      </c>
      <c r="L1133" s="8">
        <v>1</v>
      </c>
      <c r="M1133" s="8">
        <v>1</v>
      </c>
      <c r="U1133" s="8">
        <v>1</v>
      </c>
    </row>
    <row r="1135" spans="1:22" ht="57.6" x14ac:dyDescent="0.3">
      <c r="A1135" s="22" t="s">
        <v>334</v>
      </c>
    </row>
    <row r="1136" spans="1:22" x14ac:dyDescent="0.3">
      <c r="A1136" s="22" t="s">
        <v>66</v>
      </c>
      <c r="B1136" t="s">
        <v>62</v>
      </c>
      <c r="C1136" t="s">
        <v>57</v>
      </c>
      <c r="D1136" t="s">
        <v>63</v>
      </c>
      <c r="E1136" t="s">
        <v>226</v>
      </c>
      <c r="F1136" t="s">
        <v>227</v>
      </c>
      <c r="G1136" t="s">
        <v>228</v>
      </c>
      <c r="H1136" t="s">
        <v>229</v>
      </c>
      <c r="I1136" t="s">
        <v>154</v>
      </c>
      <c r="J1136" t="s">
        <v>230</v>
      </c>
      <c r="K1136" t="s">
        <v>232</v>
      </c>
      <c r="L1136" t="s">
        <v>233</v>
      </c>
      <c r="M1136" t="s">
        <v>234</v>
      </c>
      <c r="N1136" t="s">
        <v>235</v>
      </c>
      <c r="O1136" t="s">
        <v>236</v>
      </c>
      <c r="P1136" t="s">
        <v>136</v>
      </c>
      <c r="Q1136" t="s">
        <v>238</v>
      </c>
      <c r="R1136" t="s">
        <v>240</v>
      </c>
      <c r="S1136" t="s">
        <v>241</v>
      </c>
      <c r="T1136" t="s">
        <v>243</v>
      </c>
      <c r="U1136" t="s">
        <v>244</v>
      </c>
      <c r="V1136" t="s">
        <v>245</v>
      </c>
    </row>
    <row r="1137" spans="1:22" x14ac:dyDescent="0.3">
      <c r="A1137" s="22" t="s">
        <v>67</v>
      </c>
      <c r="B1137">
        <v>110</v>
      </c>
      <c r="C1137" t="s">
        <v>64</v>
      </c>
      <c r="D1137">
        <v>120</v>
      </c>
      <c r="E1137" s="8">
        <v>1.8200000000000001E-2</v>
      </c>
      <c r="F1137" s="8">
        <v>9.1000000000000004E-3</v>
      </c>
      <c r="G1137" s="8">
        <v>6.3600000000000004E-2</v>
      </c>
      <c r="H1137" s="8">
        <v>0.2727</v>
      </c>
      <c r="I1137" s="8">
        <v>0.1</v>
      </c>
      <c r="J1137" s="8">
        <v>3.6400000000000002E-2</v>
      </c>
      <c r="K1137" s="8">
        <v>4.5499999999999999E-2</v>
      </c>
      <c r="L1137" s="8">
        <v>0.2364</v>
      </c>
      <c r="M1137" s="8">
        <v>0.2636</v>
      </c>
      <c r="N1137" s="8">
        <v>9.1000000000000004E-3</v>
      </c>
      <c r="O1137" s="8">
        <v>0.45450000000000002</v>
      </c>
      <c r="P1137" s="8">
        <v>0.1182</v>
      </c>
      <c r="Q1137" s="8">
        <v>5.45E-2</v>
      </c>
      <c r="R1137" s="8">
        <v>9.1000000000000004E-3</v>
      </c>
      <c r="T1137" s="8">
        <v>1.8200000000000001E-2</v>
      </c>
      <c r="U1137" s="8">
        <v>0.33639999999999998</v>
      </c>
      <c r="V1137" s="8">
        <v>3.6400000000000002E-2</v>
      </c>
    </row>
    <row r="1138" spans="1:22" x14ac:dyDescent="0.3">
      <c r="A1138" s="22" t="s">
        <v>68</v>
      </c>
      <c r="B1138">
        <v>10</v>
      </c>
      <c r="C1138" t="s">
        <v>64</v>
      </c>
      <c r="D1138">
        <v>120</v>
      </c>
      <c r="G1138" s="8">
        <v>0.4</v>
      </c>
      <c r="H1138" s="8">
        <v>0.2</v>
      </c>
      <c r="I1138" s="8">
        <v>0.1</v>
      </c>
      <c r="L1138" s="8">
        <v>0.2</v>
      </c>
      <c r="M1138" s="8">
        <v>0.2</v>
      </c>
      <c r="N1138" s="8">
        <v>0.2</v>
      </c>
      <c r="O1138" s="8">
        <v>0.4</v>
      </c>
      <c r="P1138" s="8">
        <v>0.1</v>
      </c>
      <c r="S1138" s="8">
        <v>0.1</v>
      </c>
      <c r="U1138" s="8">
        <v>0.2</v>
      </c>
    </row>
    <row r="1140" spans="1:22" ht="57.6" x14ac:dyDescent="0.3">
      <c r="A1140" s="22" t="s">
        <v>335</v>
      </c>
    </row>
    <row r="1141" spans="1:22" x14ac:dyDescent="0.3">
      <c r="A1141" s="22" t="s">
        <v>66</v>
      </c>
      <c r="B1141" t="s">
        <v>62</v>
      </c>
      <c r="C1141" t="s">
        <v>57</v>
      </c>
      <c r="D1141" t="s">
        <v>63</v>
      </c>
      <c r="E1141" t="s">
        <v>226</v>
      </c>
      <c r="F1141" t="s">
        <v>227</v>
      </c>
      <c r="G1141" t="s">
        <v>228</v>
      </c>
      <c r="H1141" t="s">
        <v>229</v>
      </c>
      <c r="I1141" t="s">
        <v>154</v>
      </c>
      <c r="J1141" t="s">
        <v>230</v>
      </c>
      <c r="K1141" t="s">
        <v>232</v>
      </c>
      <c r="L1141" t="s">
        <v>233</v>
      </c>
      <c r="M1141" t="s">
        <v>234</v>
      </c>
      <c r="N1141" t="s">
        <v>235</v>
      </c>
      <c r="O1141" t="s">
        <v>236</v>
      </c>
      <c r="P1141" t="s">
        <v>136</v>
      </c>
      <c r="Q1141" t="s">
        <v>238</v>
      </c>
      <c r="R1141" t="s">
        <v>240</v>
      </c>
      <c r="S1141" t="s">
        <v>241</v>
      </c>
      <c r="T1141" t="s">
        <v>243</v>
      </c>
      <c r="U1141" t="s">
        <v>244</v>
      </c>
      <c r="V1141" t="s">
        <v>245</v>
      </c>
    </row>
    <row r="1142" spans="1:22" x14ac:dyDescent="0.3">
      <c r="A1142" s="22" t="s">
        <v>67</v>
      </c>
      <c r="B1142">
        <v>5</v>
      </c>
      <c r="C1142" t="s">
        <v>64</v>
      </c>
      <c r="D1142">
        <v>120</v>
      </c>
      <c r="H1142" s="8">
        <v>0.4</v>
      </c>
      <c r="I1142" s="8">
        <v>0.2</v>
      </c>
      <c r="L1142" s="8">
        <v>0.4</v>
      </c>
      <c r="U1142" s="8">
        <v>0.4</v>
      </c>
    </row>
    <row r="1143" spans="1:22" x14ac:dyDescent="0.3">
      <c r="A1143" s="22" t="s">
        <v>68</v>
      </c>
      <c r="B1143">
        <v>115</v>
      </c>
      <c r="C1143" t="s">
        <v>64</v>
      </c>
      <c r="D1143">
        <v>120</v>
      </c>
      <c r="E1143" s="8">
        <v>1.7399999999999999E-2</v>
      </c>
      <c r="F1143" s="8">
        <v>8.6999999999999994E-3</v>
      </c>
      <c r="G1143" s="8">
        <v>9.5699999999999993E-2</v>
      </c>
      <c r="H1143" s="8">
        <v>0.26090000000000002</v>
      </c>
      <c r="I1143" s="8">
        <v>9.5699999999999993E-2</v>
      </c>
      <c r="J1143" s="8">
        <v>3.4799999999999998E-2</v>
      </c>
      <c r="K1143" s="8">
        <v>4.3499999999999997E-2</v>
      </c>
      <c r="L1143" s="8">
        <v>0.2261</v>
      </c>
      <c r="M1143" s="8">
        <v>0.26960000000000001</v>
      </c>
      <c r="N1143" s="8">
        <v>2.6100000000000002E-2</v>
      </c>
      <c r="O1143" s="8">
        <v>0.46960000000000002</v>
      </c>
      <c r="P1143" s="8">
        <v>0.1217</v>
      </c>
      <c r="Q1143" s="8">
        <v>5.2200000000000003E-2</v>
      </c>
      <c r="R1143" s="8">
        <v>8.6999999999999994E-3</v>
      </c>
      <c r="S1143" s="8">
        <v>8.6999999999999994E-3</v>
      </c>
      <c r="T1143" s="8">
        <v>1.7399999999999999E-2</v>
      </c>
      <c r="U1143" s="8">
        <v>0.32169999999999999</v>
      </c>
      <c r="V1143" s="8">
        <v>3.4799999999999998E-2</v>
      </c>
    </row>
    <row r="1145" spans="1:22" ht="57.6" x14ac:dyDescent="0.3">
      <c r="A1145" s="22" t="s">
        <v>336</v>
      </c>
    </row>
    <row r="1146" spans="1:22" x14ac:dyDescent="0.3">
      <c r="A1146" s="22" t="s">
        <v>66</v>
      </c>
      <c r="B1146" t="s">
        <v>62</v>
      </c>
      <c r="C1146" t="s">
        <v>57</v>
      </c>
      <c r="D1146" t="s">
        <v>63</v>
      </c>
      <c r="E1146" t="s">
        <v>226</v>
      </c>
      <c r="F1146" t="s">
        <v>227</v>
      </c>
      <c r="G1146" t="s">
        <v>228</v>
      </c>
      <c r="H1146" t="s">
        <v>229</v>
      </c>
      <c r="I1146" t="s">
        <v>154</v>
      </c>
      <c r="J1146" t="s">
        <v>230</v>
      </c>
      <c r="K1146" t="s">
        <v>232</v>
      </c>
      <c r="L1146" t="s">
        <v>233</v>
      </c>
      <c r="M1146" t="s">
        <v>234</v>
      </c>
      <c r="N1146" t="s">
        <v>235</v>
      </c>
      <c r="O1146" t="s">
        <v>236</v>
      </c>
      <c r="P1146" t="s">
        <v>136</v>
      </c>
      <c r="Q1146" t="s">
        <v>238</v>
      </c>
      <c r="R1146" t="s">
        <v>240</v>
      </c>
      <c r="S1146" t="s">
        <v>241</v>
      </c>
      <c r="T1146" t="s">
        <v>243</v>
      </c>
      <c r="U1146" t="s">
        <v>244</v>
      </c>
      <c r="V1146" t="s">
        <v>245</v>
      </c>
    </row>
    <row r="1147" spans="1:22" x14ac:dyDescent="0.3">
      <c r="A1147" s="22" t="s">
        <v>67</v>
      </c>
      <c r="B1147">
        <v>99</v>
      </c>
      <c r="C1147" t="s">
        <v>64</v>
      </c>
      <c r="D1147">
        <v>120</v>
      </c>
      <c r="E1147" s="8">
        <v>2.0199999999999999E-2</v>
      </c>
      <c r="F1147" s="8">
        <v>1.01E-2</v>
      </c>
      <c r="G1147" s="8">
        <v>7.0699999999999999E-2</v>
      </c>
      <c r="H1147" s="8">
        <v>0.2828</v>
      </c>
      <c r="I1147" s="8">
        <v>0.1111</v>
      </c>
      <c r="J1147" s="8">
        <v>3.0300000000000001E-2</v>
      </c>
      <c r="K1147" s="8">
        <v>4.0399999999999998E-2</v>
      </c>
      <c r="L1147" s="8">
        <v>0.22220000000000001</v>
      </c>
      <c r="M1147" s="8">
        <v>0.2828</v>
      </c>
      <c r="N1147" s="8">
        <v>2.0199999999999999E-2</v>
      </c>
      <c r="O1147" s="8">
        <v>0.41410000000000002</v>
      </c>
      <c r="P1147" s="8">
        <v>9.0899999999999995E-2</v>
      </c>
      <c r="Q1147" s="8">
        <v>5.0500000000000003E-2</v>
      </c>
      <c r="R1147" s="8">
        <v>1.01E-2</v>
      </c>
      <c r="S1147" s="8">
        <v>1.01E-2</v>
      </c>
      <c r="T1147" s="8">
        <v>1.01E-2</v>
      </c>
      <c r="U1147" s="8">
        <v>0.36359999999999998</v>
      </c>
      <c r="V1147" s="8">
        <v>4.0399999999999998E-2</v>
      </c>
    </row>
    <row r="1148" spans="1:22" x14ac:dyDescent="0.3">
      <c r="A1148" s="22" t="s">
        <v>68</v>
      </c>
      <c r="B1148">
        <v>21</v>
      </c>
      <c r="C1148" t="s">
        <v>64</v>
      </c>
      <c r="D1148">
        <v>120</v>
      </c>
      <c r="G1148" s="8">
        <v>0.1905</v>
      </c>
      <c r="H1148" s="8">
        <v>0.1905</v>
      </c>
      <c r="I1148" s="8">
        <v>4.7600000000000003E-2</v>
      </c>
      <c r="J1148" s="8">
        <v>4.7600000000000003E-2</v>
      </c>
      <c r="K1148" s="8">
        <v>4.7600000000000003E-2</v>
      </c>
      <c r="L1148" s="8">
        <v>0.28570000000000001</v>
      </c>
      <c r="M1148" s="8">
        <v>0.1429</v>
      </c>
      <c r="N1148" s="8">
        <v>4.7600000000000003E-2</v>
      </c>
      <c r="O1148" s="8">
        <v>0.61899999999999999</v>
      </c>
      <c r="P1148" s="8">
        <v>0.23810000000000001</v>
      </c>
      <c r="Q1148" s="8">
        <v>4.7600000000000003E-2</v>
      </c>
      <c r="T1148" s="8">
        <v>4.7600000000000003E-2</v>
      </c>
      <c r="U1148" s="8">
        <v>0.1429</v>
      </c>
    </row>
    <row r="1150" spans="1:22" ht="57.6" x14ac:dyDescent="0.3">
      <c r="A1150" s="22" t="s">
        <v>337</v>
      </c>
    </row>
    <row r="1151" spans="1:22" x14ac:dyDescent="0.3">
      <c r="A1151" s="22" t="s">
        <v>66</v>
      </c>
      <c r="B1151" t="s">
        <v>62</v>
      </c>
      <c r="C1151" t="s">
        <v>57</v>
      </c>
      <c r="D1151" t="s">
        <v>63</v>
      </c>
      <c r="E1151" t="s">
        <v>226</v>
      </c>
      <c r="F1151" t="s">
        <v>227</v>
      </c>
      <c r="G1151" t="s">
        <v>228</v>
      </c>
      <c r="H1151" t="s">
        <v>229</v>
      </c>
      <c r="I1151" t="s">
        <v>154</v>
      </c>
      <c r="J1151" t="s">
        <v>230</v>
      </c>
      <c r="K1151" t="s">
        <v>232</v>
      </c>
      <c r="L1151" t="s">
        <v>233</v>
      </c>
      <c r="M1151" t="s">
        <v>234</v>
      </c>
      <c r="N1151" t="s">
        <v>235</v>
      </c>
      <c r="O1151" t="s">
        <v>236</v>
      </c>
      <c r="P1151" t="s">
        <v>136</v>
      </c>
      <c r="Q1151" t="s">
        <v>238</v>
      </c>
      <c r="R1151" t="s">
        <v>240</v>
      </c>
      <c r="S1151" t="s">
        <v>241</v>
      </c>
      <c r="T1151" t="s">
        <v>243</v>
      </c>
      <c r="U1151" t="s">
        <v>244</v>
      </c>
      <c r="V1151" t="s">
        <v>245</v>
      </c>
    </row>
    <row r="1152" spans="1:22" x14ac:dyDescent="0.3">
      <c r="A1152" s="22" t="s">
        <v>67</v>
      </c>
      <c r="B1152">
        <v>93</v>
      </c>
      <c r="C1152" t="s">
        <v>64</v>
      </c>
      <c r="D1152">
        <v>120</v>
      </c>
      <c r="E1152" s="8">
        <v>2.1499999999999998E-2</v>
      </c>
      <c r="G1152" s="8">
        <v>8.5999999999999993E-2</v>
      </c>
      <c r="H1152" s="8">
        <v>0.27960000000000002</v>
      </c>
      <c r="I1152" s="8">
        <v>9.6799999999999997E-2</v>
      </c>
      <c r="J1152" s="8">
        <v>3.2300000000000002E-2</v>
      </c>
      <c r="K1152" s="8">
        <v>3.2300000000000002E-2</v>
      </c>
      <c r="L1152" s="8">
        <v>0.24729999999999999</v>
      </c>
      <c r="M1152" s="8">
        <v>0.26879999999999998</v>
      </c>
      <c r="N1152" s="8">
        <v>3.2300000000000002E-2</v>
      </c>
      <c r="O1152" s="8">
        <v>0.50539999999999996</v>
      </c>
      <c r="P1152" s="8">
        <v>9.6799999999999997E-2</v>
      </c>
      <c r="Q1152" s="8">
        <v>5.3800000000000001E-2</v>
      </c>
      <c r="R1152" s="8">
        <v>1.0800000000000001E-2</v>
      </c>
      <c r="S1152" s="8">
        <v>1.0800000000000001E-2</v>
      </c>
      <c r="T1152" s="8">
        <v>2.1499999999999998E-2</v>
      </c>
      <c r="U1152" s="8">
        <v>0.3226</v>
      </c>
      <c r="V1152" s="8">
        <v>3.2300000000000002E-2</v>
      </c>
    </row>
    <row r="1153" spans="1:22" x14ac:dyDescent="0.3">
      <c r="A1153" s="22" t="s">
        <v>68</v>
      </c>
      <c r="B1153">
        <v>27</v>
      </c>
      <c r="C1153" t="s">
        <v>64</v>
      </c>
      <c r="D1153">
        <v>120</v>
      </c>
      <c r="F1153" s="8">
        <v>3.6999999999999998E-2</v>
      </c>
      <c r="G1153" s="8">
        <v>0.1111</v>
      </c>
      <c r="H1153" s="8">
        <v>0.22220000000000001</v>
      </c>
      <c r="I1153" s="8">
        <v>0.1111</v>
      </c>
      <c r="J1153" s="8">
        <v>3.6999999999999998E-2</v>
      </c>
      <c r="K1153" s="8">
        <v>7.4099999999999999E-2</v>
      </c>
      <c r="L1153" s="8">
        <v>0.1852</v>
      </c>
      <c r="M1153" s="8">
        <v>0.22220000000000001</v>
      </c>
      <c r="O1153" s="8">
        <v>0.25929999999999997</v>
      </c>
      <c r="P1153" s="8">
        <v>0.1852</v>
      </c>
      <c r="Q1153" s="8">
        <v>3.6999999999999998E-2</v>
      </c>
      <c r="U1153" s="8">
        <v>0.33329999999999999</v>
      </c>
      <c r="V1153" s="8">
        <v>3.6999999999999998E-2</v>
      </c>
    </row>
    <row r="1155" spans="1:22" ht="57.6" x14ac:dyDescent="0.3">
      <c r="A1155" s="22" t="s">
        <v>338</v>
      </c>
    </row>
    <row r="1156" spans="1:22" x14ac:dyDescent="0.3">
      <c r="A1156" s="22" t="s">
        <v>66</v>
      </c>
      <c r="B1156" t="s">
        <v>62</v>
      </c>
      <c r="C1156" t="s">
        <v>57</v>
      </c>
      <c r="D1156" t="s">
        <v>63</v>
      </c>
      <c r="E1156" t="s">
        <v>226</v>
      </c>
      <c r="F1156" t="s">
        <v>227</v>
      </c>
      <c r="G1156" t="s">
        <v>228</v>
      </c>
      <c r="H1156" t="s">
        <v>229</v>
      </c>
      <c r="I1156" t="s">
        <v>154</v>
      </c>
      <c r="J1156" t="s">
        <v>230</v>
      </c>
      <c r="K1156" t="s">
        <v>232</v>
      </c>
      <c r="L1156" t="s">
        <v>233</v>
      </c>
      <c r="M1156" t="s">
        <v>234</v>
      </c>
      <c r="N1156" t="s">
        <v>235</v>
      </c>
      <c r="O1156" t="s">
        <v>236</v>
      </c>
      <c r="P1156" t="s">
        <v>136</v>
      </c>
      <c r="Q1156" t="s">
        <v>238</v>
      </c>
      <c r="R1156" t="s">
        <v>240</v>
      </c>
      <c r="S1156" t="s">
        <v>241</v>
      </c>
      <c r="T1156" t="s">
        <v>243</v>
      </c>
      <c r="U1156" t="s">
        <v>244</v>
      </c>
      <c r="V1156" t="s">
        <v>245</v>
      </c>
    </row>
    <row r="1157" spans="1:22" x14ac:dyDescent="0.3">
      <c r="A1157" s="22" t="s">
        <v>67</v>
      </c>
      <c r="B1157">
        <v>88</v>
      </c>
      <c r="C1157" t="s">
        <v>64</v>
      </c>
      <c r="D1157">
        <v>120</v>
      </c>
      <c r="E1157" s="8">
        <v>2.2700000000000001E-2</v>
      </c>
      <c r="G1157" s="8">
        <v>0.1023</v>
      </c>
      <c r="H1157" s="8">
        <v>0.25</v>
      </c>
      <c r="I1157" s="8">
        <v>9.0899999999999995E-2</v>
      </c>
      <c r="J1157" s="8">
        <v>2.2700000000000001E-2</v>
      </c>
      <c r="K1157" s="8">
        <v>3.4099999999999998E-2</v>
      </c>
      <c r="L1157" s="8">
        <v>0.25</v>
      </c>
      <c r="M1157" s="8">
        <v>0.26140000000000002</v>
      </c>
      <c r="N1157" s="8">
        <v>3.4099999999999998E-2</v>
      </c>
      <c r="O1157" s="8">
        <v>0.5</v>
      </c>
      <c r="P1157" s="8">
        <v>0.125</v>
      </c>
      <c r="Q1157" s="8">
        <v>4.5499999999999999E-2</v>
      </c>
      <c r="R1157" s="8">
        <v>1.14E-2</v>
      </c>
      <c r="S1157" s="8">
        <v>1.14E-2</v>
      </c>
      <c r="T1157" s="8">
        <v>2.2700000000000001E-2</v>
      </c>
      <c r="U1157" s="8">
        <v>0.29549999999999998</v>
      </c>
      <c r="V1157" s="8">
        <v>2.2700000000000001E-2</v>
      </c>
    </row>
    <row r="1158" spans="1:22" x14ac:dyDescent="0.3">
      <c r="A1158" s="22" t="s">
        <v>68</v>
      </c>
      <c r="B1158">
        <v>32</v>
      </c>
      <c r="C1158" t="s">
        <v>64</v>
      </c>
      <c r="D1158">
        <v>120</v>
      </c>
      <c r="F1158" s="8">
        <v>3.1199999999999999E-2</v>
      </c>
      <c r="G1158" s="8">
        <v>6.25E-2</v>
      </c>
      <c r="H1158" s="8">
        <v>0.3125</v>
      </c>
      <c r="I1158" s="8">
        <v>0.125</v>
      </c>
      <c r="J1158" s="8">
        <v>6.25E-2</v>
      </c>
      <c r="K1158" s="8">
        <v>6.25E-2</v>
      </c>
      <c r="L1158" s="8">
        <v>0.1875</v>
      </c>
      <c r="M1158" s="8">
        <v>0.25</v>
      </c>
      <c r="O1158" s="8">
        <v>0.3125</v>
      </c>
      <c r="P1158" s="8">
        <v>9.3799999999999994E-2</v>
      </c>
      <c r="Q1158" s="8">
        <v>6.25E-2</v>
      </c>
      <c r="U1158" s="8">
        <v>0.40620000000000001</v>
      </c>
      <c r="V1158" s="8">
        <v>6.25E-2</v>
      </c>
    </row>
    <row r="1160" spans="1:22" ht="72" x14ac:dyDescent="0.3">
      <c r="A1160" s="22" t="s">
        <v>339</v>
      </c>
    </row>
    <row r="1161" spans="1:22" x14ac:dyDescent="0.3">
      <c r="A1161" s="22" t="s">
        <v>66</v>
      </c>
      <c r="B1161" t="s">
        <v>62</v>
      </c>
      <c r="C1161" t="s">
        <v>57</v>
      </c>
      <c r="D1161" t="s">
        <v>63</v>
      </c>
      <c r="E1161" t="s">
        <v>226</v>
      </c>
      <c r="F1161" t="s">
        <v>227</v>
      </c>
      <c r="G1161" t="s">
        <v>228</v>
      </c>
      <c r="H1161" t="s">
        <v>229</v>
      </c>
      <c r="I1161" t="s">
        <v>154</v>
      </c>
      <c r="J1161" t="s">
        <v>230</v>
      </c>
      <c r="K1161" t="s">
        <v>232</v>
      </c>
      <c r="L1161" t="s">
        <v>233</v>
      </c>
      <c r="M1161" t="s">
        <v>234</v>
      </c>
      <c r="N1161" t="s">
        <v>235</v>
      </c>
      <c r="O1161" t="s">
        <v>236</v>
      </c>
      <c r="P1161" t="s">
        <v>136</v>
      </c>
      <c r="Q1161" t="s">
        <v>238</v>
      </c>
      <c r="R1161" t="s">
        <v>240</v>
      </c>
      <c r="S1161" t="s">
        <v>241</v>
      </c>
      <c r="T1161" t="s">
        <v>243</v>
      </c>
      <c r="U1161" t="s">
        <v>244</v>
      </c>
      <c r="V1161" t="s">
        <v>245</v>
      </c>
    </row>
    <row r="1162" spans="1:22" x14ac:dyDescent="0.3">
      <c r="A1162" s="22" t="s">
        <v>67</v>
      </c>
      <c r="B1162">
        <v>109</v>
      </c>
      <c r="C1162" t="s">
        <v>64</v>
      </c>
      <c r="D1162">
        <v>120</v>
      </c>
      <c r="E1162" s="8">
        <v>9.1999999999999998E-3</v>
      </c>
      <c r="F1162" s="8">
        <v>9.1999999999999998E-3</v>
      </c>
      <c r="G1162" s="8">
        <v>0.1009</v>
      </c>
      <c r="H1162" s="8">
        <v>0.2661</v>
      </c>
      <c r="I1162" s="8">
        <v>0.1101</v>
      </c>
      <c r="J1162" s="8">
        <v>3.6700000000000003E-2</v>
      </c>
      <c r="K1162" s="8">
        <v>4.5900000000000003E-2</v>
      </c>
      <c r="L1162" s="8">
        <v>0.21099999999999999</v>
      </c>
      <c r="M1162" s="8">
        <v>0.2477</v>
      </c>
      <c r="N1162" s="8">
        <v>1.83E-2</v>
      </c>
      <c r="O1162" s="8">
        <v>0.44950000000000001</v>
      </c>
      <c r="P1162" s="8">
        <v>0.1101</v>
      </c>
      <c r="Q1162" s="8">
        <v>4.5900000000000003E-2</v>
      </c>
      <c r="R1162" s="8">
        <v>9.1999999999999998E-3</v>
      </c>
      <c r="S1162" s="8">
        <v>9.1999999999999998E-3</v>
      </c>
      <c r="T1162" s="8">
        <v>1.83E-2</v>
      </c>
      <c r="U1162" s="8">
        <v>0.30280000000000001</v>
      </c>
      <c r="V1162" s="8">
        <v>2.75E-2</v>
      </c>
    </row>
    <row r="1163" spans="1:22" x14ac:dyDescent="0.3">
      <c r="A1163" s="22" t="s">
        <v>68</v>
      </c>
      <c r="B1163">
        <v>11</v>
      </c>
      <c r="C1163" t="s">
        <v>64</v>
      </c>
      <c r="D1163">
        <v>120</v>
      </c>
      <c r="E1163" s="8">
        <v>9.0899999999999995E-2</v>
      </c>
      <c r="H1163" s="8">
        <v>0.2727</v>
      </c>
      <c r="L1163" s="8">
        <v>0.45450000000000002</v>
      </c>
      <c r="M1163" s="8">
        <v>0.36359999999999998</v>
      </c>
      <c r="N1163" s="8">
        <v>9.0899999999999995E-2</v>
      </c>
      <c r="O1163" s="8">
        <v>0.45450000000000002</v>
      </c>
      <c r="P1163" s="8">
        <v>0.18179999999999999</v>
      </c>
      <c r="Q1163" s="8">
        <v>9.0899999999999995E-2</v>
      </c>
      <c r="U1163" s="8">
        <v>0.54549999999999998</v>
      </c>
      <c r="V1163" s="8">
        <v>9.0899999999999995E-2</v>
      </c>
    </row>
    <row r="1165" spans="1:22" ht="72" x14ac:dyDescent="0.3">
      <c r="A1165" s="22" t="s">
        <v>340</v>
      </c>
    </row>
    <row r="1166" spans="1:22" x14ac:dyDescent="0.3">
      <c r="A1166" s="22" t="s">
        <v>66</v>
      </c>
      <c r="B1166" t="s">
        <v>62</v>
      </c>
      <c r="C1166" t="s">
        <v>57</v>
      </c>
      <c r="D1166" t="s">
        <v>63</v>
      </c>
      <c r="E1166" t="s">
        <v>226</v>
      </c>
      <c r="F1166" t="s">
        <v>227</v>
      </c>
      <c r="G1166" t="s">
        <v>228</v>
      </c>
      <c r="H1166" t="s">
        <v>229</v>
      </c>
      <c r="I1166" t="s">
        <v>154</v>
      </c>
      <c r="J1166" t="s">
        <v>230</v>
      </c>
      <c r="K1166" t="s">
        <v>232</v>
      </c>
      <c r="L1166" t="s">
        <v>233</v>
      </c>
      <c r="M1166" t="s">
        <v>234</v>
      </c>
      <c r="N1166" t="s">
        <v>235</v>
      </c>
      <c r="O1166" t="s">
        <v>236</v>
      </c>
      <c r="P1166" t="s">
        <v>136</v>
      </c>
      <c r="Q1166" t="s">
        <v>238</v>
      </c>
      <c r="R1166" t="s">
        <v>240</v>
      </c>
      <c r="S1166" t="s">
        <v>241</v>
      </c>
      <c r="T1166" t="s">
        <v>243</v>
      </c>
      <c r="U1166" t="s">
        <v>244</v>
      </c>
      <c r="V1166" t="s">
        <v>245</v>
      </c>
    </row>
    <row r="1167" spans="1:22" x14ac:dyDescent="0.3">
      <c r="A1167" s="22" t="s">
        <v>67</v>
      </c>
      <c r="B1167">
        <v>120</v>
      </c>
      <c r="C1167" t="s">
        <v>64</v>
      </c>
      <c r="D1167">
        <v>120</v>
      </c>
      <c r="E1167" s="8">
        <v>1.67E-2</v>
      </c>
      <c r="F1167" s="8">
        <v>8.3000000000000001E-3</v>
      </c>
      <c r="G1167" s="8">
        <v>9.1700000000000004E-2</v>
      </c>
      <c r="H1167" s="8">
        <v>0.26669999999999999</v>
      </c>
      <c r="I1167" s="8">
        <v>0.1</v>
      </c>
      <c r="J1167" s="8">
        <v>3.3300000000000003E-2</v>
      </c>
      <c r="K1167" s="8">
        <v>4.1700000000000001E-2</v>
      </c>
      <c r="L1167" s="8">
        <v>0.23330000000000001</v>
      </c>
      <c r="M1167" s="8">
        <v>0.25829999999999997</v>
      </c>
      <c r="N1167" s="8">
        <v>2.5000000000000001E-2</v>
      </c>
      <c r="O1167" s="8">
        <v>0.45</v>
      </c>
      <c r="P1167" s="8">
        <v>0.1167</v>
      </c>
      <c r="Q1167" s="8">
        <v>0.05</v>
      </c>
      <c r="R1167" s="8">
        <v>8.3000000000000001E-3</v>
      </c>
      <c r="S1167" s="8">
        <v>8.3000000000000001E-3</v>
      </c>
      <c r="T1167" s="8">
        <v>1.67E-2</v>
      </c>
      <c r="U1167" s="8">
        <v>0.32500000000000001</v>
      </c>
      <c r="V1167" s="8">
        <v>3.3300000000000003E-2</v>
      </c>
    </row>
    <row r="1169" spans="1:22" ht="57.6" x14ac:dyDescent="0.3">
      <c r="A1169" s="22" t="s">
        <v>341</v>
      </c>
    </row>
    <row r="1170" spans="1:22" x14ac:dyDescent="0.3">
      <c r="A1170" s="22" t="s">
        <v>66</v>
      </c>
      <c r="B1170" t="s">
        <v>62</v>
      </c>
      <c r="C1170" t="s">
        <v>57</v>
      </c>
      <c r="D1170" t="s">
        <v>63</v>
      </c>
      <c r="E1170" t="s">
        <v>226</v>
      </c>
      <c r="F1170" t="s">
        <v>227</v>
      </c>
      <c r="G1170" t="s">
        <v>228</v>
      </c>
      <c r="H1170" t="s">
        <v>229</v>
      </c>
      <c r="I1170" t="s">
        <v>154</v>
      </c>
      <c r="J1170" t="s">
        <v>230</v>
      </c>
      <c r="K1170" t="s">
        <v>232</v>
      </c>
      <c r="L1170" t="s">
        <v>233</v>
      </c>
      <c r="M1170" t="s">
        <v>234</v>
      </c>
      <c r="N1170" t="s">
        <v>235</v>
      </c>
      <c r="O1170" t="s">
        <v>236</v>
      </c>
      <c r="P1170" t="s">
        <v>136</v>
      </c>
      <c r="Q1170" t="s">
        <v>238</v>
      </c>
      <c r="R1170" t="s">
        <v>240</v>
      </c>
      <c r="S1170" t="s">
        <v>241</v>
      </c>
      <c r="T1170" t="s">
        <v>243</v>
      </c>
      <c r="U1170" t="s">
        <v>244</v>
      </c>
      <c r="V1170" t="s">
        <v>245</v>
      </c>
    </row>
    <row r="1171" spans="1:22" x14ac:dyDescent="0.3">
      <c r="A1171" s="22" t="s">
        <v>67</v>
      </c>
      <c r="B1171">
        <v>70</v>
      </c>
      <c r="C1171" t="s">
        <v>64</v>
      </c>
      <c r="D1171">
        <v>120</v>
      </c>
      <c r="E1171" s="8">
        <v>1.43E-2</v>
      </c>
      <c r="F1171" s="8">
        <v>1.43E-2</v>
      </c>
      <c r="G1171" s="8">
        <v>7.1400000000000005E-2</v>
      </c>
      <c r="H1171" s="8">
        <v>0.2429</v>
      </c>
      <c r="I1171" s="8">
        <v>0.1</v>
      </c>
      <c r="J1171" s="8">
        <v>5.7099999999999998E-2</v>
      </c>
      <c r="K1171" s="8">
        <v>4.2900000000000001E-2</v>
      </c>
      <c r="L1171" s="8">
        <v>0.1714</v>
      </c>
      <c r="M1171" s="8">
        <v>0.27139999999999997</v>
      </c>
      <c r="N1171" s="8">
        <v>1.43E-2</v>
      </c>
      <c r="O1171" s="8">
        <v>0.42859999999999998</v>
      </c>
      <c r="P1171" s="8">
        <v>8.5699999999999998E-2</v>
      </c>
      <c r="Q1171" s="8">
        <v>7.1400000000000005E-2</v>
      </c>
      <c r="R1171" s="8">
        <v>1.43E-2</v>
      </c>
      <c r="T1171" s="8">
        <v>1.43E-2</v>
      </c>
      <c r="U1171" s="8">
        <v>0.3286</v>
      </c>
      <c r="V1171" s="8">
        <v>1.43E-2</v>
      </c>
    </row>
    <row r="1172" spans="1:22" x14ac:dyDescent="0.3">
      <c r="A1172" s="22" t="s">
        <v>68</v>
      </c>
      <c r="B1172">
        <v>50</v>
      </c>
      <c r="C1172" t="s">
        <v>64</v>
      </c>
      <c r="D1172">
        <v>120</v>
      </c>
      <c r="E1172" s="8">
        <v>0.02</v>
      </c>
      <c r="G1172" s="8">
        <v>0.12</v>
      </c>
      <c r="H1172" s="8">
        <v>0.3</v>
      </c>
      <c r="I1172" s="8">
        <v>0.1</v>
      </c>
      <c r="K1172" s="8">
        <v>0.04</v>
      </c>
      <c r="L1172" s="8">
        <v>0.32</v>
      </c>
      <c r="M1172" s="8">
        <v>0.24</v>
      </c>
      <c r="N1172" s="8">
        <v>0.04</v>
      </c>
      <c r="O1172" s="8">
        <v>0.48</v>
      </c>
      <c r="P1172" s="8">
        <v>0.16</v>
      </c>
      <c r="Q1172" s="8">
        <v>0.02</v>
      </c>
      <c r="S1172" s="8">
        <v>0.02</v>
      </c>
      <c r="T1172" s="8">
        <v>0.02</v>
      </c>
      <c r="U1172" s="8">
        <v>0.32</v>
      </c>
      <c r="V1172" s="8">
        <v>0.06</v>
      </c>
    </row>
    <row r="1174" spans="1:22" ht="57.6" x14ac:dyDescent="0.3">
      <c r="A1174" s="22" t="s">
        <v>342</v>
      </c>
    </row>
    <row r="1175" spans="1:22" x14ac:dyDescent="0.3">
      <c r="A1175" s="22" t="s">
        <v>66</v>
      </c>
      <c r="B1175" t="s">
        <v>62</v>
      </c>
      <c r="C1175" t="s">
        <v>57</v>
      </c>
      <c r="D1175" t="s">
        <v>63</v>
      </c>
      <c r="E1175" t="s">
        <v>226</v>
      </c>
      <c r="F1175" t="s">
        <v>227</v>
      </c>
      <c r="G1175" t="s">
        <v>228</v>
      </c>
      <c r="H1175" t="s">
        <v>229</v>
      </c>
      <c r="I1175" t="s">
        <v>154</v>
      </c>
      <c r="J1175" t="s">
        <v>230</v>
      </c>
      <c r="K1175" t="s">
        <v>232</v>
      </c>
      <c r="L1175" t="s">
        <v>233</v>
      </c>
      <c r="M1175" t="s">
        <v>234</v>
      </c>
      <c r="N1175" t="s">
        <v>235</v>
      </c>
      <c r="O1175" t="s">
        <v>236</v>
      </c>
      <c r="P1175" t="s">
        <v>136</v>
      </c>
      <c r="Q1175" t="s">
        <v>238</v>
      </c>
      <c r="R1175" t="s">
        <v>240</v>
      </c>
      <c r="S1175" t="s">
        <v>241</v>
      </c>
      <c r="T1175" t="s">
        <v>243</v>
      </c>
      <c r="U1175" t="s">
        <v>244</v>
      </c>
      <c r="V1175" t="s">
        <v>245</v>
      </c>
    </row>
    <row r="1176" spans="1:22" x14ac:dyDescent="0.3">
      <c r="A1176" s="22" t="s">
        <v>67</v>
      </c>
      <c r="B1176">
        <v>107</v>
      </c>
      <c r="C1176" t="s">
        <v>64</v>
      </c>
      <c r="D1176">
        <v>120</v>
      </c>
      <c r="E1176" s="8">
        <v>1.8700000000000001E-2</v>
      </c>
      <c r="F1176" s="8">
        <v>9.2999999999999992E-3</v>
      </c>
      <c r="G1176" s="8">
        <v>0.1028</v>
      </c>
      <c r="H1176" s="8">
        <v>0.28039999999999998</v>
      </c>
      <c r="I1176" s="8">
        <v>0.1028</v>
      </c>
      <c r="J1176" s="8">
        <v>2.8000000000000001E-2</v>
      </c>
      <c r="K1176" s="8">
        <v>3.7400000000000003E-2</v>
      </c>
      <c r="L1176" s="8">
        <v>0.215</v>
      </c>
      <c r="M1176" s="8">
        <v>0.24299999999999999</v>
      </c>
      <c r="N1176" s="8">
        <v>1.8700000000000001E-2</v>
      </c>
      <c r="O1176" s="8">
        <v>0.4299</v>
      </c>
      <c r="P1176" s="8">
        <v>0.1215</v>
      </c>
      <c r="Q1176" s="8">
        <v>3.7400000000000003E-2</v>
      </c>
      <c r="R1176" s="8">
        <v>9.2999999999999992E-3</v>
      </c>
      <c r="S1176" s="8">
        <v>9.2999999999999992E-3</v>
      </c>
      <c r="T1176" s="8">
        <v>9.2999999999999992E-3</v>
      </c>
      <c r="U1176" s="8">
        <v>0.33639999999999998</v>
      </c>
      <c r="V1176" s="8">
        <v>3.7400000000000003E-2</v>
      </c>
    </row>
    <row r="1177" spans="1:22" x14ac:dyDescent="0.3">
      <c r="A1177" s="22" t="s">
        <v>68</v>
      </c>
      <c r="B1177">
        <v>13</v>
      </c>
      <c r="C1177" t="s">
        <v>64</v>
      </c>
      <c r="D1177">
        <v>120</v>
      </c>
      <c r="H1177" s="8">
        <v>0.15379999999999999</v>
      </c>
      <c r="I1177" s="8">
        <v>7.6899999999999996E-2</v>
      </c>
      <c r="J1177" s="8">
        <v>7.6899999999999996E-2</v>
      </c>
      <c r="K1177" s="8">
        <v>7.6899999999999996E-2</v>
      </c>
      <c r="L1177" s="8">
        <v>0.3846</v>
      </c>
      <c r="M1177" s="8">
        <v>0.3846</v>
      </c>
      <c r="N1177" s="8">
        <v>7.6899999999999996E-2</v>
      </c>
      <c r="O1177" s="8">
        <v>0.61539999999999995</v>
      </c>
      <c r="P1177" s="8">
        <v>7.6899999999999996E-2</v>
      </c>
      <c r="Q1177" s="8">
        <v>0.15379999999999999</v>
      </c>
      <c r="T1177" s="8">
        <v>7.6899999999999996E-2</v>
      </c>
      <c r="U1177" s="8">
        <v>0.23080000000000001</v>
      </c>
    </row>
    <row r="1179" spans="1:22" ht="43.2" x14ac:dyDescent="0.3">
      <c r="A1179" s="22" t="s">
        <v>343</v>
      </c>
    </row>
    <row r="1180" spans="1:22" x14ac:dyDescent="0.3">
      <c r="A1180" s="22" t="s">
        <v>66</v>
      </c>
      <c r="B1180" t="s">
        <v>62</v>
      </c>
      <c r="C1180" t="s">
        <v>57</v>
      </c>
      <c r="D1180" t="s">
        <v>63</v>
      </c>
      <c r="E1180" t="s">
        <v>226</v>
      </c>
      <c r="F1180" t="s">
        <v>227</v>
      </c>
      <c r="G1180" t="s">
        <v>228</v>
      </c>
      <c r="H1180" t="s">
        <v>229</v>
      </c>
      <c r="I1180" t="s">
        <v>154</v>
      </c>
      <c r="J1180" t="s">
        <v>230</v>
      </c>
      <c r="K1180" t="s">
        <v>232</v>
      </c>
      <c r="L1180" t="s">
        <v>233</v>
      </c>
      <c r="M1180" t="s">
        <v>234</v>
      </c>
      <c r="N1180" t="s">
        <v>235</v>
      </c>
      <c r="O1180" t="s">
        <v>236</v>
      </c>
      <c r="P1180" t="s">
        <v>136</v>
      </c>
      <c r="Q1180" t="s">
        <v>238</v>
      </c>
      <c r="R1180" t="s">
        <v>240</v>
      </c>
      <c r="S1180" t="s">
        <v>241</v>
      </c>
      <c r="T1180" t="s">
        <v>243</v>
      </c>
      <c r="U1180" t="s">
        <v>244</v>
      </c>
      <c r="V1180" t="s">
        <v>245</v>
      </c>
    </row>
    <row r="1181" spans="1:22" x14ac:dyDescent="0.3">
      <c r="A1181" s="22" t="s">
        <v>81</v>
      </c>
      <c r="B1181">
        <v>30</v>
      </c>
      <c r="C1181" t="s">
        <v>64</v>
      </c>
      <c r="D1181">
        <v>120</v>
      </c>
      <c r="F1181" s="8">
        <v>3.3300000000000003E-2</v>
      </c>
      <c r="G1181" s="8">
        <v>6.6699999999999995E-2</v>
      </c>
      <c r="H1181" s="8">
        <v>0.26669999999999999</v>
      </c>
      <c r="I1181" s="8">
        <v>0.1</v>
      </c>
      <c r="J1181" s="8">
        <v>6.6699999999999995E-2</v>
      </c>
      <c r="L1181" s="8">
        <v>0.2</v>
      </c>
      <c r="M1181" s="8">
        <v>0.23330000000000001</v>
      </c>
      <c r="N1181" s="8">
        <v>3.3300000000000003E-2</v>
      </c>
      <c r="O1181" s="8">
        <v>0.43330000000000002</v>
      </c>
      <c r="P1181" s="8">
        <v>0.1333</v>
      </c>
      <c r="Q1181" s="8">
        <v>6.6699999999999995E-2</v>
      </c>
      <c r="U1181" s="8">
        <v>0.3</v>
      </c>
      <c r="V1181" s="8">
        <v>0.1</v>
      </c>
    </row>
    <row r="1182" spans="1:22" x14ac:dyDescent="0.3">
      <c r="A1182" s="22" t="s">
        <v>82</v>
      </c>
      <c r="B1182">
        <v>31</v>
      </c>
      <c r="C1182" t="s">
        <v>64</v>
      </c>
      <c r="D1182">
        <v>120</v>
      </c>
      <c r="G1182" s="8">
        <v>9.6799999999999997E-2</v>
      </c>
      <c r="H1182" s="8">
        <v>0.2258</v>
      </c>
      <c r="I1182" s="8">
        <v>0.1613</v>
      </c>
      <c r="J1182" s="8">
        <v>3.2300000000000002E-2</v>
      </c>
      <c r="K1182" s="8">
        <v>6.4500000000000002E-2</v>
      </c>
      <c r="L1182" s="8">
        <v>0.129</v>
      </c>
      <c r="M1182" s="8">
        <v>0.1613</v>
      </c>
      <c r="O1182" s="8">
        <v>0.4516</v>
      </c>
      <c r="P1182" s="8">
        <v>9.6799999999999997E-2</v>
      </c>
      <c r="Q1182" s="8">
        <v>3.2300000000000002E-2</v>
      </c>
      <c r="U1182" s="8">
        <v>0.19350000000000001</v>
      </c>
    </row>
    <row r="1183" spans="1:22" x14ac:dyDescent="0.3">
      <c r="A1183" s="22" t="s">
        <v>83</v>
      </c>
      <c r="B1183">
        <v>29</v>
      </c>
      <c r="C1183" t="s">
        <v>64</v>
      </c>
      <c r="D1183">
        <v>120</v>
      </c>
      <c r="E1183" s="8">
        <v>3.4500000000000003E-2</v>
      </c>
      <c r="G1183" s="8">
        <v>0.10340000000000001</v>
      </c>
      <c r="H1183" s="8">
        <v>0.27589999999999998</v>
      </c>
      <c r="I1183" s="8">
        <v>6.9000000000000006E-2</v>
      </c>
      <c r="K1183" s="8">
        <v>0.10340000000000001</v>
      </c>
      <c r="L1183" s="8">
        <v>0.2414</v>
      </c>
      <c r="M1183" s="8">
        <v>0.31030000000000002</v>
      </c>
      <c r="O1183" s="8">
        <v>0.4138</v>
      </c>
      <c r="P1183" s="8">
        <v>0.1724</v>
      </c>
      <c r="Q1183" s="8">
        <v>3.4500000000000003E-2</v>
      </c>
      <c r="R1183" s="8">
        <v>3.4500000000000003E-2</v>
      </c>
      <c r="T1183" s="8">
        <v>3.4500000000000003E-2</v>
      </c>
      <c r="U1183" s="8">
        <v>0.31030000000000002</v>
      </c>
    </row>
    <row r="1184" spans="1:22" x14ac:dyDescent="0.3">
      <c r="A1184" s="22" t="s">
        <v>84</v>
      </c>
      <c r="B1184">
        <v>30</v>
      </c>
      <c r="C1184" t="s">
        <v>64</v>
      </c>
      <c r="D1184">
        <v>120</v>
      </c>
      <c r="E1184" s="8">
        <v>3.3300000000000003E-2</v>
      </c>
      <c r="G1184" s="8">
        <v>0.1</v>
      </c>
      <c r="H1184" s="8">
        <v>0.3</v>
      </c>
      <c r="I1184" s="8">
        <v>6.6699999999999995E-2</v>
      </c>
      <c r="J1184" s="8">
        <v>3.3300000000000003E-2</v>
      </c>
      <c r="L1184" s="8">
        <v>0.36670000000000003</v>
      </c>
      <c r="M1184" s="8">
        <v>0.33329999999999999</v>
      </c>
      <c r="N1184" s="8">
        <v>6.6699999999999995E-2</v>
      </c>
      <c r="O1184" s="8">
        <v>0.5</v>
      </c>
      <c r="P1184" s="8">
        <v>6.6699999999999995E-2</v>
      </c>
      <c r="Q1184" s="8">
        <v>6.6699999999999995E-2</v>
      </c>
      <c r="S1184" s="8">
        <v>3.3300000000000003E-2</v>
      </c>
      <c r="T1184" s="8">
        <v>3.3300000000000003E-2</v>
      </c>
      <c r="U1184" s="8">
        <v>0.5</v>
      </c>
      <c r="V1184" s="8">
        <v>3.3300000000000003E-2</v>
      </c>
    </row>
    <row r="1186" spans="1:16" ht="43.2" x14ac:dyDescent="0.3">
      <c r="A1186" s="27" t="s">
        <v>344</v>
      </c>
    </row>
    <row r="1187" spans="1:16" x14ac:dyDescent="0.3">
      <c r="A1187" s="22" t="s">
        <v>62</v>
      </c>
      <c r="B1187" t="s">
        <v>57</v>
      </c>
      <c r="C1187" t="s">
        <v>63</v>
      </c>
      <c r="D1187" t="s">
        <v>154</v>
      </c>
      <c r="E1187" t="s">
        <v>345</v>
      </c>
      <c r="F1187" t="s">
        <v>346</v>
      </c>
      <c r="G1187" t="s">
        <v>347</v>
      </c>
      <c r="H1187" t="s">
        <v>136</v>
      </c>
      <c r="I1187" t="s">
        <v>348</v>
      </c>
      <c r="J1187" t="s">
        <v>349</v>
      </c>
      <c r="K1187" t="s">
        <v>350</v>
      </c>
      <c r="L1187" t="s">
        <v>351</v>
      </c>
      <c r="M1187" t="s">
        <v>352</v>
      </c>
      <c r="N1187" t="s">
        <v>353</v>
      </c>
      <c r="O1187" t="s">
        <v>354</v>
      </c>
    </row>
    <row r="1188" spans="1:16" x14ac:dyDescent="0.3">
      <c r="A1188" s="22">
        <v>195</v>
      </c>
      <c r="B1188" t="s">
        <v>64</v>
      </c>
      <c r="C1188">
        <v>195</v>
      </c>
      <c r="D1188" s="8">
        <v>1.03E-2</v>
      </c>
      <c r="E1188" s="8">
        <v>6.1499999999999999E-2</v>
      </c>
      <c r="F1188" s="8">
        <v>4.6199999999999998E-2</v>
      </c>
      <c r="G1188" s="8">
        <v>0.3846</v>
      </c>
      <c r="H1188" s="8">
        <v>0.15379999999999999</v>
      </c>
      <c r="I1188" s="8">
        <v>0.1744</v>
      </c>
      <c r="J1188" s="8">
        <v>2.0500000000000001E-2</v>
      </c>
      <c r="K1188" s="8">
        <v>0.14360000000000001</v>
      </c>
      <c r="L1188" s="8">
        <v>2.5600000000000001E-2</v>
      </c>
      <c r="M1188" s="8">
        <v>2.5600000000000001E-2</v>
      </c>
      <c r="N1188" s="8">
        <v>0.21029999999999999</v>
      </c>
      <c r="O1188" s="8">
        <v>2.0500000000000001E-2</v>
      </c>
    </row>
    <row r="1190" spans="1:16" ht="72" x14ac:dyDescent="0.3">
      <c r="A1190" s="22" t="s">
        <v>355</v>
      </c>
    </row>
    <row r="1191" spans="1:16" x14ac:dyDescent="0.3">
      <c r="A1191" s="22" t="s">
        <v>66</v>
      </c>
      <c r="B1191" t="s">
        <v>62</v>
      </c>
      <c r="C1191" t="s">
        <v>57</v>
      </c>
      <c r="D1191" t="s">
        <v>63</v>
      </c>
      <c r="E1191" t="s">
        <v>154</v>
      </c>
      <c r="F1191" t="s">
        <v>345</v>
      </c>
      <c r="G1191" t="s">
        <v>346</v>
      </c>
      <c r="H1191" t="s">
        <v>347</v>
      </c>
      <c r="I1191" t="s">
        <v>136</v>
      </c>
      <c r="J1191" t="s">
        <v>348</v>
      </c>
      <c r="K1191" t="s">
        <v>349</v>
      </c>
      <c r="L1191" t="s">
        <v>350</v>
      </c>
      <c r="M1191" t="s">
        <v>351</v>
      </c>
      <c r="N1191" t="s">
        <v>352</v>
      </c>
      <c r="O1191" t="s">
        <v>353</v>
      </c>
      <c r="P1191" t="s">
        <v>354</v>
      </c>
    </row>
    <row r="1192" spans="1:16" x14ac:dyDescent="0.3">
      <c r="A1192" s="22" t="s">
        <v>67</v>
      </c>
      <c r="B1192">
        <v>186</v>
      </c>
      <c r="C1192" t="s">
        <v>64</v>
      </c>
      <c r="D1192">
        <v>195</v>
      </c>
      <c r="E1192" s="8">
        <v>1.0800000000000001E-2</v>
      </c>
      <c r="F1192" s="8">
        <v>5.91E-2</v>
      </c>
      <c r="G1192" s="8">
        <v>4.2999999999999997E-2</v>
      </c>
      <c r="H1192" s="8">
        <v>0.38169999999999998</v>
      </c>
      <c r="I1192" s="8">
        <v>0.15590000000000001</v>
      </c>
      <c r="J1192" s="8">
        <v>0.16669999999999999</v>
      </c>
      <c r="K1192" s="8">
        <v>2.1499999999999998E-2</v>
      </c>
      <c r="L1192" s="8">
        <v>0.15049999999999999</v>
      </c>
      <c r="M1192" s="8">
        <v>2.1499999999999998E-2</v>
      </c>
      <c r="N1192" s="8">
        <v>2.69E-2</v>
      </c>
      <c r="O1192" s="8">
        <v>0.22040000000000001</v>
      </c>
      <c r="P1192" s="8">
        <v>2.1499999999999998E-2</v>
      </c>
    </row>
    <row r="1193" spans="1:16" x14ac:dyDescent="0.3">
      <c r="A1193" s="22" t="s">
        <v>68</v>
      </c>
      <c r="B1193">
        <v>9</v>
      </c>
      <c r="C1193" t="s">
        <v>64</v>
      </c>
      <c r="D1193">
        <v>195</v>
      </c>
      <c r="F1193" s="8">
        <v>0.1111</v>
      </c>
      <c r="G1193" s="8">
        <v>0.1111</v>
      </c>
      <c r="H1193" s="8">
        <v>0.44440000000000002</v>
      </c>
      <c r="I1193" s="8">
        <v>0.1111</v>
      </c>
      <c r="J1193" s="8">
        <v>0.33329999999999999</v>
      </c>
      <c r="M1193" s="8">
        <v>0.1111</v>
      </c>
    </row>
    <row r="1195" spans="1:16" x14ac:dyDescent="0.3">
      <c r="A1195"/>
    </row>
    <row r="1196" spans="1:16" x14ac:dyDescent="0.3">
      <c r="A1196"/>
    </row>
    <row r="1197" spans="1:16" x14ac:dyDescent="0.3">
      <c r="A1197"/>
    </row>
    <row r="1199" spans="1:16" ht="57.6" x14ac:dyDescent="0.3">
      <c r="A1199" s="22" t="s">
        <v>356</v>
      </c>
    </row>
    <row r="1200" spans="1:16" x14ac:dyDescent="0.3">
      <c r="A1200" s="22" t="s">
        <v>66</v>
      </c>
      <c r="B1200" t="s">
        <v>62</v>
      </c>
      <c r="C1200" t="s">
        <v>57</v>
      </c>
      <c r="D1200" t="s">
        <v>63</v>
      </c>
      <c r="E1200" t="s">
        <v>154</v>
      </c>
      <c r="F1200" t="s">
        <v>345</v>
      </c>
      <c r="G1200" t="s">
        <v>346</v>
      </c>
      <c r="H1200" t="s">
        <v>347</v>
      </c>
      <c r="I1200" t="s">
        <v>136</v>
      </c>
      <c r="J1200" t="s">
        <v>348</v>
      </c>
      <c r="K1200" t="s">
        <v>349</v>
      </c>
      <c r="L1200" t="s">
        <v>350</v>
      </c>
      <c r="M1200" t="s">
        <v>351</v>
      </c>
      <c r="N1200" t="s">
        <v>352</v>
      </c>
      <c r="O1200" t="s">
        <v>353</v>
      </c>
      <c r="P1200" t="s">
        <v>354</v>
      </c>
    </row>
    <row r="1201" spans="1:16" x14ac:dyDescent="0.3">
      <c r="A1201" s="22" t="s">
        <v>67</v>
      </c>
      <c r="B1201">
        <v>186</v>
      </c>
      <c r="C1201" t="s">
        <v>64</v>
      </c>
      <c r="D1201">
        <v>195</v>
      </c>
      <c r="E1201" s="8">
        <v>1.0800000000000001E-2</v>
      </c>
      <c r="F1201" s="8">
        <v>5.91E-2</v>
      </c>
      <c r="G1201" s="8">
        <v>4.8399999999999999E-2</v>
      </c>
      <c r="H1201" s="8">
        <v>0.37630000000000002</v>
      </c>
      <c r="I1201" s="8">
        <v>0.15590000000000001</v>
      </c>
      <c r="J1201" s="8">
        <v>0.17199999999999999</v>
      </c>
      <c r="K1201" s="8">
        <v>2.1499999999999998E-2</v>
      </c>
      <c r="L1201" s="8">
        <v>0.15049999999999999</v>
      </c>
      <c r="M1201" s="8">
        <v>2.69E-2</v>
      </c>
      <c r="N1201" s="8">
        <v>2.69E-2</v>
      </c>
      <c r="O1201" s="8">
        <v>0.21510000000000001</v>
      </c>
      <c r="P1201" s="8">
        <v>2.1499999999999998E-2</v>
      </c>
    </row>
    <row r="1202" spans="1:16" x14ac:dyDescent="0.3">
      <c r="A1202" s="22" t="s">
        <v>68</v>
      </c>
      <c r="B1202">
        <v>9</v>
      </c>
      <c r="C1202" t="s">
        <v>64</v>
      </c>
      <c r="D1202">
        <v>195</v>
      </c>
      <c r="F1202" s="8">
        <v>0.1111</v>
      </c>
      <c r="H1202" s="8">
        <v>0.55559999999999998</v>
      </c>
      <c r="I1202" s="8">
        <v>0.1111</v>
      </c>
      <c r="J1202" s="8">
        <v>0.22220000000000001</v>
      </c>
      <c r="O1202" s="8">
        <v>0.1111</v>
      </c>
    </row>
    <row r="1204" spans="1:16" ht="57.6" x14ac:dyDescent="0.3">
      <c r="A1204" s="22" t="s">
        <v>357</v>
      </c>
    </row>
    <row r="1205" spans="1:16" x14ac:dyDescent="0.3">
      <c r="A1205" s="22" t="s">
        <v>66</v>
      </c>
      <c r="B1205" t="s">
        <v>62</v>
      </c>
      <c r="C1205" t="s">
        <v>57</v>
      </c>
      <c r="D1205" t="s">
        <v>63</v>
      </c>
      <c r="E1205" t="s">
        <v>154</v>
      </c>
      <c r="F1205" t="s">
        <v>345</v>
      </c>
      <c r="G1205" t="s">
        <v>346</v>
      </c>
      <c r="H1205" t="s">
        <v>347</v>
      </c>
      <c r="I1205" t="s">
        <v>136</v>
      </c>
      <c r="J1205" t="s">
        <v>348</v>
      </c>
      <c r="K1205" t="s">
        <v>349</v>
      </c>
      <c r="L1205" t="s">
        <v>350</v>
      </c>
      <c r="M1205" t="s">
        <v>351</v>
      </c>
      <c r="N1205" t="s">
        <v>352</v>
      </c>
      <c r="O1205" t="s">
        <v>353</v>
      </c>
      <c r="P1205" t="s">
        <v>354</v>
      </c>
    </row>
    <row r="1206" spans="1:16" x14ac:dyDescent="0.3">
      <c r="A1206" s="22" t="s">
        <v>67</v>
      </c>
      <c r="B1206">
        <v>194</v>
      </c>
      <c r="C1206" t="s">
        <v>64</v>
      </c>
      <c r="D1206">
        <v>195</v>
      </c>
      <c r="E1206" s="8">
        <v>1.03E-2</v>
      </c>
      <c r="F1206" s="8">
        <v>5.67E-2</v>
      </c>
      <c r="G1206" s="8">
        <v>4.6399999999999997E-2</v>
      </c>
      <c r="H1206" s="8">
        <v>0.3866</v>
      </c>
      <c r="I1206" s="8">
        <v>0.15459999999999999</v>
      </c>
      <c r="J1206" s="8">
        <v>0.17530000000000001</v>
      </c>
      <c r="K1206" s="8">
        <v>2.06E-2</v>
      </c>
      <c r="L1206" s="8">
        <v>0.14430000000000001</v>
      </c>
      <c r="M1206" s="8">
        <v>2.58E-2</v>
      </c>
      <c r="N1206" s="8">
        <v>2.58E-2</v>
      </c>
      <c r="O1206" s="8">
        <v>0.21129999999999999</v>
      </c>
      <c r="P1206" s="8">
        <v>2.06E-2</v>
      </c>
    </row>
    <row r="1207" spans="1:16" x14ac:dyDescent="0.3">
      <c r="A1207" s="22" t="s">
        <v>68</v>
      </c>
      <c r="B1207">
        <v>1</v>
      </c>
      <c r="C1207" t="s">
        <v>64</v>
      </c>
      <c r="D1207">
        <v>195</v>
      </c>
      <c r="F1207" s="8">
        <v>1</v>
      </c>
    </row>
    <row r="1209" spans="1:16" ht="72" x14ac:dyDescent="0.3">
      <c r="A1209" s="22" t="s">
        <v>358</v>
      </c>
    </row>
    <row r="1210" spans="1:16" x14ac:dyDescent="0.3">
      <c r="A1210" s="22" t="s">
        <v>66</v>
      </c>
      <c r="B1210" t="s">
        <v>62</v>
      </c>
      <c r="C1210" t="s">
        <v>57</v>
      </c>
      <c r="D1210" t="s">
        <v>63</v>
      </c>
      <c r="E1210" t="s">
        <v>154</v>
      </c>
      <c r="F1210" t="s">
        <v>345</v>
      </c>
      <c r="G1210" t="s">
        <v>346</v>
      </c>
      <c r="H1210" t="s">
        <v>347</v>
      </c>
      <c r="I1210" t="s">
        <v>136</v>
      </c>
      <c r="J1210" t="s">
        <v>348</v>
      </c>
      <c r="K1210" t="s">
        <v>349</v>
      </c>
      <c r="L1210" t="s">
        <v>350</v>
      </c>
      <c r="M1210" t="s">
        <v>351</v>
      </c>
      <c r="N1210" t="s">
        <v>352</v>
      </c>
      <c r="O1210" t="s">
        <v>353</v>
      </c>
      <c r="P1210" t="s">
        <v>354</v>
      </c>
    </row>
    <row r="1211" spans="1:16" x14ac:dyDescent="0.3">
      <c r="A1211" s="22" t="s">
        <v>67</v>
      </c>
      <c r="B1211">
        <v>182</v>
      </c>
      <c r="C1211" t="s">
        <v>64</v>
      </c>
      <c r="D1211">
        <v>195</v>
      </c>
      <c r="E1211" s="8">
        <v>1.0999999999999999E-2</v>
      </c>
      <c r="F1211" s="8">
        <v>6.0400000000000002E-2</v>
      </c>
      <c r="G1211" s="8">
        <v>4.3999999999999997E-2</v>
      </c>
      <c r="H1211" s="8">
        <v>0.36809999999999998</v>
      </c>
      <c r="I1211" s="8">
        <v>0.15379999999999999</v>
      </c>
      <c r="J1211" s="8">
        <v>0.18129999999999999</v>
      </c>
      <c r="K1211" s="8">
        <v>2.1999999999999999E-2</v>
      </c>
      <c r="L1211" s="8">
        <v>0.1484</v>
      </c>
      <c r="M1211" s="8">
        <v>2.1999999999999999E-2</v>
      </c>
      <c r="N1211" s="8">
        <v>2.75E-2</v>
      </c>
      <c r="O1211" s="8">
        <v>0.21429999999999999</v>
      </c>
      <c r="P1211" s="8">
        <v>2.1999999999999999E-2</v>
      </c>
    </row>
    <row r="1212" spans="1:16" x14ac:dyDescent="0.3">
      <c r="A1212" s="22" t="s">
        <v>68</v>
      </c>
      <c r="B1212">
        <v>13</v>
      </c>
      <c r="C1212" t="s">
        <v>64</v>
      </c>
      <c r="D1212">
        <v>195</v>
      </c>
      <c r="F1212" s="8">
        <v>7.6899999999999996E-2</v>
      </c>
      <c r="G1212" s="8">
        <v>7.6899999999999996E-2</v>
      </c>
      <c r="H1212" s="8">
        <v>0.61539999999999995</v>
      </c>
      <c r="I1212" s="8">
        <v>0.15379999999999999</v>
      </c>
      <c r="J1212" s="8">
        <v>7.6899999999999996E-2</v>
      </c>
      <c r="L1212" s="8">
        <v>7.6899999999999996E-2</v>
      </c>
      <c r="M1212" s="8">
        <v>7.6899999999999996E-2</v>
      </c>
      <c r="O1212" s="8">
        <v>0.15379999999999999</v>
      </c>
    </row>
    <row r="1214" spans="1:16" ht="72" x14ac:dyDescent="0.3">
      <c r="A1214" s="22" t="s">
        <v>359</v>
      </c>
    </row>
    <row r="1215" spans="1:16" x14ac:dyDescent="0.3">
      <c r="A1215" s="22" t="s">
        <v>66</v>
      </c>
      <c r="B1215" t="s">
        <v>62</v>
      </c>
      <c r="C1215" t="s">
        <v>57</v>
      </c>
      <c r="D1215" t="s">
        <v>63</v>
      </c>
      <c r="E1215" t="s">
        <v>154</v>
      </c>
      <c r="F1215" t="s">
        <v>345</v>
      </c>
      <c r="G1215" t="s">
        <v>346</v>
      </c>
      <c r="H1215" t="s">
        <v>347</v>
      </c>
      <c r="I1215" t="s">
        <v>136</v>
      </c>
      <c r="J1215" t="s">
        <v>348</v>
      </c>
      <c r="K1215" t="s">
        <v>349</v>
      </c>
      <c r="L1215" t="s">
        <v>350</v>
      </c>
      <c r="M1215" t="s">
        <v>351</v>
      </c>
      <c r="N1215" t="s">
        <v>352</v>
      </c>
      <c r="O1215" t="s">
        <v>353</v>
      </c>
      <c r="P1215" t="s">
        <v>354</v>
      </c>
    </row>
    <row r="1216" spans="1:16" x14ac:dyDescent="0.3">
      <c r="A1216" s="22" t="s">
        <v>67</v>
      </c>
      <c r="B1216">
        <v>5</v>
      </c>
      <c r="C1216" t="s">
        <v>64</v>
      </c>
      <c r="D1216">
        <v>195</v>
      </c>
      <c r="H1216" s="8">
        <v>0.4</v>
      </c>
      <c r="J1216" s="8">
        <v>0.6</v>
      </c>
    </row>
    <row r="1217" spans="1:16" x14ac:dyDescent="0.3">
      <c r="A1217" s="22" t="s">
        <v>68</v>
      </c>
      <c r="B1217">
        <v>190</v>
      </c>
      <c r="C1217" t="s">
        <v>64</v>
      </c>
      <c r="D1217">
        <v>195</v>
      </c>
      <c r="E1217" s="8">
        <v>1.0500000000000001E-2</v>
      </c>
      <c r="F1217" s="8">
        <v>6.3200000000000006E-2</v>
      </c>
      <c r="G1217" s="8">
        <v>4.7399999999999998E-2</v>
      </c>
      <c r="H1217" s="8">
        <v>0.38419999999999999</v>
      </c>
      <c r="I1217" s="8">
        <v>0.15790000000000001</v>
      </c>
      <c r="J1217" s="8">
        <v>0.16320000000000001</v>
      </c>
      <c r="K1217" s="8">
        <v>2.1100000000000001E-2</v>
      </c>
      <c r="L1217" s="8">
        <v>0.1474</v>
      </c>
      <c r="M1217" s="8">
        <v>2.63E-2</v>
      </c>
      <c r="N1217" s="8">
        <v>2.63E-2</v>
      </c>
      <c r="O1217" s="8">
        <v>0.21579999999999999</v>
      </c>
      <c r="P1217" s="8">
        <v>2.1100000000000001E-2</v>
      </c>
    </row>
    <row r="1219" spans="1:16" ht="57.6" x14ac:dyDescent="0.3">
      <c r="A1219" s="22" t="s">
        <v>360</v>
      </c>
    </row>
    <row r="1220" spans="1:16" x14ac:dyDescent="0.3">
      <c r="A1220" s="22" t="s">
        <v>66</v>
      </c>
      <c r="B1220" t="s">
        <v>62</v>
      </c>
      <c r="C1220" t="s">
        <v>57</v>
      </c>
      <c r="D1220" t="s">
        <v>63</v>
      </c>
      <c r="E1220" t="s">
        <v>154</v>
      </c>
      <c r="F1220" t="s">
        <v>345</v>
      </c>
      <c r="G1220" t="s">
        <v>346</v>
      </c>
      <c r="H1220" t="s">
        <v>347</v>
      </c>
      <c r="I1220" t="s">
        <v>136</v>
      </c>
      <c r="J1220" t="s">
        <v>348</v>
      </c>
      <c r="K1220" t="s">
        <v>349</v>
      </c>
      <c r="L1220" t="s">
        <v>350</v>
      </c>
      <c r="M1220" t="s">
        <v>351</v>
      </c>
      <c r="N1220" t="s">
        <v>352</v>
      </c>
      <c r="O1220" t="s">
        <v>353</v>
      </c>
      <c r="P1220" t="s">
        <v>354</v>
      </c>
    </row>
    <row r="1221" spans="1:16" x14ac:dyDescent="0.3">
      <c r="A1221" s="22" t="s">
        <v>67</v>
      </c>
      <c r="B1221">
        <v>155</v>
      </c>
      <c r="C1221" t="s">
        <v>64</v>
      </c>
      <c r="D1221">
        <v>195</v>
      </c>
      <c r="F1221" s="8">
        <v>7.0999999999999994E-2</v>
      </c>
      <c r="G1221" s="8">
        <v>5.16E-2</v>
      </c>
      <c r="H1221" s="8">
        <v>0.3871</v>
      </c>
      <c r="I1221" s="8">
        <v>0.1419</v>
      </c>
      <c r="J1221" s="8">
        <v>0.20649999999999999</v>
      </c>
      <c r="K1221" s="8">
        <v>1.9400000000000001E-2</v>
      </c>
      <c r="L1221" s="8">
        <v>0.13550000000000001</v>
      </c>
      <c r="M1221" s="8">
        <v>2.58E-2</v>
      </c>
      <c r="N1221" s="8">
        <v>1.9400000000000001E-2</v>
      </c>
      <c r="O1221" s="8">
        <v>0.23230000000000001</v>
      </c>
      <c r="P1221" s="8">
        <v>2.58E-2</v>
      </c>
    </row>
    <row r="1222" spans="1:16" x14ac:dyDescent="0.3">
      <c r="A1222" s="22" t="s">
        <v>68</v>
      </c>
      <c r="B1222">
        <v>40</v>
      </c>
      <c r="C1222" t="s">
        <v>64</v>
      </c>
      <c r="D1222">
        <v>195</v>
      </c>
      <c r="E1222" s="8">
        <v>0.05</v>
      </c>
      <c r="F1222" s="8">
        <v>2.5000000000000001E-2</v>
      </c>
      <c r="G1222" s="8">
        <v>2.5000000000000001E-2</v>
      </c>
      <c r="H1222" s="8">
        <v>0.375</v>
      </c>
      <c r="I1222" s="8">
        <v>0.2</v>
      </c>
      <c r="J1222" s="8">
        <v>0.05</v>
      </c>
      <c r="K1222" s="8">
        <v>2.5000000000000001E-2</v>
      </c>
      <c r="L1222" s="8">
        <v>0.17499999999999999</v>
      </c>
      <c r="M1222" s="8">
        <v>2.5000000000000001E-2</v>
      </c>
      <c r="N1222" s="8">
        <v>0.05</v>
      </c>
      <c r="O1222" s="8">
        <v>0.125</v>
      </c>
    </row>
    <row r="1224" spans="1:16" ht="57.6" x14ac:dyDescent="0.3">
      <c r="A1224" s="22" t="s">
        <v>361</v>
      </c>
    </row>
    <row r="1225" spans="1:16" x14ac:dyDescent="0.3">
      <c r="A1225" s="22" t="s">
        <v>66</v>
      </c>
      <c r="B1225" t="s">
        <v>62</v>
      </c>
      <c r="C1225" t="s">
        <v>57</v>
      </c>
      <c r="D1225" t="s">
        <v>63</v>
      </c>
      <c r="E1225" t="s">
        <v>154</v>
      </c>
      <c r="F1225" t="s">
        <v>345</v>
      </c>
      <c r="G1225" t="s">
        <v>346</v>
      </c>
      <c r="H1225" t="s">
        <v>347</v>
      </c>
      <c r="I1225" t="s">
        <v>136</v>
      </c>
      <c r="J1225" t="s">
        <v>348</v>
      </c>
      <c r="K1225" t="s">
        <v>349</v>
      </c>
      <c r="L1225" t="s">
        <v>350</v>
      </c>
      <c r="M1225" t="s">
        <v>351</v>
      </c>
      <c r="N1225" t="s">
        <v>352</v>
      </c>
      <c r="O1225" t="s">
        <v>353</v>
      </c>
      <c r="P1225" t="s">
        <v>354</v>
      </c>
    </row>
    <row r="1226" spans="1:16" x14ac:dyDescent="0.3">
      <c r="A1226" s="22" t="s">
        <v>67</v>
      </c>
      <c r="B1226">
        <v>152</v>
      </c>
      <c r="C1226" t="s">
        <v>64</v>
      </c>
      <c r="D1226">
        <v>195</v>
      </c>
      <c r="E1226" s="8">
        <v>1.32E-2</v>
      </c>
      <c r="F1226" s="8">
        <v>6.5799999999999997E-2</v>
      </c>
      <c r="G1226" s="8">
        <v>4.6100000000000002E-2</v>
      </c>
      <c r="H1226" s="8">
        <v>0.38159999999999999</v>
      </c>
      <c r="I1226" s="8">
        <v>0.15790000000000001</v>
      </c>
      <c r="J1226" s="8">
        <v>0.1842</v>
      </c>
      <c r="K1226" s="8">
        <v>2.63E-2</v>
      </c>
      <c r="L1226" s="8">
        <v>0.1447</v>
      </c>
      <c r="M1226" s="8">
        <v>1.9699999999999999E-2</v>
      </c>
      <c r="N1226" s="8">
        <v>2.63E-2</v>
      </c>
      <c r="O1226" s="8">
        <v>0.2303</v>
      </c>
      <c r="P1226" s="8">
        <v>2.63E-2</v>
      </c>
    </row>
    <row r="1227" spans="1:16" x14ac:dyDescent="0.3">
      <c r="A1227" s="22" t="s">
        <v>68</v>
      </c>
      <c r="B1227">
        <v>43</v>
      </c>
      <c r="C1227" t="s">
        <v>64</v>
      </c>
      <c r="D1227">
        <v>195</v>
      </c>
      <c r="F1227" s="8">
        <v>4.65E-2</v>
      </c>
      <c r="G1227" s="8">
        <v>4.65E-2</v>
      </c>
      <c r="H1227" s="8">
        <v>0.39529999999999998</v>
      </c>
      <c r="I1227" s="8">
        <v>0.13950000000000001</v>
      </c>
      <c r="J1227" s="8">
        <v>0.13950000000000001</v>
      </c>
      <c r="L1227" s="8">
        <v>0.13950000000000001</v>
      </c>
      <c r="M1227" s="8">
        <v>4.65E-2</v>
      </c>
      <c r="N1227" s="8">
        <v>2.3300000000000001E-2</v>
      </c>
      <c r="O1227" s="8">
        <v>0.13950000000000001</v>
      </c>
    </row>
    <row r="1229" spans="1:16" ht="72" x14ac:dyDescent="0.3">
      <c r="A1229" s="22" t="s">
        <v>362</v>
      </c>
    </row>
    <row r="1230" spans="1:16" x14ac:dyDescent="0.3">
      <c r="A1230" s="22" t="s">
        <v>66</v>
      </c>
      <c r="B1230" t="s">
        <v>62</v>
      </c>
      <c r="C1230" t="s">
        <v>57</v>
      </c>
      <c r="D1230" t="s">
        <v>63</v>
      </c>
      <c r="E1230" t="s">
        <v>154</v>
      </c>
      <c r="F1230" t="s">
        <v>345</v>
      </c>
      <c r="G1230" t="s">
        <v>346</v>
      </c>
      <c r="H1230" t="s">
        <v>347</v>
      </c>
      <c r="I1230" t="s">
        <v>136</v>
      </c>
      <c r="J1230" t="s">
        <v>348</v>
      </c>
      <c r="K1230" t="s">
        <v>349</v>
      </c>
      <c r="L1230" t="s">
        <v>350</v>
      </c>
      <c r="M1230" t="s">
        <v>351</v>
      </c>
      <c r="N1230" t="s">
        <v>352</v>
      </c>
      <c r="O1230" t="s">
        <v>353</v>
      </c>
      <c r="P1230" t="s">
        <v>354</v>
      </c>
    </row>
    <row r="1231" spans="1:16" x14ac:dyDescent="0.3">
      <c r="A1231" s="22" t="s">
        <v>67</v>
      </c>
      <c r="B1231">
        <v>147</v>
      </c>
      <c r="C1231" t="s">
        <v>64</v>
      </c>
      <c r="D1231">
        <v>195</v>
      </c>
      <c r="E1231" s="8">
        <v>1.3599999999999999E-2</v>
      </c>
      <c r="F1231" s="8">
        <v>6.1199999999999997E-2</v>
      </c>
      <c r="G1231" s="8">
        <v>4.7600000000000003E-2</v>
      </c>
      <c r="H1231" s="8">
        <v>0.38100000000000001</v>
      </c>
      <c r="I1231" s="8">
        <v>0.1633</v>
      </c>
      <c r="J1231" s="8">
        <v>0.1633</v>
      </c>
      <c r="K1231" s="8">
        <v>2.7199999999999998E-2</v>
      </c>
      <c r="L1231" s="8">
        <v>0.1497</v>
      </c>
      <c r="M1231" s="8">
        <v>2.7199999999999998E-2</v>
      </c>
      <c r="N1231" s="8">
        <v>2.0400000000000001E-2</v>
      </c>
      <c r="O1231" s="8">
        <v>0.2177</v>
      </c>
      <c r="P1231" s="8">
        <v>2.0400000000000001E-2</v>
      </c>
    </row>
    <row r="1232" spans="1:16" x14ac:dyDescent="0.3">
      <c r="A1232" s="22" t="s">
        <v>68</v>
      </c>
      <c r="B1232">
        <v>48</v>
      </c>
      <c r="C1232" t="s">
        <v>64</v>
      </c>
      <c r="D1232">
        <v>195</v>
      </c>
      <c r="F1232" s="8">
        <v>6.25E-2</v>
      </c>
      <c r="G1232" s="8">
        <v>4.1700000000000001E-2</v>
      </c>
      <c r="H1232" s="8">
        <v>0.39579999999999999</v>
      </c>
      <c r="I1232" s="8">
        <v>0.125</v>
      </c>
      <c r="J1232" s="8">
        <v>0.20830000000000001</v>
      </c>
      <c r="L1232" s="8">
        <v>0.125</v>
      </c>
      <c r="M1232" s="8">
        <v>2.0799999999999999E-2</v>
      </c>
      <c r="N1232" s="8">
        <v>4.1700000000000001E-2</v>
      </c>
      <c r="O1232" s="8">
        <v>0.1875</v>
      </c>
      <c r="P1232" s="8">
        <v>2.0799999999999999E-2</v>
      </c>
    </row>
    <row r="1234" spans="1:16" ht="72" x14ac:dyDescent="0.3">
      <c r="A1234" s="22" t="s">
        <v>363</v>
      </c>
    </row>
    <row r="1235" spans="1:16" x14ac:dyDescent="0.3">
      <c r="A1235" s="22" t="s">
        <v>66</v>
      </c>
      <c r="B1235" t="s">
        <v>62</v>
      </c>
      <c r="C1235" t="s">
        <v>57</v>
      </c>
      <c r="D1235" t="s">
        <v>63</v>
      </c>
      <c r="E1235" t="s">
        <v>154</v>
      </c>
      <c r="F1235" t="s">
        <v>345</v>
      </c>
      <c r="G1235" t="s">
        <v>346</v>
      </c>
      <c r="H1235" t="s">
        <v>347</v>
      </c>
      <c r="I1235" t="s">
        <v>136</v>
      </c>
      <c r="J1235" t="s">
        <v>348</v>
      </c>
      <c r="K1235" t="s">
        <v>349</v>
      </c>
      <c r="L1235" t="s">
        <v>350</v>
      </c>
      <c r="M1235" t="s">
        <v>351</v>
      </c>
      <c r="N1235" t="s">
        <v>352</v>
      </c>
      <c r="O1235" t="s">
        <v>353</v>
      </c>
      <c r="P1235" t="s">
        <v>354</v>
      </c>
    </row>
    <row r="1236" spans="1:16" x14ac:dyDescent="0.3">
      <c r="A1236" s="22" t="s">
        <v>67</v>
      </c>
      <c r="B1236">
        <v>182</v>
      </c>
      <c r="C1236" t="s">
        <v>64</v>
      </c>
      <c r="D1236">
        <v>195</v>
      </c>
      <c r="E1236" s="8">
        <v>1.0999999999999999E-2</v>
      </c>
      <c r="F1236" s="8">
        <v>6.0400000000000002E-2</v>
      </c>
      <c r="G1236" s="8">
        <v>3.3000000000000002E-2</v>
      </c>
      <c r="H1236" s="8">
        <v>0.40110000000000001</v>
      </c>
      <c r="I1236" s="8">
        <v>0.1429</v>
      </c>
      <c r="J1236" s="8">
        <v>0.1484</v>
      </c>
      <c r="K1236" s="8">
        <v>2.1999999999999999E-2</v>
      </c>
      <c r="L1236" s="8">
        <v>0.13189999999999999</v>
      </c>
      <c r="M1236" s="8">
        <v>2.1999999999999999E-2</v>
      </c>
      <c r="N1236" s="8">
        <v>2.1999999999999999E-2</v>
      </c>
      <c r="O1236" s="8">
        <v>0.20880000000000001</v>
      </c>
      <c r="P1236" s="8">
        <v>1.0999999999999999E-2</v>
      </c>
    </row>
    <row r="1237" spans="1:16" x14ac:dyDescent="0.3">
      <c r="A1237" s="22" t="s">
        <v>68</v>
      </c>
      <c r="B1237">
        <v>13</v>
      </c>
      <c r="C1237" t="s">
        <v>64</v>
      </c>
      <c r="D1237">
        <v>195</v>
      </c>
      <c r="F1237" s="8">
        <v>7.6899999999999996E-2</v>
      </c>
      <c r="G1237" s="8">
        <v>0.23080000000000001</v>
      </c>
      <c r="H1237" s="8">
        <v>0.15379999999999999</v>
      </c>
      <c r="I1237" s="8">
        <v>0.30769999999999997</v>
      </c>
      <c r="J1237" s="8">
        <v>0.53849999999999998</v>
      </c>
      <c r="L1237" s="8">
        <v>0.30769999999999997</v>
      </c>
      <c r="M1237" s="8">
        <v>7.6899999999999996E-2</v>
      </c>
      <c r="N1237" s="8">
        <v>7.6899999999999996E-2</v>
      </c>
      <c r="O1237" s="8">
        <v>0.23080000000000001</v>
      </c>
      <c r="P1237" s="8">
        <v>0.15379999999999999</v>
      </c>
    </row>
    <row r="1239" spans="1:16" ht="72" x14ac:dyDescent="0.3">
      <c r="A1239" s="22" t="s">
        <v>364</v>
      </c>
    </row>
    <row r="1240" spans="1:16" x14ac:dyDescent="0.3">
      <c r="A1240" s="22" t="s">
        <v>66</v>
      </c>
      <c r="B1240" t="s">
        <v>62</v>
      </c>
      <c r="C1240" t="s">
        <v>57</v>
      </c>
      <c r="D1240" t="s">
        <v>63</v>
      </c>
      <c r="E1240" t="s">
        <v>154</v>
      </c>
      <c r="F1240" t="s">
        <v>345</v>
      </c>
      <c r="G1240" t="s">
        <v>346</v>
      </c>
      <c r="H1240" t="s">
        <v>347</v>
      </c>
      <c r="I1240" t="s">
        <v>136</v>
      </c>
      <c r="J1240" t="s">
        <v>348</v>
      </c>
      <c r="K1240" t="s">
        <v>349</v>
      </c>
      <c r="L1240" t="s">
        <v>350</v>
      </c>
      <c r="M1240" t="s">
        <v>351</v>
      </c>
      <c r="N1240" t="s">
        <v>352</v>
      </c>
      <c r="O1240" t="s">
        <v>353</v>
      </c>
      <c r="P1240" t="s">
        <v>354</v>
      </c>
    </row>
    <row r="1241" spans="1:16" x14ac:dyDescent="0.3">
      <c r="A1241" s="22" t="s">
        <v>67</v>
      </c>
      <c r="B1241">
        <v>195</v>
      </c>
      <c r="C1241" t="s">
        <v>64</v>
      </c>
      <c r="D1241">
        <v>195</v>
      </c>
      <c r="E1241" s="8">
        <v>1.03E-2</v>
      </c>
      <c r="F1241" s="8">
        <v>6.1499999999999999E-2</v>
      </c>
      <c r="G1241" s="8">
        <v>4.6199999999999998E-2</v>
      </c>
      <c r="H1241" s="8">
        <v>0.3846</v>
      </c>
      <c r="I1241" s="8">
        <v>0.15379999999999999</v>
      </c>
      <c r="J1241" s="8">
        <v>0.1744</v>
      </c>
      <c r="K1241" s="8">
        <v>2.0500000000000001E-2</v>
      </c>
      <c r="L1241" s="8">
        <v>0.14360000000000001</v>
      </c>
      <c r="M1241" s="8">
        <v>2.5600000000000001E-2</v>
      </c>
      <c r="N1241" s="8">
        <v>2.5600000000000001E-2</v>
      </c>
      <c r="O1241" s="8">
        <v>0.21029999999999999</v>
      </c>
      <c r="P1241" s="8">
        <v>2.0500000000000001E-2</v>
      </c>
    </row>
    <row r="1243" spans="1:16" ht="57.6" x14ac:dyDescent="0.3">
      <c r="A1243" s="22" t="s">
        <v>365</v>
      </c>
    </row>
    <row r="1244" spans="1:16" x14ac:dyDescent="0.3">
      <c r="A1244" s="22" t="s">
        <v>66</v>
      </c>
      <c r="B1244" t="s">
        <v>62</v>
      </c>
      <c r="C1244" t="s">
        <v>57</v>
      </c>
      <c r="D1244" t="s">
        <v>63</v>
      </c>
      <c r="E1244" t="s">
        <v>154</v>
      </c>
      <c r="F1244" t="s">
        <v>345</v>
      </c>
      <c r="G1244" t="s">
        <v>346</v>
      </c>
      <c r="H1244" t="s">
        <v>347</v>
      </c>
      <c r="I1244" t="s">
        <v>136</v>
      </c>
      <c r="J1244" t="s">
        <v>348</v>
      </c>
      <c r="K1244" t="s">
        <v>349</v>
      </c>
      <c r="L1244" t="s">
        <v>350</v>
      </c>
      <c r="M1244" t="s">
        <v>351</v>
      </c>
      <c r="N1244" t="s">
        <v>352</v>
      </c>
      <c r="O1244" t="s">
        <v>353</v>
      </c>
      <c r="P1244" t="s">
        <v>354</v>
      </c>
    </row>
    <row r="1245" spans="1:16" x14ac:dyDescent="0.3">
      <c r="A1245" s="22" t="s">
        <v>67</v>
      </c>
      <c r="B1245">
        <v>123</v>
      </c>
      <c r="C1245" t="s">
        <v>64</v>
      </c>
      <c r="D1245">
        <v>195</v>
      </c>
      <c r="E1245" s="8">
        <v>1.6299999999999999E-2</v>
      </c>
      <c r="F1245" s="8">
        <v>4.07E-2</v>
      </c>
      <c r="G1245" s="8">
        <v>3.2500000000000001E-2</v>
      </c>
      <c r="H1245" s="8">
        <v>0.3821</v>
      </c>
      <c r="I1245" s="8">
        <v>0.13009999999999999</v>
      </c>
      <c r="J1245" s="8">
        <v>0.13819999999999999</v>
      </c>
      <c r="K1245" s="8">
        <v>2.4400000000000002E-2</v>
      </c>
      <c r="L1245" s="8">
        <v>0.13009999999999999</v>
      </c>
      <c r="M1245" s="8">
        <v>8.0999999999999996E-3</v>
      </c>
      <c r="N1245" s="8">
        <v>3.2500000000000001E-2</v>
      </c>
      <c r="O1245" s="8">
        <v>0.252</v>
      </c>
      <c r="P1245" s="8">
        <v>1.6299999999999999E-2</v>
      </c>
    </row>
    <row r="1246" spans="1:16" x14ac:dyDescent="0.3">
      <c r="A1246" s="22" t="s">
        <v>68</v>
      </c>
      <c r="B1246">
        <v>72</v>
      </c>
      <c r="C1246" t="s">
        <v>64</v>
      </c>
      <c r="D1246">
        <v>195</v>
      </c>
      <c r="F1246" s="8">
        <v>9.7199999999999995E-2</v>
      </c>
      <c r="G1246" s="8">
        <v>6.9400000000000003E-2</v>
      </c>
      <c r="H1246" s="8">
        <v>0.38890000000000002</v>
      </c>
      <c r="I1246" s="8">
        <v>0.19439999999999999</v>
      </c>
      <c r="J1246" s="8">
        <v>0.2361</v>
      </c>
      <c r="K1246" s="8">
        <v>1.3899999999999999E-2</v>
      </c>
      <c r="L1246" s="8">
        <v>0.16669999999999999</v>
      </c>
      <c r="M1246" s="8">
        <v>5.5599999999999997E-2</v>
      </c>
      <c r="N1246" s="8">
        <v>1.3899999999999999E-2</v>
      </c>
      <c r="O1246" s="8">
        <v>0.1389</v>
      </c>
      <c r="P1246" s="8">
        <v>2.7799999999999998E-2</v>
      </c>
    </row>
    <row r="1248" spans="1:16" ht="72" x14ac:dyDescent="0.3">
      <c r="A1248" s="22" t="s">
        <v>366</v>
      </c>
    </row>
    <row r="1249" spans="1:16" x14ac:dyDescent="0.3">
      <c r="A1249" s="22" t="s">
        <v>66</v>
      </c>
      <c r="B1249" t="s">
        <v>62</v>
      </c>
      <c r="C1249" t="s">
        <v>57</v>
      </c>
      <c r="D1249" t="s">
        <v>63</v>
      </c>
      <c r="E1249" t="s">
        <v>154</v>
      </c>
      <c r="F1249" t="s">
        <v>345</v>
      </c>
      <c r="G1249" t="s">
        <v>346</v>
      </c>
      <c r="H1249" t="s">
        <v>347</v>
      </c>
      <c r="I1249" t="s">
        <v>136</v>
      </c>
      <c r="J1249" t="s">
        <v>348</v>
      </c>
      <c r="K1249" t="s">
        <v>349</v>
      </c>
      <c r="L1249" t="s">
        <v>350</v>
      </c>
      <c r="M1249" t="s">
        <v>351</v>
      </c>
      <c r="N1249" t="s">
        <v>352</v>
      </c>
      <c r="O1249" t="s">
        <v>353</v>
      </c>
      <c r="P1249" t="s">
        <v>354</v>
      </c>
    </row>
    <row r="1250" spans="1:16" x14ac:dyDescent="0.3">
      <c r="A1250" s="22" t="s">
        <v>67</v>
      </c>
      <c r="B1250">
        <v>176</v>
      </c>
      <c r="C1250" t="s">
        <v>64</v>
      </c>
      <c r="D1250">
        <v>195</v>
      </c>
      <c r="E1250" s="8">
        <v>1.14E-2</v>
      </c>
      <c r="F1250" s="8">
        <v>5.11E-2</v>
      </c>
      <c r="G1250" s="8">
        <v>5.11E-2</v>
      </c>
      <c r="H1250" s="8">
        <v>0.39200000000000002</v>
      </c>
      <c r="I1250" s="8">
        <v>0.15340000000000001</v>
      </c>
      <c r="J1250" s="8">
        <v>0.17610000000000001</v>
      </c>
      <c r="K1250" s="8">
        <v>1.7000000000000001E-2</v>
      </c>
      <c r="L1250" s="8">
        <v>0.15340000000000001</v>
      </c>
      <c r="M1250" s="8">
        <v>2.8400000000000002E-2</v>
      </c>
      <c r="N1250" s="8">
        <v>1.7000000000000001E-2</v>
      </c>
      <c r="O1250" s="8">
        <v>0.21590000000000001</v>
      </c>
      <c r="P1250" s="8">
        <v>2.2700000000000001E-2</v>
      </c>
    </row>
    <row r="1251" spans="1:16" x14ac:dyDescent="0.3">
      <c r="A1251" s="22" t="s">
        <v>68</v>
      </c>
      <c r="B1251">
        <v>19</v>
      </c>
      <c r="C1251" t="s">
        <v>64</v>
      </c>
      <c r="D1251">
        <v>195</v>
      </c>
      <c r="F1251" s="8">
        <v>0.15790000000000001</v>
      </c>
      <c r="H1251" s="8">
        <v>0.31580000000000003</v>
      </c>
      <c r="I1251" s="8">
        <v>0.15790000000000001</v>
      </c>
      <c r="J1251" s="8">
        <v>0.15790000000000001</v>
      </c>
      <c r="K1251" s="8">
        <v>5.2600000000000001E-2</v>
      </c>
      <c r="L1251" s="8">
        <v>5.2600000000000001E-2</v>
      </c>
      <c r="N1251" s="8">
        <v>0.1053</v>
      </c>
      <c r="O1251" s="8">
        <v>0.15790000000000001</v>
      </c>
    </row>
    <row r="1253" spans="1:16" ht="57.6" x14ac:dyDescent="0.3">
      <c r="A1253" s="28" t="s">
        <v>367</v>
      </c>
    </row>
    <row r="1254" spans="1:16" x14ac:dyDescent="0.3">
      <c r="A1254" s="22" t="s">
        <v>66</v>
      </c>
      <c r="B1254" t="s">
        <v>62</v>
      </c>
      <c r="C1254" t="s">
        <v>57</v>
      </c>
      <c r="D1254" t="s">
        <v>63</v>
      </c>
      <c r="E1254" t="s">
        <v>154</v>
      </c>
      <c r="F1254" t="s">
        <v>345</v>
      </c>
      <c r="G1254" t="s">
        <v>346</v>
      </c>
      <c r="H1254" t="s">
        <v>347</v>
      </c>
      <c r="I1254" t="s">
        <v>136</v>
      </c>
      <c r="J1254" t="s">
        <v>348</v>
      </c>
      <c r="K1254" t="s">
        <v>349</v>
      </c>
      <c r="L1254" t="s">
        <v>350</v>
      </c>
      <c r="M1254" t="s">
        <v>351</v>
      </c>
      <c r="N1254" t="s">
        <v>352</v>
      </c>
      <c r="O1254" t="s">
        <v>353</v>
      </c>
      <c r="P1254" t="s">
        <v>354</v>
      </c>
    </row>
    <row r="1255" spans="1:16" x14ac:dyDescent="0.3">
      <c r="A1255" s="22" t="s">
        <v>81</v>
      </c>
      <c r="B1255">
        <v>55</v>
      </c>
      <c r="C1255" t="s">
        <v>64</v>
      </c>
      <c r="D1255">
        <v>195</v>
      </c>
      <c r="E1255" s="8">
        <v>1.8200000000000001E-2</v>
      </c>
      <c r="F1255" s="8">
        <v>1.8200000000000001E-2</v>
      </c>
      <c r="G1255" s="8">
        <v>1.8200000000000001E-2</v>
      </c>
      <c r="H1255" s="8">
        <v>0.45450000000000002</v>
      </c>
      <c r="I1255" s="8">
        <v>0.1273</v>
      </c>
      <c r="J1255" s="8">
        <v>0.1273</v>
      </c>
      <c r="L1255" s="8">
        <v>0.1091</v>
      </c>
      <c r="M1255" s="8">
        <v>1.8200000000000001E-2</v>
      </c>
      <c r="N1255" s="8">
        <v>1.8200000000000001E-2</v>
      </c>
      <c r="O1255" s="8">
        <v>0.21820000000000001</v>
      </c>
      <c r="P1255" s="8">
        <v>1.8200000000000001E-2</v>
      </c>
    </row>
    <row r="1256" spans="1:16" x14ac:dyDescent="0.3">
      <c r="A1256" s="22" t="s">
        <v>82</v>
      </c>
      <c r="B1256">
        <v>47</v>
      </c>
      <c r="C1256" t="s">
        <v>64</v>
      </c>
      <c r="D1256">
        <v>195</v>
      </c>
      <c r="E1256" s="8">
        <v>2.1299999999999999E-2</v>
      </c>
      <c r="F1256" s="8">
        <v>2.1299999999999999E-2</v>
      </c>
      <c r="H1256" s="8">
        <v>0.46810000000000002</v>
      </c>
      <c r="I1256" s="8">
        <v>0.1489</v>
      </c>
      <c r="J1256" s="8">
        <v>0.10639999999999999</v>
      </c>
      <c r="L1256" s="8">
        <v>8.5099999999999995E-2</v>
      </c>
      <c r="N1256" s="8">
        <v>2.1299999999999999E-2</v>
      </c>
      <c r="O1256" s="8">
        <v>0.23400000000000001</v>
      </c>
    </row>
    <row r="1257" spans="1:16" x14ac:dyDescent="0.3">
      <c r="A1257" s="22" t="s">
        <v>83</v>
      </c>
      <c r="B1257">
        <v>48</v>
      </c>
      <c r="C1257" t="s">
        <v>64</v>
      </c>
      <c r="D1257">
        <v>195</v>
      </c>
      <c r="F1257" s="8">
        <v>0.1042</v>
      </c>
      <c r="G1257" s="8">
        <v>8.3299999999999999E-2</v>
      </c>
      <c r="H1257" s="8">
        <v>0.33329999999999999</v>
      </c>
      <c r="I1257" s="8">
        <v>0.1875</v>
      </c>
      <c r="J1257" s="8">
        <v>0.20830000000000001</v>
      </c>
      <c r="K1257" s="8">
        <v>6.25E-2</v>
      </c>
      <c r="L1257" s="8">
        <v>0.1875</v>
      </c>
      <c r="M1257" s="8">
        <v>4.1700000000000001E-2</v>
      </c>
      <c r="N1257" s="8">
        <v>4.1700000000000001E-2</v>
      </c>
      <c r="O1257" s="8">
        <v>0.20830000000000001</v>
      </c>
      <c r="P1257" s="8">
        <v>4.1700000000000001E-2</v>
      </c>
    </row>
    <row r="1258" spans="1:16" x14ac:dyDescent="0.3">
      <c r="A1258" s="22" t="s">
        <v>84</v>
      </c>
      <c r="B1258">
        <v>45</v>
      </c>
      <c r="C1258" t="s">
        <v>64</v>
      </c>
      <c r="D1258">
        <v>195</v>
      </c>
      <c r="F1258" s="8">
        <v>0.1111</v>
      </c>
      <c r="G1258" s="8">
        <v>8.8900000000000007E-2</v>
      </c>
      <c r="H1258" s="8">
        <v>0.26669999999999999</v>
      </c>
      <c r="I1258" s="8">
        <v>0.15559999999999999</v>
      </c>
      <c r="J1258" s="8">
        <v>0.26669999999999999</v>
      </c>
      <c r="K1258" s="8">
        <v>2.2200000000000001E-2</v>
      </c>
      <c r="L1258" s="8">
        <v>0.2</v>
      </c>
      <c r="M1258" s="8">
        <v>4.4400000000000002E-2</v>
      </c>
      <c r="N1258" s="8">
        <v>2.2200000000000001E-2</v>
      </c>
      <c r="O1258" s="8">
        <v>0.17780000000000001</v>
      </c>
      <c r="P1258" s="8">
        <v>2.2200000000000001E-2</v>
      </c>
    </row>
    <row r="1260" spans="1:16" ht="43.2" x14ac:dyDescent="0.3">
      <c r="A1260" s="28" t="s">
        <v>368</v>
      </c>
    </row>
    <row r="1261" spans="1:16" x14ac:dyDescent="0.3">
      <c r="A1261" s="22" t="s">
        <v>62</v>
      </c>
      <c r="B1261" t="s">
        <v>57</v>
      </c>
      <c r="C1261" t="s">
        <v>63</v>
      </c>
      <c r="D1261" t="s">
        <v>345</v>
      </c>
      <c r="E1261" t="s">
        <v>346</v>
      </c>
      <c r="F1261" t="s">
        <v>347</v>
      </c>
      <c r="G1261" t="s">
        <v>136</v>
      </c>
      <c r="H1261" t="s">
        <v>348</v>
      </c>
      <c r="I1261" t="s">
        <v>349</v>
      </c>
      <c r="J1261" t="s">
        <v>350</v>
      </c>
      <c r="K1261" t="s">
        <v>369</v>
      </c>
      <c r="L1261" t="s">
        <v>352</v>
      </c>
      <c r="M1261" t="s">
        <v>353</v>
      </c>
      <c r="N1261" t="s">
        <v>354</v>
      </c>
    </row>
    <row r="1262" spans="1:16" x14ac:dyDescent="0.3">
      <c r="A1262" s="22">
        <v>130</v>
      </c>
      <c r="B1262" t="s">
        <v>64</v>
      </c>
      <c r="C1262">
        <v>130</v>
      </c>
      <c r="D1262" s="8">
        <v>5.3800000000000001E-2</v>
      </c>
      <c r="E1262" s="8">
        <v>3.0800000000000001E-2</v>
      </c>
      <c r="F1262" s="8">
        <v>0.23849999999999999</v>
      </c>
      <c r="G1262" s="8">
        <v>0.1462</v>
      </c>
      <c r="H1262" s="8">
        <v>0.2077</v>
      </c>
      <c r="I1262" s="8">
        <v>0.1</v>
      </c>
      <c r="J1262" s="8">
        <v>0.40770000000000001</v>
      </c>
      <c r="K1262" s="8">
        <v>7.7000000000000002E-3</v>
      </c>
      <c r="L1262" s="8">
        <v>3.0800000000000001E-2</v>
      </c>
      <c r="M1262" s="8">
        <v>0.3538</v>
      </c>
      <c r="N1262" s="8">
        <v>2.3099999999999999E-2</v>
      </c>
    </row>
    <row r="1264" spans="1:16" ht="72" x14ac:dyDescent="0.3">
      <c r="A1264" s="22" t="s">
        <v>370</v>
      </c>
    </row>
    <row r="1265" spans="1:15" x14ac:dyDescent="0.3">
      <c r="A1265" s="22" t="s">
        <v>66</v>
      </c>
      <c r="B1265" t="s">
        <v>62</v>
      </c>
      <c r="C1265" t="s">
        <v>57</v>
      </c>
      <c r="D1265" t="s">
        <v>63</v>
      </c>
      <c r="E1265" t="s">
        <v>345</v>
      </c>
      <c r="F1265" t="s">
        <v>346</v>
      </c>
      <c r="G1265" t="s">
        <v>347</v>
      </c>
      <c r="H1265" t="s">
        <v>136</v>
      </c>
      <c r="I1265" t="s">
        <v>348</v>
      </c>
      <c r="J1265" t="s">
        <v>349</v>
      </c>
      <c r="K1265" t="s">
        <v>350</v>
      </c>
      <c r="L1265" t="s">
        <v>369</v>
      </c>
      <c r="M1265" t="s">
        <v>352</v>
      </c>
      <c r="N1265" t="s">
        <v>353</v>
      </c>
      <c r="O1265" t="s">
        <v>354</v>
      </c>
    </row>
    <row r="1266" spans="1:15" x14ac:dyDescent="0.3">
      <c r="A1266" s="22" t="s">
        <v>67</v>
      </c>
      <c r="B1266">
        <v>123</v>
      </c>
      <c r="C1266" t="s">
        <v>64</v>
      </c>
      <c r="D1266">
        <v>130</v>
      </c>
      <c r="E1266" s="8">
        <v>5.6899999999999999E-2</v>
      </c>
      <c r="F1266" s="8">
        <v>3.2500000000000001E-2</v>
      </c>
      <c r="G1266" s="8">
        <v>0.2276</v>
      </c>
      <c r="H1266" s="8">
        <v>0.1545</v>
      </c>
      <c r="I1266" s="8">
        <v>0.1951</v>
      </c>
      <c r="J1266" s="8">
        <v>8.9399999999999993E-2</v>
      </c>
      <c r="K1266" s="8">
        <v>0.41460000000000002</v>
      </c>
      <c r="L1266" s="8">
        <v>8.0999999999999996E-3</v>
      </c>
      <c r="M1266" s="8">
        <v>3.2500000000000001E-2</v>
      </c>
      <c r="N1266" s="8">
        <v>0.3659</v>
      </c>
      <c r="O1266" s="8">
        <v>2.4400000000000002E-2</v>
      </c>
    </row>
    <row r="1267" spans="1:15" x14ac:dyDescent="0.3">
      <c r="A1267" s="22" t="s">
        <v>68</v>
      </c>
      <c r="B1267">
        <v>7</v>
      </c>
      <c r="C1267" t="s">
        <v>64</v>
      </c>
      <c r="D1267">
        <v>130</v>
      </c>
      <c r="G1267" s="8">
        <v>0.42859999999999998</v>
      </c>
      <c r="I1267" s="8">
        <v>0.42859999999999998</v>
      </c>
      <c r="J1267" s="8">
        <v>0.28570000000000001</v>
      </c>
      <c r="K1267" s="8">
        <v>0.28570000000000001</v>
      </c>
      <c r="N1267" s="8">
        <v>0.1429</v>
      </c>
    </row>
    <row r="1269" spans="1:15" x14ac:dyDescent="0.3">
      <c r="A1269"/>
    </row>
    <row r="1270" spans="1:15" x14ac:dyDescent="0.3">
      <c r="A1270"/>
    </row>
    <row r="1271" spans="1:15" x14ac:dyDescent="0.3">
      <c r="A1271"/>
    </row>
    <row r="1272" spans="1:15" x14ac:dyDescent="0.3">
      <c r="A1272"/>
    </row>
    <row r="1273" spans="1:15" ht="57.6" x14ac:dyDescent="0.3">
      <c r="A1273" s="22" t="s">
        <v>371</v>
      </c>
    </row>
    <row r="1274" spans="1:15" x14ac:dyDescent="0.3">
      <c r="A1274" s="22" t="s">
        <v>66</v>
      </c>
      <c r="B1274" t="s">
        <v>62</v>
      </c>
      <c r="C1274" t="s">
        <v>57</v>
      </c>
      <c r="D1274" t="s">
        <v>63</v>
      </c>
      <c r="E1274" t="s">
        <v>345</v>
      </c>
      <c r="F1274" t="s">
        <v>346</v>
      </c>
      <c r="G1274" t="s">
        <v>347</v>
      </c>
      <c r="H1274" t="s">
        <v>136</v>
      </c>
      <c r="I1274" t="s">
        <v>348</v>
      </c>
      <c r="J1274" t="s">
        <v>349</v>
      </c>
      <c r="K1274" t="s">
        <v>350</v>
      </c>
      <c r="L1274" t="s">
        <v>369</v>
      </c>
      <c r="M1274" t="s">
        <v>352</v>
      </c>
      <c r="N1274" t="s">
        <v>353</v>
      </c>
      <c r="O1274" t="s">
        <v>354</v>
      </c>
    </row>
    <row r="1275" spans="1:15" x14ac:dyDescent="0.3">
      <c r="A1275" s="22" t="s">
        <v>67</v>
      </c>
      <c r="B1275">
        <v>124</v>
      </c>
      <c r="C1275" t="s">
        <v>64</v>
      </c>
      <c r="D1275">
        <v>130</v>
      </c>
      <c r="E1275" s="8">
        <v>5.6500000000000002E-2</v>
      </c>
      <c r="F1275" s="8">
        <v>3.2300000000000002E-2</v>
      </c>
      <c r="G1275" s="8">
        <v>0.2339</v>
      </c>
      <c r="H1275" s="8">
        <v>0.1452</v>
      </c>
      <c r="I1275" s="8">
        <v>0.2177</v>
      </c>
      <c r="J1275" s="8">
        <v>0.1048</v>
      </c>
      <c r="K1275" s="8">
        <v>0.4032</v>
      </c>
      <c r="L1275" s="8">
        <v>8.0999999999999996E-3</v>
      </c>
      <c r="M1275" s="8">
        <v>3.2300000000000002E-2</v>
      </c>
      <c r="N1275" s="8">
        <v>0.3548</v>
      </c>
      <c r="O1275" s="8">
        <v>2.4199999999999999E-2</v>
      </c>
    </row>
    <row r="1276" spans="1:15" x14ac:dyDescent="0.3">
      <c r="A1276" s="22" t="s">
        <v>68</v>
      </c>
      <c r="B1276">
        <v>6</v>
      </c>
      <c r="C1276" t="s">
        <v>64</v>
      </c>
      <c r="D1276">
        <v>130</v>
      </c>
      <c r="G1276" s="8">
        <v>0.33329999999999999</v>
      </c>
      <c r="H1276" s="8">
        <v>0.16669999999999999</v>
      </c>
      <c r="K1276" s="8">
        <v>0.5</v>
      </c>
      <c r="N1276" s="8">
        <v>0.33329999999999999</v>
      </c>
    </row>
    <row r="1278" spans="1:15" ht="57.6" x14ac:dyDescent="0.3">
      <c r="A1278" s="22" t="s">
        <v>372</v>
      </c>
    </row>
    <row r="1279" spans="1:15" x14ac:dyDescent="0.3">
      <c r="A1279" s="22" t="s">
        <v>66</v>
      </c>
      <c r="B1279" t="s">
        <v>62</v>
      </c>
      <c r="C1279" t="s">
        <v>57</v>
      </c>
      <c r="D1279" t="s">
        <v>63</v>
      </c>
      <c r="E1279" t="s">
        <v>345</v>
      </c>
      <c r="F1279" t="s">
        <v>346</v>
      </c>
      <c r="G1279" t="s">
        <v>347</v>
      </c>
      <c r="H1279" t="s">
        <v>136</v>
      </c>
      <c r="I1279" t="s">
        <v>348</v>
      </c>
      <c r="J1279" t="s">
        <v>349</v>
      </c>
      <c r="K1279" t="s">
        <v>350</v>
      </c>
      <c r="L1279" t="s">
        <v>369</v>
      </c>
      <c r="M1279" t="s">
        <v>352</v>
      </c>
      <c r="N1279" t="s">
        <v>353</v>
      </c>
      <c r="O1279" t="s">
        <v>354</v>
      </c>
    </row>
    <row r="1280" spans="1:15" x14ac:dyDescent="0.3">
      <c r="A1280" s="22" t="s">
        <v>67</v>
      </c>
      <c r="B1280">
        <v>129</v>
      </c>
      <c r="C1280" t="s">
        <v>64</v>
      </c>
      <c r="D1280">
        <v>130</v>
      </c>
      <c r="E1280" s="8">
        <v>5.4300000000000001E-2</v>
      </c>
      <c r="F1280" s="8">
        <v>3.1E-2</v>
      </c>
      <c r="G1280" s="8">
        <v>0.24030000000000001</v>
      </c>
      <c r="H1280" s="8">
        <v>0.14729999999999999</v>
      </c>
      <c r="I1280" s="8">
        <v>0.2016</v>
      </c>
      <c r="J1280" s="8">
        <v>0.1008</v>
      </c>
      <c r="K1280" s="8">
        <v>0.41089999999999999</v>
      </c>
      <c r="L1280" s="8">
        <v>7.7999999999999996E-3</v>
      </c>
      <c r="M1280" s="8">
        <v>3.1E-2</v>
      </c>
      <c r="N1280" s="8">
        <v>0.35659999999999997</v>
      </c>
      <c r="O1280" s="8">
        <v>2.3300000000000001E-2</v>
      </c>
    </row>
    <row r="1281" spans="1:15" x14ac:dyDescent="0.3">
      <c r="A1281" s="22" t="s">
        <v>68</v>
      </c>
      <c r="B1281">
        <v>1</v>
      </c>
      <c r="C1281" t="s">
        <v>64</v>
      </c>
      <c r="D1281">
        <v>130</v>
      </c>
      <c r="I1281" s="8">
        <v>1</v>
      </c>
    </row>
    <row r="1283" spans="1:15" ht="72" x14ac:dyDescent="0.3">
      <c r="A1283" s="22" t="s">
        <v>373</v>
      </c>
    </row>
    <row r="1284" spans="1:15" x14ac:dyDescent="0.3">
      <c r="A1284" s="22" t="s">
        <v>66</v>
      </c>
      <c r="B1284" t="s">
        <v>62</v>
      </c>
      <c r="C1284" t="s">
        <v>57</v>
      </c>
      <c r="D1284" t="s">
        <v>63</v>
      </c>
      <c r="E1284" t="s">
        <v>345</v>
      </c>
      <c r="F1284" t="s">
        <v>346</v>
      </c>
      <c r="G1284" t="s">
        <v>347</v>
      </c>
      <c r="H1284" t="s">
        <v>136</v>
      </c>
      <c r="I1284" t="s">
        <v>348</v>
      </c>
      <c r="J1284" t="s">
        <v>349</v>
      </c>
      <c r="K1284" t="s">
        <v>350</v>
      </c>
      <c r="L1284" t="s">
        <v>369</v>
      </c>
      <c r="M1284" t="s">
        <v>352</v>
      </c>
      <c r="N1284" t="s">
        <v>353</v>
      </c>
      <c r="O1284" t="s">
        <v>354</v>
      </c>
    </row>
    <row r="1285" spans="1:15" x14ac:dyDescent="0.3">
      <c r="A1285" s="22" t="s">
        <v>67</v>
      </c>
      <c r="B1285">
        <v>120</v>
      </c>
      <c r="C1285" t="s">
        <v>64</v>
      </c>
      <c r="D1285">
        <v>130</v>
      </c>
      <c r="E1285" s="8">
        <v>5.8299999999999998E-2</v>
      </c>
      <c r="F1285" s="8">
        <v>3.3300000000000003E-2</v>
      </c>
      <c r="G1285" s="8">
        <v>0.2167</v>
      </c>
      <c r="H1285" s="8">
        <v>0.1583</v>
      </c>
      <c r="I1285" s="8">
        <v>0.2167</v>
      </c>
      <c r="J1285" s="8">
        <v>0.10829999999999999</v>
      </c>
      <c r="K1285" s="8">
        <v>0.4</v>
      </c>
      <c r="L1285" s="8">
        <v>8.3000000000000001E-3</v>
      </c>
      <c r="M1285" s="8">
        <v>3.3300000000000003E-2</v>
      </c>
      <c r="N1285" s="8">
        <v>0.36670000000000003</v>
      </c>
      <c r="O1285" s="8">
        <v>2.5000000000000001E-2</v>
      </c>
    </row>
    <row r="1286" spans="1:15" x14ac:dyDescent="0.3">
      <c r="A1286" s="22" t="s">
        <v>68</v>
      </c>
      <c r="B1286">
        <v>10</v>
      </c>
      <c r="C1286" t="s">
        <v>64</v>
      </c>
      <c r="D1286">
        <v>130</v>
      </c>
      <c r="G1286" s="8">
        <v>0.5</v>
      </c>
      <c r="I1286" s="8">
        <v>0.1</v>
      </c>
      <c r="K1286" s="8">
        <v>0.5</v>
      </c>
      <c r="N1286" s="8">
        <v>0.2</v>
      </c>
    </row>
    <row r="1288" spans="1:15" ht="72" x14ac:dyDescent="0.3">
      <c r="A1288" s="22" t="s">
        <v>374</v>
      </c>
    </row>
    <row r="1289" spans="1:15" x14ac:dyDescent="0.3">
      <c r="A1289" s="22" t="s">
        <v>66</v>
      </c>
      <c r="B1289" t="s">
        <v>62</v>
      </c>
      <c r="C1289" t="s">
        <v>57</v>
      </c>
      <c r="D1289" t="s">
        <v>63</v>
      </c>
      <c r="E1289" t="s">
        <v>345</v>
      </c>
      <c r="F1289" t="s">
        <v>346</v>
      </c>
      <c r="G1289" t="s">
        <v>347</v>
      </c>
      <c r="H1289" t="s">
        <v>136</v>
      </c>
      <c r="I1289" t="s">
        <v>348</v>
      </c>
      <c r="J1289" t="s">
        <v>349</v>
      </c>
      <c r="K1289" t="s">
        <v>350</v>
      </c>
      <c r="L1289" t="s">
        <v>369</v>
      </c>
      <c r="M1289" t="s">
        <v>352</v>
      </c>
      <c r="N1289" t="s">
        <v>353</v>
      </c>
      <c r="O1289" t="s">
        <v>354</v>
      </c>
    </row>
    <row r="1290" spans="1:15" x14ac:dyDescent="0.3">
      <c r="A1290" s="22" t="s">
        <v>67</v>
      </c>
      <c r="B1290">
        <v>5</v>
      </c>
      <c r="C1290" t="s">
        <v>64</v>
      </c>
      <c r="D1290">
        <v>130</v>
      </c>
      <c r="G1290" s="8">
        <v>0.4</v>
      </c>
      <c r="H1290" s="8">
        <v>0.2</v>
      </c>
      <c r="I1290" s="8">
        <v>0.2</v>
      </c>
      <c r="N1290" s="8">
        <v>0.2</v>
      </c>
    </row>
    <row r="1291" spans="1:15" x14ac:dyDescent="0.3">
      <c r="A1291" s="22" t="s">
        <v>68</v>
      </c>
      <c r="B1291">
        <v>125</v>
      </c>
      <c r="C1291" t="s">
        <v>64</v>
      </c>
      <c r="D1291">
        <v>130</v>
      </c>
      <c r="E1291" s="8">
        <v>5.6000000000000001E-2</v>
      </c>
      <c r="F1291" s="8">
        <v>3.2000000000000001E-2</v>
      </c>
      <c r="G1291" s="8">
        <v>0.23200000000000001</v>
      </c>
      <c r="H1291" s="8">
        <v>0.14399999999999999</v>
      </c>
      <c r="I1291" s="8">
        <v>0.20799999999999999</v>
      </c>
      <c r="J1291" s="8">
        <v>0.104</v>
      </c>
      <c r="K1291" s="8">
        <v>0.42399999999999999</v>
      </c>
      <c r="L1291" s="8">
        <v>8.0000000000000002E-3</v>
      </c>
      <c r="M1291" s="8">
        <v>3.2000000000000001E-2</v>
      </c>
      <c r="N1291" s="8">
        <v>0.36</v>
      </c>
      <c r="O1291" s="8">
        <v>2.4E-2</v>
      </c>
    </row>
    <row r="1293" spans="1:15" ht="57.6" x14ac:dyDescent="0.3">
      <c r="A1293" s="22" t="s">
        <v>375</v>
      </c>
    </row>
    <row r="1294" spans="1:15" x14ac:dyDescent="0.3">
      <c r="A1294" s="22" t="s">
        <v>66</v>
      </c>
      <c r="B1294" t="s">
        <v>62</v>
      </c>
      <c r="C1294" t="s">
        <v>57</v>
      </c>
      <c r="D1294" t="s">
        <v>63</v>
      </c>
      <c r="E1294" t="s">
        <v>345</v>
      </c>
      <c r="F1294" t="s">
        <v>346</v>
      </c>
      <c r="G1294" t="s">
        <v>347</v>
      </c>
      <c r="H1294" t="s">
        <v>136</v>
      </c>
      <c r="I1294" t="s">
        <v>348</v>
      </c>
      <c r="J1294" t="s">
        <v>349</v>
      </c>
      <c r="K1294" t="s">
        <v>350</v>
      </c>
      <c r="L1294" t="s">
        <v>369</v>
      </c>
      <c r="M1294" t="s">
        <v>352</v>
      </c>
      <c r="N1294" t="s">
        <v>353</v>
      </c>
      <c r="O1294" t="s">
        <v>354</v>
      </c>
    </row>
    <row r="1295" spans="1:15" x14ac:dyDescent="0.3">
      <c r="A1295" s="22" t="s">
        <v>67</v>
      </c>
      <c r="B1295">
        <v>106</v>
      </c>
      <c r="C1295" t="s">
        <v>64</v>
      </c>
      <c r="D1295">
        <v>130</v>
      </c>
      <c r="E1295" s="8">
        <v>5.6599999999999998E-2</v>
      </c>
      <c r="F1295" s="8">
        <v>3.7699999999999997E-2</v>
      </c>
      <c r="G1295" s="8">
        <v>0.23580000000000001</v>
      </c>
      <c r="H1295" s="8">
        <v>0.1321</v>
      </c>
      <c r="I1295" s="8">
        <v>0.23580000000000001</v>
      </c>
      <c r="J1295" s="8">
        <v>0.1226</v>
      </c>
      <c r="K1295" s="8">
        <v>0.41510000000000002</v>
      </c>
      <c r="M1295" s="8">
        <v>2.8299999999999999E-2</v>
      </c>
      <c r="N1295" s="8">
        <v>0.32079999999999997</v>
      </c>
      <c r="O1295" s="8">
        <v>2.8299999999999999E-2</v>
      </c>
    </row>
    <row r="1296" spans="1:15" x14ac:dyDescent="0.3">
      <c r="A1296" s="22" t="s">
        <v>68</v>
      </c>
      <c r="B1296">
        <v>24</v>
      </c>
      <c r="C1296" t="s">
        <v>64</v>
      </c>
      <c r="D1296">
        <v>130</v>
      </c>
      <c r="E1296" s="8">
        <v>4.1700000000000001E-2</v>
      </c>
      <c r="G1296" s="8">
        <v>0.25</v>
      </c>
      <c r="H1296" s="8">
        <v>0.20830000000000001</v>
      </c>
      <c r="I1296" s="8">
        <v>8.3299999999999999E-2</v>
      </c>
      <c r="K1296" s="8">
        <v>0.375</v>
      </c>
      <c r="L1296" s="8">
        <v>4.1700000000000001E-2</v>
      </c>
      <c r="M1296" s="8">
        <v>4.1700000000000001E-2</v>
      </c>
      <c r="N1296" s="8">
        <v>0.5</v>
      </c>
    </row>
    <row r="1298" spans="1:15" ht="57.6" x14ac:dyDescent="0.3">
      <c r="A1298" s="22" t="s">
        <v>376</v>
      </c>
    </row>
    <row r="1299" spans="1:15" x14ac:dyDescent="0.3">
      <c r="A1299" s="22" t="s">
        <v>66</v>
      </c>
      <c r="B1299" t="s">
        <v>62</v>
      </c>
      <c r="C1299" t="s">
        <v>57</v>
      </c>
      <c r="D1299" t="s">
        <v>63</v>
      </c>
      <c r="E1299" t="s">
        <v>345</v>
      </c>
      <c r="F1299" t="s">
        <v>346</v>
      </c>
      <c r="G1299" t="s">
        <v>347</v>
      </c>
      <c r="H1299" t="s">
        <v>136</v>
      </c>
      <c r="I1299" t="s">
        <v>348</v>
      </c>
      <c r="J1299" t="s">
        <v>349</v>
      </c>
      <c r="K1299" t="s">
        <v>350</v>
      </c>
      <c r="L1299" t="s">
        <v>369</v>
      </c>
      <c r="M1299" t="s">
        <v>352</v>
      </c>
      <c r="N1299" t="s">
        <v>353</v>
      </c>
      <c r="O1299" t="s">
        <v>354</v>
      </c>
    </row>
    <row r="1300" spans="1:15" x14ac:dyDescent="0.3">
      <c r="A1300" s="22" t="s">
        <v>67</v>
      </c>
      <c r="B1300">
        <v>101</v>
      </c>
      <c r="C1300" t="s">
        <v>64</v>
      </c>
      <c r="D1300">
        <v>130</v>
      </c>
      <c r="E1300" s="8">
        <v>5.9400000000000001E-2</v>
      </c>
      <c r="F1300" s="8">
        <v>3.9600000000000003E-2</v>
      </c>
      <c r="G1300" s="8">
        <v>0.2475</v>
      </c>
      <c r="H1300" s="8">
        <v>0.14849999999999999</v>
      </c>
      <c r="I1300" s="8">
        <v>0.19800000000000001</v>
      </c>
      <c r="J1300" s="8">
        <v>8.9099999999999999E-2</v>
      </c>
      <c r="K1300" s="8">
        <v>0.45540000000000003</v>
      </c>
      <c r="L1300" s="8">
        <v>9.9000000000000008E-3</v>
      </c>
      <c r="M1300" s="8">
        <v>3.9600000000000003E-2</v>
      </c>
      <c r="N1300" s="8">
        <v>0.31680000000000003</v>
      </c>
      <c r="O1300" s="8">
        <v>2.9700000000000001E-2</v>
      </c>
    </row>
    <row r="1301" spans="1:15" x14ac:dyDescent="0.3">
      <c r="A1301" s="22" t="s">
        <v>68</v>
      </c>
      <c r="B1301">
        <v>29</v>
      </c>
      <c r="C1301" t="s">
        <v>64</v>
      </c>
      <c r="D1301">
        <v>130</v>
      </c>
      <c r="E1301" s="8">
        <v>3.4500000000000003E-2</v>
      </c>
      <c r="G1301" s="8">
        <v>0.2069</v>
      </c>
      <c r="H1301" s="8">
        <v>0.13789999999999999</v>
      </c>
      <c r="I1301" s="8">
        <v>0.2414</v>
      </c>
      <c r="J1301" s="8">
        <v>0.13789999999999999</v>
      </c>
      <c r="K1301" s="8">
        <v>0.2414</v>
      </c>
      <c r="N1301" s="8">
        <v>0.48280000000000001</v>
      </c>
    </row>
    <row r="1303" spans="1:15" ht="72" x14ac:dyDescent="0.3">
      <c r="A1303" s="22" t="s">
        <v>377</v>
      </c>
    </row>
    <row r="1304" spans="1:15" x14ac:dyDescent="0.3">
      <c r="A1304" s="22" t="s">
        <v>66</v>
      </c>
      <c r="B1304" t="s">
        <v>62</v>
      </c>
      <c r="C1304" t="s">
        <v>57</v>
      </c>
      <c r="D1304" t="s">
        <v>63</v>
      </c>
      <c r="E1304" t="s">
        <v>345</v>
      </c>
      <c r="F1304" t="s">
        <v>346</v>
      </c>
      <c r="G1304" t="s">
        <v>347</v>
      </c>
      <c r="H1304" t="s">
        <v>136</v>
      </c>
      <c r="I1304" t="s">
        <v>348</v>
      </c>
      <c r="J1304" t="s">
        <v>349</v>
      </c>
      <c r="K1304" t="s">
        <v>350</v>
      </c>
      <c r="L1304" t="s">
        <v>369</v>
      </c>
      <c r="M1304" t="s">
        <v>352</v>
      </c>
      <c r="N1304" t="s">
        <v>353</v>
      </c>
      <c r="O1304" t="s">
        <v>354</v>
      </c>
    </row>
    <row r="1305" spans="1:15" x14ac:dyDescent="0.3">
      <c r="A1305" s="22" t="s">
        <v>67</v>
      </c>
      <c r="B1305">
        <v>98</v>
      </c>
      <c r="C1305" t="s">
        <v>64</v>
      </c>
      <c r="D1305">
        <v>130</v>
      </c>
      <c r="E1305" s="8">
        <v>4.0800000000000003E-2</v>
      </c>
      <c r="F1305" s="8">
        <v>1.0200000000000001E-2</v>
      </c>
      <c r="G1305" s="8">
        <v>0.25509999999999999</v>
      </c>
      <c r="H1305" s="8">
        <v>0.15310000000000001</v>
      </c>
      <c r="I1305" s="8">
        <v>0.22450000000000001</v>
      </c>
      <c r="J1305" s="8">
        <v>9.1800000000000007E-2</v>
      </c>
      <c r="K1305" s="8">
        <v>0.40820000000000001</v>
      </c>
      <c r="L1305" s="8">
        <v>1.0200000000000001E-2</v>
      </c>
      <c r="M1305" s="8">
        <v>2.0400000000000001E-2</v>
      </c>
      <c r="N1305" s="8">
        <v>0.35709999999999997</v>
      </c>
      <c r="O1305" s="8">
        <v>3.0599999999999999E-2</v>
      </c>
    </row>
    <row r="1306" spans="1:15" x14ac:dyDescent="0.3">
      <c r="A1306" s="22" t="s">
        <v>68</v>
      </c>
      <c r="B1306">
        <v>32</v>
      </c>
      <c r="C1306" t="s">
        <v>64</v>
      </c>
      <c r="D1306">
        <v>130</v>
      </c>
      <c r="E1306" s="8">
        <v>9.3799999999999994E-2</v>
      </c>
      <c r="F1306" s="8">
        <v>9.3799999999999994E-2</v>
      </c>
      <c r="G1306" s="8">
        <v>0.1875</v>
      </c>
      <c r="H1306" s="8">
        <v>0.125</v>
      </c>
      <c r="I1306" s="8">
        <v>0.15620000000000001</v>
      </c>
      <c r="J1306" s="8">
        <v>0.125</v>
      </c>
      <c r="K1306" s="8">
        <v>0.40620000000000001</v>
      </c>
      <c r="M1306" s="8">
        <v>6.25E-2</v>
      </c>
      <c r="N1306" s="8">
        <v>0.34379999999999999</v>
      </c>
    </row>
    <row r="1308" spans="1:15" ht="72" x14ac:dyDescent="0.3">
      <c r="A1308" s="22" t="s">
        <v>378</v>
      </c>
    </row>
    <row r="1309" spans="1:15" x14ac:dyDescent="0.3">
      <c r="A1309" s="22" t="s">
        <v>66</v>
      </c>
      <c r="B1309" t="s">
        <v>62</v>
      </c>
      <c r="C1309" t="s">
        <v>57</v>
      </c>
      <c r="D1309" t="s">
        <v>63</v>
      </c>
      <c r="E1309" t="s">
        <v>345</v>
      </c>
      <c r="F1309" t="s">
        <v>346</v>
      </c>
      <c r="G1309" t="s">
        <v>347</v>
      </c>
      <c r="H1309" t="s">
        <v>136</v>
      </c>
      <c r="I1309" t="s">
        <v>348</v>
      </c>
      <c r="J1309" t="s">
        <v>349</v>
      </c>
      <c r="K1309" t="s">
        <v>350</v>
      </c>
      <c r="L1309" t="s">
        <v>369</v>
      </c>
      <c r="M1309" t="s">
        <v>352</v>
      </c>
      <c r="N1309" t="s">
        <v>353</v>
      </c>
      <c r="O1309" t="s">
        <v>354</v>
      </c>
    </row>
    <row r="1310" spans="1:15" x14ac:dyDescent="0.3">
      <c r="A1310" s="22" t="s">
        <v>67</v>
      </c>
      <c r="B1310">
        <v>118</v>
      </c>
      <c r="C1310" t="s">
        <v>64</v>
      </c>
      <c r="D1310">
        <v>130</v>
      </c>
      <c r="E1310" s="8">
        <v>5.0799999999999998E-2</v>
      </c>
      <c r="F1310" s="8">
        <v>1.6899999999999998E-2</v>
      </c>
      <c r="G1310" s="8">
        <v>0.24579999999999999</v>
      </c>
      <c r="H1310" s="8">
        <v>0.161</v>
      </c>
      <c r="I1310" s="8">
        <v>0.17799999999999999</v>
      </c>
      <c r="J1310" s="8">
        <v>9.3200000000000005E-2</v>
      </c>
      <c r="K1310" s="8">
        <v>0.38140000000000002</v>
      </c>
      <c r="L1310" s="8">
        <v>8.5000000000000006E-3</v>
      </c>
      <c r="M1310" s="8">
        <v>3.39E-2</v>
      </c>
      <c r="N1310" s="8">
        <v>0.3644</v>
      </c>
      <c r="O1310" s="8">
        <v>8.5000000000000006E-3</v>
      </c>
    </row>
    <row r="1311" spans="1:15" x14ac:dyDescent="0.3">
      <c r="A1311" s="22" t="s">
        <v>68</v>
      </c>
      <c r="B1311">
        <v>12</v>
      </c>
      <c r="C1311" t="s">
        <v>64</v>
      </c>
      <c r="D1311">
        <v>130</v>
      </c>
      <c r="E1311" s="8">
        <v>8.3299999999999999E-2</v>
      </c>
      <c r="F1311" s="8">
        <v>0.16669999999999999</v>
      </c>
      <c r="G1311" s="8">
        <v>0.16669999999999999</v>
      </c>
      <c r="I1311" s="8">
        <v>0.5</v>
      </c>
      <c r="J1311" s="8">
        <v>0.16669999999999999</v>
      </c>
      <c r="K1311" s="8">
        <v>0.66669999999999996</v>
      </c>
      <c r="N1311" s="8">
        <v>0.25</v>
      </c>
      <c r="O1311" s="8">
        <v>0.16669999999999999</v>
      </c>
    </row>
    <row r="1313" spans="1:15" ht="72" x14ac:dyDescent="0.3">
      <c r="A1313" s="22" t="s">
        <v>379</v>
      </c>
    </row>
    <row r="1314" spans="1:15" x14ac:dyDescent="0.3">
      <c r="A1314" s="22" t="s">
        <v>66</v>
      </c>
      <c r="B1314" t="s">
        <v>62</v>
      </c>
      <c r="C1314" t="s">
        <v>57</v>
      </c>
      <c r="D1314" t="s">
        <v>63</v>
      </c>
      <c r="E1314" t="s">
        <v>345</v>
      </c>
      <c r="F1314" t="s">
        <v>346</v>
      </c>
      <c r="G1314" t="s">
        <v>347</v>
      </c>
      <c r="H1314" t="s">
        <v>136</v>
      </c>
      <c r="I1314" t="s">
        <v>348</v>
      </c>
      <c r="J1314" t="s">
        <v>349</v>
      </c>
      <c r="K1314" t="s">
        <v>350</v>
      </c>
      <c r="L1314" t="s">
        <v>369</v>
      </c>
      <c r="M1314" t="s">
        <v>352</v>
      </c>
      <c r="N1314" t="s">
        <v>353</v>
      </c>
      <c r="O1314" t="s">
        <v>354</v>
      </c>
    </row>
    <row r="1315" spans="1:15" x14ac:dyDescent="0.3">
      <c r="A1315" s="22" t="s">
        <v>67</v>
      </c>
      <c r="B1315">
        <v>130</v>
      </c>
      <c r="C1315" t="s">
        <v>64</v>
      </c>
      <c r="D1315">
        <v>130</v>
      </c>
      <c r="E1315" s="8">
        <v>5.3800000000000001E-2</v>
      </c>
      <c r="F1315" s="8">
        <v>3.0800000000000001E-2</v>
      </c>
      <c r="G1315" s="8">
        <v>0.23849999999999999</v>
      </c>
      <c r="H1315" s="8">
        <v>0.1462</v>
      </c>
      <c r="I1315" s="8">
        <v>0.2077</v>
      </c>
      <c r="J1315" s="8">
        <v>0.1</v>
      </c>
      <c r="K1315" s="8">
        <v>0.40770000000000001</v>
      </c>
      <c r="L1315" s="8">
        <v>7.7000000000000002E-3</v>
      </c>
      <c r="M1315" s="8">
        <v>3.0800000000000001E-2</v>
      </c>
      <c r="N1315" s="8">
        <v>0.3538</v>
      </c>
      <c r="O1315" s="8">
        <v>2.3099999999999999E-2</v>
      </c>
    </row>
    <row r="1317" spans="1:15" ht="57.6" x14ac:dyDescent="0.3">
      <c r="A1317" s="22" t="s">
        <v>380</v>
      </c>
    </row>
    <row r="1318" spans="1:15" x14ac:dyDescent="0.3">
      <c r="A1318" s="22" t="s">
        <v>66</v>
      </c>
      <c r="B1318" t="s">
        <v>62</v>
      </c>
      <c r="C1318" t="s">
        <v>57</v>
      </c>
      <c r="D1318" t="s">
        <v>63</v>
      </c>
      <c r="E1318" t="s">
        <v>345</v>
      </c>
      <c r="F1318" t="s">
        <v>346</v>
      </c>
      <c r="G1318" t="s">
        <v>347</v>
      </c>
      <c r="H1318" t="s">
        <v>136</v>
      </c>
      <c r="I1318" t="s">
        <v>348</v>
      </c>
      <c r="J1318" t="s">
        <v>349</v>
      </c>
      <c r="K1318" t="s">
        <v>350</v>
      </c>
      <c r="L1318" t="s">
        <v>369</v>
      </c>
      <c r="M1318" t="s">
        <v>352</v>
      </c>
      <c r="N1318" t="s">
        <v>353</v>
      </c>
      <c r="O1318" t="s">
        <v>354</v>
      </c>
    </row>
    <row r="1319" spans="1:15" x14ac:dyDescent="0.3">
      <c r="A1319" s="22" t="s">
        <v>67</v>
      </c>
      <c r="B1319">
        <v>77</v>
      </c>
      <c r="C1319" t="s">
        <v>64</v>
      </c>
      <c r="D1319">
        <v>130</v>
      </c>
      <c r="E1319" s="8">
        <v>3.9E-2</v>
      </c>
      <c r="F1319" s="8">
        <v>2.5999999999999999E-2</v>
      </c>
      <c r="G1319" s="8">
        <v>0.20780000000000001</v>
      </c>
      <c r="H1319" s="8">
        <v>0.12989999999999999</v>
      </c>
      <c r="I1319" s="8">
        <v>0.18179999999999999</v>
      </c>
      <c r="J1319" s="8">
        <v>5.1900000000000002E-2</v>
      </c>
      <c r="K1319" s="8">
        <v>0.40260000000000001</v>
      </c>
      <c r="L1319" s="8">
        <v>1.2999999999999999E-2</v>
      </c>
      <c r="M1319" s="8">
        <v>5.1900000000000002E-2</v>
      </c>
      <c r="N1319" s="8">
        <v>0.3896</v>
      </c>
      <c r="O1319" s="8">
        <v>1.2999999999999999E-2</v>
      </c>
    </row>
    <row r="1320" spans="1:15" x14ac:dyDescent="0.3">
      <c r="A1320" s="22" t="s">
        <v>68</v>
      </c>
      <c r="B1320">
        <v>53</v>
      </c>
      <c r="C1320" t="s">
        <v>64</v>
      </c>
      <c r="D1320">
        <v>130</v>
      </c>
      <c r="E1320" s="8">
        <v>7.5499999999999998E-2</v>
      </c>
      <c r="F1320" s="8">
        <v>3.7699999999999997E-2</v>
      </c>
      <c r="G1320" s="8">
        <v>0.28299999999999997</v>
      </c>
      <c r="H1320" s="8">
        <v>0.16980000000000001</v>
      </c>
      <c r="I1320" s="8">
        <v>0.24529999999999999</v>
      </c>
      <c r="J1320" s="8">
        <v>0.16980000000000001</v>
      </c>
      <c r="K1320" s="8">
        <v>0.41510000000000002</v>
      </c>
      <c r="N1320" s="8">
        <v>0.3019</v>
      </c>
      <c r="O1320" s="8">
        <v>3.7699999999999997E-2</v>
      </c>
    </row>
    <row r="1322" spans="1:15" ht="72" x14ac:dyDescent="0.3">
      <c r="A1322" s="22" t="s">
        <v>381</v>
      </c>
    </row>
    <row r="1323" spans="1:15" x14ac:dyDescent="0.3">
      <c r="A1323" s="22" t="s">
        <v>66</v>
      </c>
      <c r="B1323" t="s">
        <v>62</v>
      </c>
      <c r="C1323" t="s">
        <v>57</v>
      </c>
      <c r="D1323" t="s">
        <v>63</v>
      </c>
      <c r="E1323" t="s">
        <v>345</v>
      </c>
      <c r="F1323" t="s">
        <v>346</v>
      </c>
      <c r="G1323" t="s">
        <v>347</v>
      </c>
      <c r="H1323" t="s">
        <v>136</v>
      </c>
      <c r="I1323" t="s">
        <v>348</v>
      </c>
      <c r="J1323" t="s">
        <v>349</v>
      </c>
      <c r="K1323" t="s">
        <v>350</v>
      </c>
      <c r="L1323" t="s">
        <v>369</v>
      </c>
      <c r="M1323" t="s">
        <v>352</v>
      </c>
      <c r="N1323" t="s">
        <v>353</v>
      </c>
      <c r="O1323" t="s">
        <v>354</v>
      </c>
    </row>
    <row r="1324" spans="1:15" x14ac:dyDescent="0.3">
      <c r="A1324" s="22" t="s">
        <v>67</v>
      </c>
      <c r="B1324">
        <v>114</v>
      </c>
      <c r="C1324" t="s">
        <v>64</v>
      </c>
      <c r="D1324">
        <v>130</v>
      </c>
      <c r="E1324" s="8">
        <v>6.1400000000000003E-2</v>
      </c>
      <c r="F1324" s="8">
        <v>1.7500000000000002E-2</v>
      </c>
      <c r="G1324" s="8">
        <v>0.23680000000000001</v>
      </c>
      <c r="H1324" s="8">
        <v>0.14910000000000001</v>
      </c>
      <c r="I1324" s="8">
        <v>0.21049999999999999</v>
      </c>
      <c r="J1324" s="8">
        <v>0.114</v>
      </c>
      <c r="K1324" s="8">
        <v>0.4123</v>
      </c>
      <c r="L1324" s="8">
        <v>8.8000000000000005E-3</v>
      </c>
      <c r="M1324" s="8">
        <v>1.7500000000000002E-2</v>
      </c>
      <c r="N1324" s="8">
        <v>0.35959999999999998</v>
      </c>
      <c r="O1324" s="8">
        <v>1.7500000000000002E-2</v>
      </c>
    </row>
    <row r="1325" spans="1:15" x14ac:dyDescent="0.3">
      <c r="A1325" s="22" t="s">
        <v>68</v>
      </c>
      <c r="B1325">
        <v>16</v>
      </c>
      <c r="C1325" t="s">
        <v>64</v>
      </c>
      <c r="D1325">
        <v>130</v>
      </c>
      <c r="F1325" s="8">
        <v>0.125</v>
      </c>
      <c r="G1325" s="8">
        <v>0.25</v>
      </c>
      <c r="H1325" s="8">
        <v>0.125</v>
      </c>
      <c r="I1325" s="8">
        <v>0.1875</v>
      </c>
      <c r="K1325" s="8">
        <v>0.375</v>
      </c>
      <c r="M1325" s="8">
        <v>0.125</v>
      </c>
      <c r="N1325" s="8">
        <v>0.3125</v>
      </c>
      <c r="O1325" s="8">
        <v>6.25E-2</v>
      </c>
    </row>
    <row r="1327" spans="1:15" ht="57.6" x14ac:dyDescent="0.3">
      <c r="A1327" s="27" t="s">
        <v>382</v>
      </c>
    </row>
    <row r="1328" spans="1:15" x14ac:dyDescent="0.3">
      <c r="A1328" s="22" t="s">
        <v>66</v>
      </c>
      <c r="B1328" t="s">
        <v>62</v>
      </c>
      <c r="C1328" t="s">
        <v>57</v>
      </c>
      <c r="D1328" t="s">
        <v>63</v>
      </c>
      <c r="E1328" t="s">
        <v>345</v>
      </c>
      <c r="F1328" t="s">
        <v>346</v>
      </c>
      <c r="G1328" t="s">
        <v>347</v>
      </c>
      <c r="H1328" t="s">
        <v>136</v>
      </c>
      <c r="I1328" t="s">
        <v>348</v>
      </c>
      <c r="J1328" t="s">
        <v>349</v>
      </c>
      <c r="K1328" t="s">
        <v>350</v>
      </c>
      <c r="L1328" t="s">
        <v>369</v>
      </c>
      <c r="M1328" t="s">
        <v>352</v>
      </c>
      <c r="N1328" t="s">
        <v>353</v>
      </c>
      <c r="O1328" t="s">
        <v>354</v>
      </c>
    </row>
    <row r="1329" spans="1:17" x14ac:dyDescent="0.3">
      <c r="A1329" s="22" t="s">
        <v>81</v>
      </c>
      <c r="B1329">
        <v>32</v>
      </c>
      <c r="C1329" t="s">
        <v>64</v>
      </c>
      <c r="D1329">
        <v>130</v>
      </c>
      <c r="E1329" s="8">
        <v>3.1199999999999999E-2</v>
      </c>
      <c r="G1329" s="8">
        <v>0.21879999999999999</v>
      </c>
      <c r="H1329" s="8">
        <v>0.125</v>
      </c>
      <c r="I1329" s="8">
        <v>0.1875</v>
      </c>
      <c r="J1329" s="8">
        <v>9.3799999999999994E-2</v>
      </c>
      <c r="K1329" s="8">
        <v>0.3125</v>
      </c>
      <c r="M1329" s="8">
        <v>3.1199999999999999E-2</v>
      </c>
      <c r="N1329" s="8">
        <v>0.40620000000000001</v>
      </c>
    </row>
    <row r="1330" spans="1:17" x14ac:dyDescent="0.3">
      <c r="A1330" s="22" t="s">
        <v>82</v>
      </c>
      <c r="B1330">
        <v>34</v>
      </c>
      <c r="C1330" t="s">
        <v>64</v>
      </c>
      <c r="D1330">
        <v>130</v>
      </c>
      <c r="E1330" s="8">
        <v>2.9399999999999999E-2</v>
      </c>
      <c r="G1330" s="8">
        <v>0.17649999999999999</v>
      </c>
      <c r="H1330" s="8">
        <v>0.26469999999999999</v>
      </c>
      <c r="I1330" s="8">
        <v>0.14710000000000001</v>
      </c>
      <c r="J1330" s="8">
        <v>5.8799999999999998E-2</v>
      </c>
      <c r="K1330" s="8">
        <v>0.35289999999999999</v>
      </c>
      <c r="L1330" s="8">
        <v>2.9399999999999999E-2</v>
      </c>
      <c r="M1330" s="8">
        <v>5.8799999999999998E-2</v>
      </c>
      <c r="N1330" s="8">
        <v>0.35289999999999999</v>
      </c>
    </row>
    <row r="1331" spans="1:17" x14ac:dyDescent="0.3">
      <c r="A1331" s="22" t="s">
        <v>83</v>
      </c>
      <c r="B1331">
        <v>33</v>
      </c>
      <c r="C1331" t="s">
        <v>64</v>
      </c>
      <c r="D1331">
        <v>130</v>
      </c>
      <c r="E1331" s="8">
        <v>6.0600000000000001E-2</v>
      </c>
      <c r="F1331" s="8">
        <v>3.0300000000000001E-2</v>
      </c>
      <c r="G1331" s="8">
        <v>0.30299999999999999</v>
      </c>
      <c r="H1331" s="8">
        <v>9.0899999999999995E-2</v>
      </c>
      <c r="I1331" s="8">
        <v>0.21210000000000001</v>
      </c>
      <c r="J1331" s="8">
        <v>0.1515</v>
      </c>
      <c r="K1331" s="8">
        <v>0.42420000000000002</v>
      </c>
      <c r="N1331" s="8">
        <v>0.39389999999999997</v>
      </c>
      <c r="O1331" s="8">
        <v>6.0600000000000001E-2</v>
      </c>
    </row>
    <row r="1332" spans="1:17" x14ac:dyDescent="0.3">
      <c r="A1332" s="22" t="s">
        <v>84</v>
      </c>
      <c r="B1332">
        <v>31</v>
      </c>
      <c r="C1332" t="s">
        <v>64</v>
      </c>
      <c r="D1332">
        <v>130</v>
      </c>
      <c r="E1332" s="8">
        <v>9.6799999999999997E-2</v>
      </c>
      <c r="F1332" s="8">
        <v>9.6799999999999997E-2</v>
      </c>
      <c r="G1332" s="8">
        <v>0.2581</v>
      </c>
      <c r="H1332" s="8">
        <v>9.6799999999999997E-2</v>
      </c>
      <c r="I1332" s="8">
        <v>0.2903</v>
      </c>
      <c r="J1332" s="8">
        <v>9.6799999999999997E-2</v>
      </c>
      <c r="K1332" s="8">
        <v>0.5484</v>
      </c>
      <c r="M1332" s="8">
        <v>3.2300000000000002E-2</v>
      </c>
      <c r="N1332" s="8">
        <v>0.2581</v>
      </c>
      <c r="O1332" s="8">
        <v>3.2300000000000002E-2</v>
      </c>
    </row>
    <row r="1334" spans="1:17" ht="43.2" x14ac:dyDescent="0.3">
      <c r="A1334" s="27" t="s">
        <v>383</v>
      </c>
    </row>
    <row r="1335" spans="1:17" x14ac:dyDescent="0.3">
      <c r="A1335" s="22" t="s">
        <v>62</v>
      </c>
      <c r="B1335" t="s">
        <v>57</v>
      </c>
      <c r="C1335" t="s">
        <v>63</v>
      </c>
      <c r="D1335" t="s">
        <v>154</v>
      </c>
      <c r="E1335" t="s">
        <v>384</v>
      </c>
      <c r="F1335" t="s">
        <v>385</v>
      </c>
      <c r="G1335" t="s">
        <v>386</v>
      </c>
      <c r="H1335" t="s">
        <v>387</v>
      </c>
      <c r="I1335" t="s">
        <v>388</v>
      </c>
      <c r="J1335" t="s">
        <v>389</v>
      </c>
      <c r="K1335" t="s">
        <v>390</v>
      </c>
      <c r="L1335" t="s">
        <v>391</v>
      </c>
      <c r="M1335" t="s">
        <v>392</v>
      </c>
      <c r="N1335" t="s">
        <v>393</v>
      </c>
      <c r="O1335" t="s">
        <v>394</v>
      </c>
      <c r="P1335" t="s">
        <v>395</v>
      </c>
    </row>
    <row r="1336" spans="1:17" x14ac:dyDescent="0.3">
      <c r="A1336" s="22">
        <v>130</v>
      </c>
      <c r="B1336" t="s">
        <v>64</v>
      </c>
      <c r="C1336">
        <v>130</v>
      </c>
      <c r="D1336" s="8">
        <v>2.3099999999999999E-2</v>
      </c>
      <c r="E1336" s="8">
        <v>0.1615</v>
      </c>
      <c r="F1336" s="8">
        <v>0.42309999999999998</v>
      </c>
      <c r="G1336" s="8">
        <v>0.62309999999999999</v>
      </c>
      <c r="H1336" s="8">
        <v>0.65380000000000005</v>
      </c>
      <c r="I1336" s="8">
        <v>0.56920000000000004</v>
      </c>
      <c r="J1336" s="8">
        <v>0.34620000000000001</v>
      </c>
      <c r="K1336" s="8">
        <v>0.36149999999999999</v>
      </c>
      <c r="L1336" s="8">
        <v>0.48459999999999998</v>
      </c>
      <c r="M1336" s="8">
        <v>0.3</v>
      </c>
      <c r="N1336" s="8">
        <v>0.39229999999999998</v>
      </c>
      <c r="O1336" s="8">
        <v>3.0800000000000001E-2</v>
      </c>
      <c r="P1336" s="8">
        <v>0.1</v>
      </c>
    </row>
    <row r="1338" spans="1:17" ht="57.6" x14ac:dyDescent="0.3">
      <c r="A1338" s="22" t="s">
        <v>396</v>
      </c>
    </row>
    <row r="1339" spans="1:17" x14ac:dyDescent="0.3">
      <c r="A1339" s="22" t="s">
        <v>66</v>
      </c>
      <c r="B1339" t="s">
        <v>62</v>
      </c>
      <c r="C1339" t="s">
        <v>57</v>
      </c>
      <c r="D1339" t="s">
        <v>63</v>
      </c>
      <c r="E1339" t="s">
        <v>154</v>
      </c>
      <c r="F1339" t="s">
        <v>384</v>
      </c>
      <c r="G1339" t="s">
        <v>385</v>
      </c>
      <c r="H1339" t="s">
        <v>386</v>
      </c>
      <c r="I1339" t="s">
        <v>387</v>
      </c>
      <c r="J1339" t="s">
        <v>388</v>
      </c>
      <c r="K1339" t="s">
        <v>389</v>
      </c>
      <c r="L1339" t="s">
        <v>390</v>
      </c>
      <c r="M1339" t="s">
        <v>391</v>
      </c>
      <c r="N1339" t="s">
        <v>392</v>
      </c>
      <c r="O1339" t="s">
        <v>393</v>
      </c>
      <c r="P1339" t="s">
        <v>394</v>
      </c>
      <c r="Q1339" t="s">
        <v>395</v>
      </c>
    </row>
    <row r="1340" spans="1:17" x14ac:dyDescent="0.3">
      <c r="A1340" s="22" t="s">
        <v>67</v>
      </c>
      <c r="B1340">
        <v>123</v>
      </c>
      <c r="C1340" t="s">
        <v>64</v>
      </c>
      <c r="D1340">
        <v>130</v>
      </c>
      <c r="E1340" s="8">
        <v>2.4400000000000002E-2</v>
      </c>
      <c r="F1340" s="8">
        <v>0.17069999999999999</v>
      </c>
      <c r="G1340" s="8">
        <v>0.42280000000000001</v>
      </c>
      <c r="H1340" s="8">
        <v>0.60980000000000001</v>
      </c>
      <c r="I1340" s="8">
        <v>0.65849999999999997</v>
      </c>
      <c r="J1340" s="8">
        <v>0.56100000000000005</v>
      </c>
      <c r="K1340" s="8">
        <v>0.33329999999999999</v>
      </c>
      <c r="L1340" s="8">
        <v>0.3659</v>
      </c>
      <c r="M1340" s="8">
        <v>0.48780000000000001</v>
      </c>
      <c r="N1340" s="8">
        <v>0.29270000000000002</v>
      </c>
      <c r="O1340" s="8">
        <v>0.39019999999999999</v>
      </c>
      <c r="P1340" s="8">
        <v>3.2500000000000001E-2</v>
      </c>
      <c r="Q1340" s="8">
        <v>0.1057</v>
      </c>
    </row>
    <row r="1341" spans="1:17" x14ac:dyDescent="0.3">
      <c r="A1341" s="22" t="s">
        <v>68</v>
      </c>
      <c r="B1341">
        <v>7</v>
      </c>
      <c r="C1341" t="s">
        <v>64</v>
      </c>
      <c r="D1341">
        <v>130</v>
      </c>
      <c r="G1341" s="8">
        <v>0.42859999999999998</v>
      </c>
      <c r="H1341" s="8">
        <v>0.85709999999999997</v>
      </c>
      <c r="I1341" s="8">
        <v>0.57140000000000002</v>
      </c>
      <c r="J1341" s="8">
        <v>0.71430000000000005</v>
      </c>
      <c r="K1341" s="8">
        <v>0.57140000000000002</v>
      </c>
      <c r="L1341" s="8">
        <v>0.28570000000000001</v>
      </c>
      <c r="M1341" s="8">
        <v>0.42859999999999998</v>
      </c>
      <c r="N1341" s="8">
        <v>0.42859999999999998</v>
      </c>
      <c r="O1341" s="8">
        <v>0.42859999999999998</v>
      </c>
    </row>
    <row r="1343" spans="1:17" x14ac:dyDescent="0.3">
      <c r="A1343"/>
    </row>
    <row r="1344" spans="1:17" x14ac:dyDescent="0.3">
      <c r="A1344"/>
    </row>
    <row r="1345" spans="1:17" x14ac:dyDescent="0.3">
      <c r="A1345"/>
    </row>
    <row r="1347" spans="1:17" ht="57.6" x14ac:dyDescent="0.3">
      <c r="A1347" s="22" t="s">
        <v>397</v>
      </c>
    </row>
    <row r="1348" spans="1:17" x14ac:dyDescent="0.3">
      <c r="A1348" s="22" t="s">
        <v>66</v>
      </c>
      <c r="B1348" t="s">
        <v>62</v>
      </c>
      <c r="C1348" t="s">
        <v>57</v>
      </c>
      <c r="D1348" t="s">
        <v>63</v>
      </c>
      <c r="E1348" t="s">
        <v>154</v>
      </c>
      <c r="F1348" t="s">
        <v>384</v>
      </c>
      <c r="G1348" t="s">
        <v>385</v>
      </c>
      <c r="H1348" t="s">
        <v>386</v>
      </c>
      <c r="I1348" t="s">
        <v>387</v>
      </c>
      <c r="J1348" t="s">
        <v>388</v>
      </c>
      <c r="K1348" t="s">
        <v>389</v>
      </c>
      <c r="L1348" t="s">
        <v>390</v>
      </c>
      <c r="M1348" t="s">
        <v>391</v>
      </c>
      <c r="N1348" t="s">
        <v>392</v>
      </c>
      <c r="O1348" t="s">
        <v>393</v>
      </c>
      <c r="P1348" t="s">
        <v>394</v>
      </c>
      <c r="Q1348" t="s">
        <v>395</v>
      </c>
    </row>
    <row r="1349" spans="1:17" x14ac:dyDescent="0.3">
      <c r="A1349" s="22" t="s">
        <v>67</v>
      </c>
      <c r="B1349">
        <v>124</v>
      </c>
      <c r="C1349" t="s">
        <v>64</v>
      </c>
      <c r="D1349">
        <v>130</v>
      </c>
      <c r="E1349" s="8">
        <v>2.4199999999999999E-2</v>
      </c>
      <c r="F1349" s="8">
        <v>0.1532</v>
      </c>
      <c r="G1349" s="8">
        <v>0.4274</v>
      </c>
      <c r="H1349" s="8">
        <v>0.629</v>
      </c>
      <c r="I1349" s="8">
        <v>0.6694</v>
      </c>
      <c r="J1349" s="8">
        <v>0.5806</v>
      </c>
      <c r="K1349" s="8">
        <v>0.3468</v>
      </c>
      <c r="L1349" s="8">
        <v>0.3629</v>
      </c>
      <c r="M1349" s="8">
        <v>0.4919</v>
      </c>
      <c r="N1349" s="8">
        <v>0.30649999999999999</v>
      </c>
      <c r="O1349" s="8">
        <v>0.3871</v>
      </c>
      <c r="P1349" s="8">
        <v>1.61E-2</v>
      </c>
      <c r="Q1349" s="8">
        <v>0.1048</v>
      </c>
    </row>
    <row r="1350" spans="1:17" x14ac:dyDescent="0.3">
      <c r="A1350" s="22" t="s">
        <v>68</v>
      </c>
      <c r="B1350">
        <v>6</v>
      </c>
      <c r="C1350" t="s">
        <v>64</v>
      </c>
      <c r="D1350">
        <v>130</v>
      </c>
      <c r="F1350" s="8">
        <v>0.33329999999999999</v>
      </c>
      <c r="G1350" s="8">
        <v>0.33329999999999999</v>
      </c>
      <c r="H1350" s="8">
        <v>0.5</v>
      </c>
      <c r="I1350" s="8">
        <v>0.33329999999999999</v>
      </c>
      <c r="J1350" s="8">
        <v>0.33329999999999999</v>
      </c>
      <c r="K1350" s="8">
        <v>0.33329999999999999</v>
      </c>
      <c r="L1350" s="8">
        <v>0.33329999999999999</v>
      </c>
      <c r="M1350" s="8">
        <v>0.33329999999999999</v>
      </c>
      <c r="N1350" s="8">
        <v>0.16669999999999999</v>
      </c>
      <c r="O1350" s="8">
        <v>0.5</v>
      </c>
      <c r="P1350" s="8">
        <v>0.33329999999999999</v>
      </c>
    </row>
    <row r="1352" spans="1:17" ht="57.6" x14ac:dyDescent="0.3">
      <c r="A1352" s="22" t="s">
        <v>398</v>
      </c>
    </row>
    <row r="1353" spans="1:17" x14ac:dyDescent="0.3">
      <c r="A1353" s="22" t="s">
        <v>66</v>
      </c>
      <c r="B1353" t="s">
        <v>62</v>
      </c>
      <c r="C1353" t="s">
        <v>57</v>
      </c>
      <c r="D1353" t="s">
        <v>63</v>
      </c>
      <c r="E1353" t="s">
        <v>154</v>
      </c>
      <c r="F1353" t="s">
        <v>384</v>
      </c>
      <c r="G1353" t="s">
        <v>385</v>
      </c>
      <c r="H1353" t="s">
        <v>386</v>
      </c>
      <c r="I1353" t="s">
        <v>387</v>
      </c>
      <c r="J1353" t="s">
        <v>388</v>
      </c>
      <c r="K1353" t="s">
        <v>389</v>
      </c>
      <c r="L1353" t="s">
        <v>390</v>
      </c>
      <c r="M1353" t="s">
        <v>391</v>
      </c>
      <c r="N1353" t="s">
        <v>392</v>
      </c>
      <c r="O1353" t="s">
        <v>393</v>
      </c>
      <c r="P1353" t="s">
        <v>394</v>
      </c>
      <c r="Q1353" t="s">
        <v>395</v>
      </c>
    </row>
    <row r="1354" spans="1:17" x14ac:dyDescent="0.3">
      <c r="A1354" s="22" t="s">
        <v>67</v>
      </c>
      <c r="B1354">
        <v>129</v>
      </c>
      <c r="C1354" t="s">
        <v>64</v>
      </c>
      <c r="D1354">
        <v>130</v>
      </c>
      <c r="E1354" s="8">
        <v>2.3300000000000001E-2</v>
      </c>
      <c r="F1354" s="8">
        <v>0.1628</v>
      </c>
      <c r="G1354" s="8">
        <v>0.4264</v>
      </c>
      <c r="H1354" s="8">
        <v>0.62019999999999997</v>
      </c>
      <c r="I1354" s="8">
        <v>0.6512</v>
      </c>
      <c r="J1354" s="8">
        <v>0.5736</v>
      </c>
      <c r="K1354" s="8">
        <v>0.3488</v>
      </c>
      <c r="L1354" s="8">
        <v>0.36430000000000001</v>
      </c>
      <c r="M1354" s="8">
        <v>0.4884</v>
      </c>
      <c r="N1354" s="8">
        <v>0.30230000000000001</v>
      </c>
      <c r="O1354" s="8">
        <v>0.39529999999999998</v>
      </c>
      <c r="P1354" s="8">
        <v>3.1E-2</v>
      </c>
      <c r="Q1354" s="8">
        <v>0.1008</v>
      </c>
    </row>
    <row r="1355" spans="1:17" x14ac:dyDescent="0.3">
      <c r="A1355" s="22" t="s">
        <v>68</v>
      </c>
      <c r="B1355">
        <v>1</v>
      </c>
      <c r="C1355" t="s">
        <v>64</v>
      </c>
      <c r="D1355">
        <v>130</v>
      </c>
      <c r="H1355" s="8">
        <v>1</v>
      </c>
      <c r="I1355" s="8">
        <v>1</v>
      </c>
    </row>
    <row r="1357" spans="1:17" ht="57.6" x14ac:dyDescent="0.3">
      <c r="A1357" s="22" t="s">
        <v>399</v>
      </c>
    </row>
    <row r="1358" spans="1:17" x14ac:dyDescent="0.3">
      <c r="A1358" s="22" t="s">
        <v>66</v>
      </c>
      <c r="B1358" t="s">
        <v>62</v>
      </c>
      <c r="C1358" t="s">
        <v>57</v>
      </c>
      <c r="D1358" t="s">
        <v>63</v>
      </c>
      <c r="E1358" t="s">
        <v>154</v>
      </c>
      <c r="F1358" t="s">
        <v>384</v>
      </c>
      <c r="G1358" t="s">
        <v>385</v>
      </c>
      <c r="H1358" t="s">
        <v>386</v>
      </c>
      <c r="I1358" t="s">
        <v>387</v>
      </c>
      <c r="J1358" t="s">
        <v>388</v>
      </c>
      <c r="K1358" t="s">
        <v>389</v>
      </c>
      <c r="L1358" t="s">
        <v>390</v>
      </c>
      <c r="M1358" t="s">
        <v>391</v>
      </c>
      <c r="N1358" t="s">
        <v>392</v>
      </c>
      <c r="O1358" t="s">
        <v>393</v>
      </c>
      <c r="P1358" t="s">
        <v>394</v>
      </c>
      <c r="Q1358" t="s">
        <v>395</v>
      </c>
    </row>
    <row r="1359" spans="1:17" x14ac:dyDescent="0.3">
      <c r="A1359" s="22" t="s">
        <v>67</v>
      </c>
      <c r="B1359">
        <v>120</v>
      </c>
      <c r="C1359" t="s">
        <v>64</v>
      </c>
      <c r="D1359">
        <v>130</v>
      </c>
      <c r="E1359" s="8">
        <v>2.5000000000000001E-2</v>
      </c>
      <c r="F1359" s="8">
        <v>0.17499999999999999</v>
      </c>
      <c r="G1359" s="8">
        <v>0.41670000000000001</v>
      </c>
      <c r="H1359" s="8">
        <v>0.5917</v>
      </c>
      <c r="I1359" s="8">
        <v>0.63329999999999997</v>
      </c>
      <c r="J1359" s="8">
        <v>0.56669999999999998</v>
      </c>
      <c r="K1359" s="8">
        <v>0.33329999999999999</v>
      </c>
      <c r="L1359" s="8">
        <v>0.35</v>
      </c>
      <c r="M1359" s="8">
        <v>0.48330000000000001</v>
      </c>
      <c r="N1359" s="8">
        <v>0.27500000000000002</v>
      </c>
      <c r="O1359" s="8">
        <v>0.38329999999999997</v>
      </c>
      <c r="P1359" s="8">
        <v>3.3300000000000003E-2</v>
      </c>
      <c r="Q1359" s="8">
        <v>0.10829999999999999</v>
      </c>
    </row>
    <row r="1360" spans="1:17" x14ac:dyDescent="0.3">
      <c r="A1360" s="22" t="s">
        <v>68</v>
      </c>
      <c r="B1360">
        <v>10</v>
      </c>
      <c r="C1360" t="s">
        <v>64</v>
      </c>
      <c r="D1360">
        <v>130</v>
      </c>
      <c r="G1360" s="8">
        <v>0.5</v>
      </c>
      <c r="H1360" s="8">
        <v>1</v>
      </c>
      <c r="I1360" s="8">
        <v>0.9</v>
      </c>
      <c r="J1360" s="8">
        <v>0.6</v>
      </c>
      <c r="K1360" s="8">
        <v>0.5</v>
      </c>
      <c r="L1360" s="8">
        <v>0.5</v>
      </c>
      <c r="M1360" s="8">
        <v>0.5</v>
      </c>
      <c r="N1360" s="8">
        <v>0.6</v>
      </c>
      <c r="O1360" s="8">
        <v>0.5</v>
      </c>
    </row>
    <row r="1362" spans="1:17" ht="57.6" x14ac:dyDescent="0.3">
      <c r="A1362" s="22" t="s">
        <v>400</v>
      </c>
    </row>
    <row r="1363" spans="1:17" x14ac:dyDescent="0.3">
      <c r="A1363" s="22" t="s">
        <v>66</v>
      </c>
      <c r="B1363" t="s">
        <v>62</v>
      </c>
      <c r="C1363" t="s">
        <v>57</v>
      </c>
      <c r="D1363" t="s">
        <v>63</v>
      </c>
      <c r="E1363" t="s">
        <v>154</v>
      </c>
      <c r="F1363" t="s">
        <v>384</v>
      </c>
      <c r="G1363" t="s">
        <v>385</v>
      </c>
      <c r="H1363" t="s">
        <v>386</v>
      </c>
      <c r="I1363" t="s">
        <v>387</v>
      </c>
      <c r="J1363" t="s">
        <v>388</v>
      </c>
      <c r="K1363" t="s">
        <v>389</v>
      </c>
      <c r="L1363" t="s">
        <v>390</v>
      </c>
      <c r="M1363" t="s">
        <v>391</v>
      </c>
      <c r="N1363" t="s">
        <v>392</v>
      </c>
      <c r="O1363" t="s">
        <v>393</v>
      </c>
      <c r="P1363" t="s">
        <v>394</v>
      </c>
      <c r="Q1363" t="s">
        <v>395</v>
      </c>
    </row>
    <row r="1364" spans="1:17" x14ac:dyDescent="0.3">
      <c r="A1364" s="22" t="s">
        <v>67</v>
      </c>
      <c r="B1364">
        <v>5</v>
      </c>
      <c r="C1364" t="s">
        <v>64</v>
      </c>
      <c r="D1364">
        <v>130</v>
      </c>
      <c r="G1364" s="8">
        <v>0.2</v>
      </c>
      <c r="H1364" s="8">
        <v>0.6</v>
      </c>
      <c r="I1364" s="8">
        <v>0.6</v>
      </c>
      <c r="J1364" s="8">
        <v>0.4</v>
      </c>
      <c r="L1364" s="8">
        <v>0.2</v>
      </c>
      <c r="M1364" s="8">
        <v>0.4</v>
      </c>
      <c r="N1364" s="8">
        <v>0.2</v>
      </c>
      <c r="O1364" s="8">
        <v>0.2</v>
      </c>
    </row>
    <row r="1365" spans="1:17" x14ac:dyDescent="0.3">
      <c r="A1365" s="22" t="s">
        <v>68</v>
      </c>
      <c r="B1365">
        <v>125</v>
      </c>
      <c r="C1365" t="s">
        <v>64</v>
      </c>
      <c r="D1365">
        <v>130</v>
      </c>
      <c r="E1365" s="8">
        <v>2.4E-2</v>
      </c>
      <c r="F1365" s="8">
        <v>0.16800000000000001</v>
      </c>
      <c r="G1365" s="8">
        <v>0.432</v>
      </c>
      <c r="H1365" s="8">
        <v>0.624</v>
      </c>
      <c r="I1365" s="8">
        <v>0.65600000000000003</v>
      </c>
      <c r="J1365" s="8">
        <v>0.57599999999999996</v>
      </c>
      <c r="K1365" s="8">
        <v>0.36</v>
      </c>
      <c r="L1365" s="8">
        <v>0.36799999999999999</v>
      </c>
      <c r="M1365" s="8">
        <v>0.48799999999999999</v>
      </c>
      <c r="N1365" s="8">
        <v>0.30399999999999999</v>
      </c>
      <c r="O1365" s="8">
        <v>0.4</v>
      </c>
      <c r="P1365" s="8">
        <v>3.2000000000000001E-2</v>
      </c>
      <c r="Q1365" s="8">
        <v>0.104</v>
      </c>
    </row>
    <row r="1367" spans="1:17" ht="57.6" x14ac:dyDescent="0.3">
      <c r="A1367" s="22" t="s">
        <v>401</v>
      </c>
    </row>
    <row r="1368" spans="1:17" x14ac:dyDescent="0.3">
      <c r="A1368" s="22" t="s">
        <v>66</v>
      </c>
      <c r="B1368" t="s">
        <v>62</v>
      </c>
      <c r="C1368" t="s">
        <v>57</v>
      </c>
      <c r="D1368" t="s">
        <v>63</v>
      </c>
      <c r="E1368" t="s">
        <v>154</v>
      </c>
      <c r="F1368" t="s">
        <v>384</v>
      </c>
      <c r="G1368" t="s">
        <v>385</v>
      </c>
      <c r="H1368" t="s">
        <v>386</v>
      </c>
      <c r="I1368" t="s">
        <v>387</v>
      </c>
      <c r="J1368" t="s">
        <v>388</v>
      </c>
      <c r="K1368" t="s">
        <v>389</v>
      </c>
      <c r="L1368" t="s">
        <v>390</v>
      </c>
      <c r="M1368" t="s">
        <v>391</v>
      </c>
      <c r="N1368" t="s">
        <v>392</v>
      </c>
      <c r="O1368" t="s">
        <v>393</v>
      </c>
      <c r="P1368" t="s">
        <v>394</v>
      </c>
      <c r="Q1368" t="s">
        <v>395</v>
      </c>
    </row>
    <row r="1369" spans="1:17" x14ac:dyDescent="0.3">
      <c r="A1369" s="22" t="s">
        <v>67</v>
      </c>
      <c r="B1369">
        <v>106</v>
      </c>
      <c r="C1369" t="s">
        <v>64</v>
      </c>
      <c r="D1369">
        <v>130</v>
      </c>
      <c r="F1369" s="8">
        <v>0.1792</v>
      </c>
      <c r="G1369" s="8">
        <v>0.46229999999999999</v>
      </c>
      <c r="H1369" s="8">
        <v>0.6321</v>
      </c>
      <c r="I1369" s="8">
        <v>0.67920000000000003</v>
      </c>
      <c r="J1369" s="8">
        <v>0.6038</v>
      </c>
      <c r="K1369" s="8">
        <v>0.37740000000000001</v>
      </c>
      <c r="L1369" s="8">
        <v>0.3962</v>
      </c>
      <c r="M1369" s="8">
        <v>0.52829999999999999</v>
      </c>
      <c r="N1369" s="8">
        <v>0.31130000000000002</v>
      </c>
      <c r="O1369" s="8">
        <v>0.434</v>
      </c>
      <c r="P1369" s="8">
        <v>3.7699999999999997E-2</v>
      </c>
      <c r="Q1369" s="8">
        <v>6.6000000000000003E-2</v>
      </c>
    </row>
    <row r="1370" spans="1:17" x14ac:dyDescent="0.3">
      <c r="A1370" s="22" t="s">
        <v>68</v>
      </c>
      <c r="B1370">
        <v>24</v>
      </c>
      <c r="C1370" t="s">
        <v>64</v>
      </c>
      <c r="D1370">
        <v>130</v>
      </c>
      <c r="E1370" s="8">
        <v>0.125</v>
      </c>
      <c r="F1370" s="8">
        <v>8.3299999999999999E-2</v>
      </c>
      <c r="G1370" s="8">
        <v>0.25</v>
      </c>
      <c r="H1370" s="8">
        <v>0.58330000000000004</v>
      </c>
      <c r="I1370" s="8">
        <v>0.54169999999999996</v>
      </c>
      <c r="J1370" s="8">
        <v>0.41670000000000001</v>
      </c>
      <c r="K1370" s="8">
        <v>0.20830000000000001</v>
      </c>
      <c r="L1370" s="8">
        <v>0.20830000000000001</v>
      </c>
      <c r="M1370" s="8">
        <v>0.29170000000000001</v>
      </c>
      <c r="N1370" s="8">
        <v>0.25</v>
      </c>
      <c r="O1370" s="8">
        <v>0.20830000000000001</v>
      </c>
      <c r="Q1370" s="8">
        <v>0.25</v>
      </c>
    </row>
    <row r="1372" spans="1:17" ht="57.6" x14ac:dyDescent="0.3">
      <c r="A1372" s="22" t="s">
        <v>402</v>
      </c>
    </row>
    <row r="1373" spans="1:17" x14ac:dyDescent="0.3">
      <c r="A1373" s="22" t="s">
        <v>66</v>
      </c>
      <c r="B1373" t="s">
        <v>62</v>
      </c>
      <c r="C1373" t="s">
        <v>57</v>
      </c>
      <c r="D1373" t="s">
        <v>63</v>
      </c>
      <c r="E1373" t="s">
        <v>154</v>
      </c>
      <c r="F1373" t="s">
        <v>384</v>
      </c>
      <c r="G1373" t="s">
        <v>385</v>
      </c>
      <c r="H1373" t="s">
        <v>386</v>
      </c>
      <c r="I1373" t="s">
        <v>387</v>
      </c>
      <c r="J1373" t="s">
        <v>388</v>
      </c>
      <c r="K1373" t="s">
        <v>389</v>
      </c>
      <c r="L1373" t="s">
        <v>390</v>
      </c>
      <c r="M1373" t="s">
        <v>391</v>
      </c>
      <c r="N1373" t="s">
        <v>392</v>
      </c>
      <c r="O1373" t="s">
        <v>393</v>
      </c>
      <c r="P1373" t="s">
        <v>394</v>
      </c>
      <c r="Q1373" t="s">
        <v>395</v>
      </c>
    </row>
    <row r="1374" spans="1:17" x14ac:dyDescent="0.3">
      <c r="A1374" s="22" t="s">
        <v>67</v>
      </c>
      <c r="B1374">
        <v>101</v>
      </c>
      <c r="C1374" t="s">
        <v>64</v>
      </c>
      <c r="D1374">
        <v>130</v>
      </c>
      <c r="E1374" s="8">
        <v>1.9800000000000002E-2</v>
      </c>
      <c r="F1374" s="8">
        <v>0.15840000000000001</v>
      </c>
      <c r="G1374" s="8">
        <v>0.4158</v>
      </c>
      <c r="H1374" s="8">
        <v>0.62380000000000002</v>
      </c>
      <c r="I1374" s="8">
        <v>0.68320000000000003</v>
      </c>
      <c r="J1374" s="8">
        <v>0.58420000000000005</v>
      </c>
      <c r="K1374" s="8">
        <v>0.35639999999999999</v>
      </c>
      <c r="L1374" s="8">
        <v>0.36630000000000001</v>
      </c>
      <c r="M1374" s="8">
        <v>0.47520000000000001</v>
      </c>
      <c r="N1374" s="8">
        <v>0.31680000000000003</v>
      </c>
      <c r="O1374" s="8">
        <v>0.3861</v>
      </c>
      <c r="P1374" s="8">
        <v>2.9700000000000001E-2</v>
      </c>
      <c r="Q1374" s="8">
        <v>8.9099999999999999E-2</v>
      </c>
    </row>
    <row r="1375" spans="1:17" x14ac:dyDescent="0.3">
      <c r="A1375" s="22" t="s">
        <v>68</v>
      </c>
      <c r="B1375">
        <v>29</v>
      </c>
      <c r="C1375" t="s">
        <v>64</v>
      </c>
      <c r="D1375">
        <v>130</v>
      </c>
      <c r="E1375" s="8">
        <v>3.4500000000000003E-2</v>
      </c>
      <c r="F1375" s="8">
        <v>0.1724</v>
      </c>
      <c r="G1375" s="8">
        <v>0.44829999999999998</v>
      </c>
      <c r="H1375" s="8">
        <v>0.62070000000000003</v>
      </c>
      <c r="I1375" s="8">
        <v>0.55169999999999997</v>
      </c>
      <c r="J1375" s="8">
        <v>0.51719999999999999</v>
      </c>
      <c r="K1375" s="8">
        <v>0.31030000000000002</v>
      </c>
      <c r="L1375" s="8">
        <v>0.3448</v>
      </c>
      <c r="M1375" s="8">
        <v>0.51719999999999999</v>
      </c>
      <c r="N1375" s="8">
        <v>0.2414</v>
      </c>
      <c r="O1375" s="8">
        <v>0.4138</v>
      </c>
      <c r="P1375" s="8">
        <v>3.4500000000000003E-2</v>
      </c>
      <c r="Q1375" s="8">
        <v>0.13789999999999999</v>
      </c>
    </row>
    <row r="1377" spans="1:17" ht="57.6" x14ac:dyDescent="0.3">
      <c r="A1377" s="22" t="s">
        <v>403</v>
      </c>
    </row>
    <row r="1378" spans="1:17" x14ac:dyDescent="0.3">
      <c r="A1378" s="22" t="s">
        <v>66</v>
      </c>
      <c r="B1378" t="s">
        <v>62</v>
      </c>
      <c r="C1378" t="s">
        <v>57</v>
      </c>
      <c r="D1378" t="s">
        <v>63</v>
      </c>
      <c r="E1378" t="s">
        <v>154</v>
      </c>
      <c r="F1378" t="s">
        <v>384</v>
      </c>
      <c r="G1378" t="s">
        <v>385</v>
      </c>
      <c r="H1378" t="s">
        <v>386</v>
      </c>
      <c r="I1378" t="s">
        <v>387</v>
      </c>
      <c r="J1378" t="s">
        <v>388</v>
      </c>
      <c r="K1378" t="s">
        <v>389</v>
      </c>
      <c r="L1378" t="s">
        <v>390</v>
      </c>
      <c r="M1378" t="s">
        <v>391</v>
      </c>
      <c r="N1378" t="s">
        <v>392</v>
      </c>
      <c r="O1378" t="s">
        <v>393</v>
      </c>
      <c r="P1378" t="s">
        <v>394</v>
      </c>
      <c r="Q1378" t="s">
        <v>395</v>
      </c>
    </row>
    <row r="1379" spans="1:17" x14ac:dyDescent="0.3">
      <c r="A1379" s="22" t="s">
        <v>67</v>
      </c>
      <c r="B1379">
        <v>98</v>
      </c>
      <c r="C1379" t="s">
        <v>64</v>
      </c>
      <c r="D1379">
        <v>130</v>
      </c>
      <c r="E1379" s="8">
        <v>3.0599999999999999E-2</v>
      </c>
      <c r="F1379" s="8">
        <v>0.15310000000000001</v>
      </c>
      <c r="G1379" s="8">
        <v>0.39800000000000002</v>
      </c>
      <c r="H1379" s="8">
        <v>0.63270000000000004</v>
      </c>
      <c r="I1379" s="8">
        <v>0.63270000000000004</v>
      </c>
      <c r="J1379" s="8">
        <v>0.54079999999999995</v>
      </c>
      <c r="K1379" s="8">
        <v>0.30609999999999998</v>
      </c>
      <c r="L1379" s="8">
        <v>0.32650000000000001</v>
      </c>
      <c r="M1379" s="8">
        <v>0.44900000000000001</v>
      </c>
      <c r="N1379" s="8">
        <v>0.30609999999999998</v>
      </c>
      <c r="O1379" s="8">
        <v>0.3367</v>
      </c>
      <c r="P1379" s="8">
        <v>3.0599999999999999E-2</v>
      </c>
      <c r="Q1379" s="8">
        <v>0.13270000000000001</v>
      </c>
    </row>
    <row r="1380" spans="1:17" x14ac:dyDescent="0.3">
      <c r="A1380" s="22" t="s">
        <v>68</v>
      </c>
      <c r="B1380">
        <v>32</v>
      </c>
      <c r="C1380" t="s">
        <v>64</v>
      </c>
      <c r="D1380">
        <v>130</v>
      </c>
      <c r="F1380" s="8">
        <v>0.1875</v>
      </c>
      <c r="G1380" s="8">
        <v>0.5</v>
      </c>
      <c r="H1380" s="8">
        <v>0.59379999999999999</v>
      </c>
      <c r="I1380" s="8">
        <v>0.71879999999999999</v>
      </c>
      <c r="J1380" s="8">
        <v>0.65620000000000001</v>
      </c>
      <c r="K1380" s="8">
        <v>0.46879999999999999</v>
      </c>
      <c r="L1380" s="8">
        <v>0.46879999999999999</v>
      </c>
      <c r="M1380" s="8">
        <v>0.59379999999999999</v>
      </c>
      <c r="N1380" s="8">
        <v>0.28120000000000001</v>
      </c>
      <c r="O1380" s="8">
        <v>0.5625</v>
      </c>
      <c r="P1380" s="8">
        <v>3.1199999999999999E-2</v>
      </c>
    </row>
    <row r="1382" spans="1:17" ht="72" x14ac:dyDescent="0.3">
      <c r="A1382" s="22" t="s">
        <v>404</v>
      </c>
    </row>
    <row r="1383" spans="1:17" x14ac:dyDescent="0.3">
      <c r="A1383" s="22" t="s">
        <v>66</v>
      </c>
      <c r="B1383" t="s">
        <v>62</v>
      </c>
      <c r="C1383" t="s">
        <v>57</v>
      </c>
      <c r="D1383" t="s">
        <v>63</v>
      </c>
      <c r="E1383" t="s">
        <v>154</v>
      </c>
      <c r="F1383" t="s">
        <v>384</v>
      </c>
      <c r="G1383" t="s">
        <v>385</v>
      </c>
      <c r="H1383" t="s">
        <v>386</v>
      </c>
      <c r="I1383" t="s">
        <v>387</v>
      </c>
      <c r="J1383" t="s">
        <v>388</v>
      </c>
      <c r="K1383" t="s">
        <v>389</v>
      </c>
      <c r="L1383" t="s">
        <v>390</v>
      </c>
      <c r="M1383" t="s">
        <v>391</v>
      </c>
      <c r="N1383" t="s">
        <v>392</v>
      </c>
      <c r="O1383" t="s">
        <v>393</v>
      </c>
      <c r="P1383" t="s">
        <v>394</v>
      </c>
      <c r="Q1383" t="s">
        <v>395</v>
      </c>
    </row>
    <row r="1384" spans="1:17" x14ac:dyDescent="0.3">
      <c r="A1384" s="22" t="s">
        <v>67</v>
      </c>
      <c r="B1384">
        <v>118</v>
      </c>
      <c r="C1384" t="s">
        <v>64</v>
      </c>
      <c r="D1384">
        <v>130</v>
      </c>
      <c r="E1384" s="8">
        <v>2.5399999999999999E-2</v>
      </c>
      <c r="F1384" s="8">
        <v>0.161</v>
      </c>
      <c r="G1384" s="8">
        <v>0.40679999999999999</v>
      </c>
      <c r="H1384" s="8">
        <v>0.60170000000000001</v>
      </c>
      <c r="I1384" s="8">
        <v>0.65249999999999997</v>
      </c>
      <c r="J1384" s="8">
        <v>0.57630000000000003</v>
      </c>
      <c r="K1384" s="8">
        <v>0.34749999999999998</v>
      </c>
      <c r="L1384" s="8">
        <v>0.3644</v>
      </c>
      <c r="M1384" s="8">
        <v>0.49149999999999999</v>
      </c>
      <c r="N1384" s="8">
        <v>0.29659999999999997</v>
      </c>
      <c r="O1384" s="8">
        <v>0.38979999999999998</v>
      </c>
      <c r="P1384" s="8">
        <v>3.39E-2</v>
      </c>
      <c r="Q1384" s="8">
        <v>0.11020000000000001</v>
      </c>
    </row>
    <row r="1385" spans="1:17" x14ac:dyDescent="0.3">
      <c r="A1385" s="22" t="s">
        <v>68</v>
      </c>
      <c r="B1385">
        <v>12</v>
      </c>
      <c r="C1385" t="s">
        <v>64</v>
      </c>
      <c r="D1385">
        <v>130</v>
      </c>
      <c r="F1385" s="8">
        <v>0.16669999999999999</v>
      </c>
      <c r="G1385" s="8">
        <v>0.58330000000000004</v>
      </c>
      <c r="H1385" s="8">
        <v>0.83330000000000004</v>
      </c>
      <c r="I1385" s="8">
        <v>0.66669999999999996</v>
      </c>
      <c r="J1385" s="8">
        <v>0.5</v>
      </c>
      <c r="K1385" s="8">
        <v>0.33329999999999999</v>
      </c>
      <c r="L1385" s="8">
        <v>0.33329999999999999</v>
      </c>
      <c r="M1385" s="8">
        <v>0.41670000000000001</v>
      </c>
      <c r="N1385" s="8">
        <v>0.33329999999999999</v>
      </c>
      <c r="O1385" s="8">
        <v>0.41670000000000001</v>
      </c>
    </row>
    <row r="1387" spans="1:17" ht="72" x14ac:dyDescent="0.3">
      <c r="A1387" s="22" t="s">
        <v>405</v>
      </c>
    </row>
    <row r="1388" spans="1:17" x14ac:dyDescent="0.3">
      <c r="A1388" s="22" t="s">
        <v>66</v>
      </c>
      <c r="B1388" t="s">
        <v>62</v>
      </c>
      <c r="C1388" t="s">
        <v>57</v>
      </c>
      <c r="D1388" t="s">
        <v>63</v>
      </c>
      <c r="E1388" t="s">
        <v>154</v>
      </c>
      <c r="F1388" t="s">
        <v>384</v>
      </c>
      <c r="G1388" t="s">
        <v>385</v>
      </c>
      <c r="H1388" t="s">
        <v>386</v>
      </c>
      <c r="I1388" t="s">
        <v>387</v>
      </c>
      <c r="J1388" t="s">
        <v>388</v>
      </c>
      <c r="K1388" t="s">
        <v>389</v>
      </c>
      <c r="L1388" t="s">
        <v>390</v>
      </c>
      <c r="M1388" t="s">
        <v>391</v>
      </c>
      <c r="N1388" t="s">
        <v>392</v>
      </c>
      <c r="O1388" t="s">
        <v>393</v>
      </c>
      <c r="P1388" t="s">
        <v>394</v>
      </c>
      <c r="Q1388" t="s">
        <v>395</v>
      </c>
    </row>
    <row r="1389" spans="1:17" x14ac:dyDescent="0.3">
      <c r="A1389" s="22" t="s">
        <v>67</v>
      </c>
      <c r="B1389">
        <v>130</v>
      </c>
      <c r="C1389" t="s">
        <v>64</v>
      </c>
      <c r="D1389">
        <v>130</v>
      </c>
      <c r="E1389" s="8">
        <v>2.3099999999999999E-2</v>
      </c>
      <c r="F1389" s="8">
        <v>0.1615</v>
      </c>
      <c r="G1389" s="8">
        <v>0.42309999999999998</v>
      </c>
      <c r="H1389" s="8">
        <v>0.62309999999999999</v>
      </c>
      <c r="I1389" s="8">
        <v>0.65380000000000005</v>
      </c>
      <c r="J1389" s="8">
        <v>0.56920000000000004</v>
      </c>
      <c r="K1389" s="8">
        <v>0.34620000000000001</v>
      </c>
      <c r="L1389" s="8">
        <v>0.36149999999999999</v>
      </c>
      <c r="M1389" s="8">
        <v>0.48459999999999998</v>
      </c>
      <c r="N1389" s="8">
        <v>0.3</v>
      </c>
      <c r="O1389" s="8">
        <v>0.39229999999999998</v>
      </c>
      <c r="P1389" s="8">
        <v>3.0800000000000001E-2</v>
      </c>
      <c r="Q1389" s="8">
        <v>0.1</v>
      </c>
    </row>
    <row r="1391" spans="1:17" ht="57.6" x14ac:dyDescent="0.3">
      <c r="A1391" s="22" t="s">
        <v>406</v>
      </c>
    </row>
    <row r="1392" spans="1:17" x14ac:dyDescent="0.3">
      <c r="A1392" s="22" t="s">
        <v>66</v>
      </c>
      <c r="B1392" t="s">
        <v>62</v>
      </c>
      <c r="C1392" t="s">
        <v>57</v>
      </c>
      <c r="D1392" t="s">
        <v>63</v>
      </c>
      <c r="E1392" t="s">
        <v>154</v>
      </c>
      <c r="F1392" t="s">
        <v>384</v>
      </c>
      <c r="G1392" t="s">
        <v>385</v>
      </c>
      <c r="H1392" t="s">
        <v>386</v>
      </c>
      <c r="I1392" t="s">
        <v>387</v>
      </c>
      <c r="J1392" t="s">
        <v>388</v>
      </c>
      <c r="K1392" t="s">
        <v>389</v>
      </c>
      <c r="L1392" t="s">
        <v>390</v>
      </c>
      <c r="M1392" t="s">
        <v>391</v>
      </c>
      <c r="N1392" t="s">
        <v>392</v>
      </c>
      <c r="O1392" t="s">
        <v>393</v>
      </c>
      <c r="P1392" t="s">
        <v>394</v>
      </c>
      <c r="Q1392" t="s">
        <v>395</v>
      </c>
    </row>
    <row r="1393" spans="1:17" x14ac:dyDescent="0.3">
      <c r="A1393" s="22" t="s">
        <v>67</v>
      </c>
      <c r="B1393">
        <v>77</v>
      </c>
      <c r="C1393" t="s">
        <v>64</v>
      </c>
      <c r="D1393">
        <v>130</v>
      </c>
      <c r="E1393" s="8">
        <v>1.2999999999999999E-2</v>
      </c>
      <c r="F1393" s="8">
        <v>0.1169</v>
      </c>
      <c r="G1393" s="8">
        <v>0.37659999999999999</v>
      </c>
      <c r="H1393" s="8">
        <v>0.53249999999999997</v>
      </c>
      <c r="I1393" s="8">
        <v>0.62339999999999995</v>
      </c>
      <c r="J1393" s="8">
        <v>0.54549999999999998</v>
      </c>
      <c r="K1393" s="8">
        <v>0.32469999999999999</v>
      </c>
      <c r="L1393" s="8">
        <v>0.32469999999999999</v>
      </c>
      <c r="M1393" s="8">
        <v>0.50649999999999995</v>
      </c>
      <c r="N1393" s="8">
        <v>0.28570000000000001</v>
      </c>
      <c r="O1393" s="8">
        <v>0.37659999999999999</v>
      </c>
      <c r="P1393" s="8">
        <v>5.1900000000000002E-2</v>
      </c>
      <c r="Q1393" s="8">
        <v>0.10390000000000001</v>
      </c>
    </row>
    <row r="1394" spans="1:17" x14ac:dyDescent="0.3">
      <c r="A1394" s="22" t="s">
        <v>68</v>
      </c>
      <c r="B1394">
        <v>53</v>
      </c>
      <c r="C1394" t="s">
        <v>64</v>
      </c>
      <c r="D1394">
        <v>130</v>
      </c>
      <c r="E1394" s="8">
        <v>3.7699999999999997E-2</v>
      </c>
      <c r="F1394" s="8">
        <v>0.22639999999999999</v>
      </c>
      <c r="G1394" s="8">
        <v>0.49059999999999998</v>
      </c>
      <c r="H1394" s="8">
        <v>0.75470000000000004</v>
      </c>
      <c r="I1394" s="8">
        <v>0.69810000000000005</v>
      </c>
      <c r="J1394" s="8">
        <v>0.6038</v>
      </c>
      <c r="K1394" s="8">
        <v>0.37740000000000001</v>
      </c>
      <c r="L1394" s="8">
        <v>0.41510000000000002</v>
      </c>
      <c r="M1394" s="8">
        <v>0.45279999999999998</v>
      </c>
      <c r="N1394" s="8">
        <v>0.32079999999999997</v>
      </c>
      <c r="O1394" s="8">
        <v>0.41510000000000002</v>
      </c>
      <c r="Q1394" s="8">
        <v>9.4299999999999995E-2</v>
      </c>
    </row>
    <row r="1396" spans="1:17" ht="57.6" x14ac:dyDescent="0.3">
      <c r="A1396" s="22" t="s">
        <v>407</v>
      </c>
    </row>
    <row r="1397" spans="1:17" x14ac:dyDescent="0.3">
      <c r="A1397" s="22" t="s">
        <v>66</v>
      </c>
      <c r="B1397" t="s">
        <v>62</v>
      </c>
      <c r="C1397" t="s">
        <v>57</v>
      </c>
      <c r="D1397" t="s">
        <v>63</v>
      </c>
      <c r="E1397" t="s">
        <v>154</v>
      </c>
      <c r="F1397" t="s">
        <v>384</v>
      </c>
      <c r="G1397" t="s">
        <v>385</v>
      </c>
      <c r="H1397" t="s">
        <v>386</v>
      </c>
      <c r="I1397" t="s">
        <v>387</v>
      </c>
      <c r="J1397" t="s">
        <v>388</v>
      </c>
      <c r="K1397" t="s">
        <v>389</v>
      </c>
      <c r="L1397" t="s">
        <v>390</v>
      </c>
      <c r="M1397" t="s">
        <v>391</v>
      </c>
      <c r="N1397" t="s">
        <v>392</v>
      </c>
      <c r="O1397" t="s">
        <v>393</v>
      </c>
      <c r="P1397" t="s">
        <v>394</v>
      </c>
      <c r="Q1397" t="s">
        <v>395</v>
      </c>
    </row>
    <row r="1398" spans="1:17" x14ac:dyDescent="0.3">
      <c r="A1398" s="22" t="s">
        <v>67</v>
      </c>
      <c r="B1398">
        <v>114</v>
      </c>
      <c r="C1398" t="s">
        <v>64</v>
      </c>
      <c r="D1398">
        <v>130</v>
      </c>
      <c r="E1398" s="8">
        <v>2.63E-2</v>
      </c>
      <c r="F1398" s="8">
        <v>0.16669999999999999</v>
      </c>
      <c r="G1398" s="8">
        <v>0.42980000000000002</v>
      </c>
      <c r="H1398" s="8">
        <v>0.63160000000000005</v>
      </c>
      <c r="I1398" s="8">
        <v>0.66669999999999996</v>
      </c>
      <c r="J1398" s="8">
        <v>0.57020000000000004</v>
      </c>
      <c r="K1398" s="8">
        <v>0.37719999999999998</v>
      </c>
      <c r="L1398" s="8">
        <v>0.3947</v>
      </c>
      <c r="M1398" s="8">
        <v>0.49120000000000003</v>
      </c>
      <c r="N1398" s="8">
        <v>0.31580000000000003</v>
      </c>
      <c r="O1398" s="8">
        <v>0.42109999999999997</v>
      </c>
      <c r="P1398" s="8">
        <v>3.5099999999999999E-2</v>
      </c>
      <c r="Q1398" s="8">
        <v>8.77E-2</v>
      </c>
    </row>
    <row r="1399" spans="1:17" x14ac:dyDescent="0.3">
      <c r="A1399" s="22" t="s">
        <v>68</v>
      </c>
      <c r="B1399">
        <v>16</v>
      </c>
      <c r="C1399" t="s">
        <v>64</v>
      </c>
      <c r="D1399">
        <v>130</v>
      </c>
      <c r="F1399" s="8">
        <v>0.125</v>
      </c>
      <c r="G1399" s="8">
        <v>0.375</v>
      </c>
      <c r="H1399" s="8">
        <v>0.5625</v>
      </c>
      <c r="I1399" s="8">
        <v>0.5625</v>
      </c>
      <c r="J1399" s="8">
        <v>0.5625</v>
      </c>
      <c r="K1399" s="8">
        <v>0.125</v>
      </c>
      <c r="L1399" s="8">
        <v>0.125</v>
      </c>
      <c r="M1399" s="8">
        <v>0.4375</v>
      </c>
      <c r="N1399" s="8">
        <v>0.1875</v>
      </c>
      <c r="O1399" s="8">
        <v>0.1875</v>
      </c>
      <c r="Q1399" s="8">
        <v>0.1875</v>
      </c>
    </row>
    <row r="1401" spans="1:17" ht="43.2" x14ac:dyDescent="0.3">
      <c r="A1401" s="27" t="s">
        <v>408</v>
      </c>
    </row>
    <row r="1402" spans="1:17" x14ac:dyDescent="0.3">
      <c r="A1402" s="22" t="s">
        <v>66</v>
      </c>
      <c r="B1402" t="s">
        <v>62</v>
      </c>
      <c r="C1402" t="s">
        <v>57</v>
      </c>
      <c r="D1402" t="s">
        <v>63</v>
      </c>
      <c r="E1402" t="s">
        <v>154</v>
      </c>
      <c r="F1402" t="s">
        <v>384</v>
      </c>
      <c r="G1402" t="s">
        <v>385</v>
      </c>
      <c r="H1402" t="s">
        <v>386</v>
      </c>
      <c r="I1402" t="s">
        <v>387</v>
      </c>
      <c r="J1402" t="s">
        <v>388</v>
      </c>
      <c r="K1402" t="s">
        <v>389</v>
      </c>
      <c r="L1402" t="s">
        <v>390</v>
      </c>
      <c r="M1402" t="s">
        <v>391</v>
      </c>
      <c r="N1402" t="s">
        <v>392</v>
      </c>
      <c r="O1402" t="s">
        <v>393</v>
      </c>
      <c r="P1402" t="s">
        <v>394</v>
      </c>
      <c r="Q1402" t="s">
        <v>395</v>
      </c>
    </row>
    <row r="1403" spans="1:17" x14ac:dyDescent="0.3">
      <c r="A1403" s="22" t="s">
        <v>81</v>
      </c>
      <c r="B1403">
        <v>32</v>
      </c>
      <c r="C1403" t="s">
        <v>64</v>
      </c>
      <c r="D1403">
        <v>130</v>
      </c>
      <c r="E1403" s="8">
        <v>3.1199999999999999E-2</v>
      </c>
      <c r="F1403" s="8">
        <v>0.15620000000000001</v>
      </c>
      <c r="G1403" s="8">
        <v>0.34379999999999999</v>
      </c>
      <c r="H1403" s="8">
        <v>0.53120000000000001</v>
      </c>
      <c r="I1403" s="8">
        <v>0.625</v>
      </c>
      <c r="J1403" s="8">
        <v>0.46879999999999999</v>
      </c>
      <c r="K1403" s="8">
        <v>0.3125</v>
      </c>
      <c r="L1403" s="8">
        <v>0.3125</v>
      </c>
      <c r="M1403" s="8">
        <v>0.46879999999999999</v>
      </c>
      <c r="N1403" s="8">
        <v>0.28120000000000001</v>
      </c>
      <c r="O1403" s="8">
        <v>0.375</v>
      </c>
      <c r="P1403" s="8">
        <v>6.25E-2</v>
      </c>
      <c r="Q1403" s="8">
        <v>0.125</v>
      </c>
    </row>
    <row r="1404" spans="1:17" x14ac:dyDescent="0.3">
      <c r="A1404" s="22" t="s">
        <v>82</v>
      </c>
      <c r="B1404">
        <v>34</v>
      </c>
      <c r="C1404" t="s">
        <v>64</v>
      </c>
      <c r="D1404">
        <v>130</v>
      </c>
      <c r="E1404" s="8">
        <v>5.8799999999999998E-2</v>
      </c>
      <c r="F1404" s="8">
        <v>0.1176</v>
      </c>
      <c r="G1404" s="8">
        <v>0.5</v>
      </c>
      <c r="H1404" s="8">
        <v>0.55879999999999996</v>
      </c>
      <c r="I1404" s="8">
        <v>0.52939999999999998</v>
      </c>
      <c r="J1404" s="8">
        <v>0.52939999999999998</v>
      </c>
      <c r="K1404" s="8">
        <v>0.35289999999999999</v>
      </c>
      <c r="L1404" s="8">
        <v>0.35289999999999999</v>
      </c>
      <c r="M1404" s="8">
        <v>0.5</v>
      </c>
      <c r="N1404" s="8">
        <v>0.29409999999999997</v>
      </c>
      <c r="O1404" s="8">
        <v>0.44119999999999998</v>
      </c>
      <c r="P1404" s="8">
        <v>2.9399999999999999E-2</v>
      </c>
      <c r="Q1404" s="8">
        <v>8.8200000000000001E-2</v>
      </c>
    </row>
    <row r="1405" spans="1:17" x14ac:dyDescent="0.3">
      <c r="A1405" s="22" t="s">
        <v>83</v>
      </c>
      <c r="B1405">
        <v>33</v>
      </c>
      <c r="C1405" t="s">
        <v>64</v>
      </c>
      <c r="D1405">
        <v>130</v>
      </c>
      <c r="F1405" s="8">
        <v>0.1515</v>
      </c>
      <c r="G1405" s="8">
        <v>0.36359999999999998</v>
      </c>
      <c r="H1405" s="8">
        <v>0.63639999999999997</v>
      </c>
      <c r="I1405" s="8">
        <v>0.60609999999999997</v>
      </c>
      <c r="J1405" s="8">
        <v>0.69699999999999995</v>
      </c>
      <c r="K1405" s="8">
        <v>0.33329999999999999</v>
      </c>
      <c r="L1405" s="8">
        <v>0.42420000000000002</v>
      </c>
      <c r="M1405" s="8">
        <v>0.48480000000000001</v>
      </c>
      <c r="N1405" s="8">
        <v>0.2727</v>
      </c>
      <c r="O1405" s="8">
        <v>0.39389999999999997</v>
      </c>
      <c r="P1405" s="8">
        <v>3.0300000000000001E-2</v>
      </c>
      <c r="Q1405" s="8">
        <v>0.1212</v>
      </c>
    </row>
    <row r="1406" spans="1:17" x14ac:dyDescent="0.3">
      <c r="A1406" s="22" t="s">
        <v>84</v>
      </c>
      <c r="B1406">
        <v>31</v>
      </c>
      <c r="C1406" t="s">
        <v>64</v>
      </c>
      <c r="D1406">
        <v>130</v>
      </c>
      <c r="F1406" s="8">
        <v>0.2258</v>
      </c>
      <c r="G1406" s="8">
        <v>0.4839</v>
      </c>
      <c r="H1406" s="8">
        <v>0.7742</v>
      </c>
      <c r="I1406" s="8">
        <v>0.871</v>
      </c>
      <c r="J1406" s="8">
        <v>0.5806</v>
      </c>
      <c r="K1406" s="8">
        <v>0.3871</v>
      </c>
      <c r="L1406" s="8">
        <v>0.3548</v>
      </c>
      <c r="M1406" s="8">
        <v>0.4839</v>
      </c>
      <c r="N1406" s="8">
        <v>0.3548</v>
      </c>
      <c r="O1406" s="8">
        <v>0.3548</v>
      </c>
      <c r="Q1406" s="8">
        <v>6.4500000000000002E-2</v>
      </c>
    </row>
    <row r="1408" spans="1:17" ht="43.2" x14ac:dyDescent="0.3">
      <c r="A1408" s="22" t="s">
        <v>409</v>
      </c>
    </row>
    <row r="1409" spans="1:8" x14ac:dyDescent="0.3">
      <c r="A1409" s="22" t="s">
        <v>62</v>
      </c>
      <c r="B1409" t="s">
        <v>57</v>
      </c>
      <c r="C1409" t="s">
        <v>63</v>
      </c>
      <c r="D1409" t="s">
        <v>410</v>
      </c>
      <c r="E1409" t="s">
        <v>411</v>
      </c>
      <c r="F1409" t="s">
        <v>412</v>
      </c>
      <c r="G1409" t="s">
        <v>413</v>
      </c>
    </row>
    <row r="1410" spans="1:8" x14ac:dyDescent="0.3">
      <c r="A1410" s="22">
        <v>195</v>
      </c>
      <c r="B1410" t="s">
        <v>64</v>
      </c>
      <c r="C1410">
        <v>195</v>
      </c>
      <c r="D1410" s="8">
        <v>1.54E-2</v>
      </c>
      <c r="E1410" s="8">
        <v>0.3231</v>
      </c>
      <c r="F1410" s="8">
        <v>5.1299999999999998E-2</v>
      </c>
      <c r="G1410" s="8">
        <v>0.61029999999999995</v>
      </c>
    </row>
    <row r="1412" spans="1:8" ht="72" x14ac:dyDescent="0.3">
      <c r="A1412" s="22" t="s">
        <v>414</v>
      </c>
    </row>
    <row r="1413" spans="1:8" x14ac:dyDescent="0.3">
      <c r="A1413" s="22" t="s">
        <v>66</v>
      </c>
      <c r="B1413" t="s">
        <v>62</v>
      </c>
      <c r="C1413" t="s">
        <v>57</v>
      </c>
      <c r="D1413" t="s">
        <v>63</v>
      </c>
      <c r="E1413" t="s">
        <v>410</v>
      </c>
      <c r="F1413" t="s">
        <v>411</v>
      </c>
      <c r="G1413" t="s">
        <v>412</v>
      </c>
      <c r="H1413" t="s">
        <v>413</v>
      </c>
    </row>
    <row r="1414" spans="1:8" x14ac:dyDescent="0.3">
      <c r="A1414" s="22" t="s">
        <v>67</v>
      </c>
      <c r="B1414">
        <v>186</v>
      </c>
      <c r="C1414" t="s">
        <v>64</v>
      </c>
      <c r="D1414">
        <v>195</v>
      </c>
      <c r="E1414" s="8">
        <v>1.61E-2</v>
      </c>
      <c r="F1414" s="8">
        <v>0.32800000000000001</v>
      </c>
      <c r="G1414" s="8">
        <v>4.8399999999999999E-2</v>
      </c>
      <c r="H1414" s="8">
        <v>0.60750000000000004</v>
      </c>
    </row>
    <row r="1415" spans="1:8" x14ac:dyDescent="0.3">
      <c r="A1415" s="22" t="s">
        <v>68</v>
      </c>
      <c r="B1415">
        <v>9</v>
      </c>
      <c r="C1415" t="s">
        <v>64</v>
      </c>
      <c r="D1415">
        <v>195</v>
      </c>
      <c r="F1415" s="8">
        <v>0.22220000000000001</v>
      </c>
      <c r="G1415" s="8">
        <v>0.1111</v>
      </c>
      <c r="H1415" s="8">
        <v>0.66669999999999996</v>
      </c>
    </row>
    <row r="1417" spans="1:8" x14ac:dyDescent="0.3">
      <c r="A1417"/>
    </row>
    <row r="1418" spans="1:8" x14ac:dyDescent="0.3">
      <c r="A1418"/>
    </row>
    <row r="1419" spans="1:8" x14ac:dyDescent="0.3">
      <c r="A1419"/>
    </row>
    <row r="1421" spans="1:8" ht="57.6" x14ac:dyDescent="0.3">
      <c r="A1421" s="22" t="s">
        <v>415</v>
      </c>
    </row>
    <row r="1422" spans="1:8" x14ac:dyDescent="0.3">
      <c r="A1422" s="22" t="s">
        <v>66</v>
      </c>
      <c r="B1422" t="s">
        <v>62</v>
      </c>
      <c r="C1422" t="s">
        <v>57</v>
      </c>
      <c r="D1422" t="s">
        <v>63</v>
      </c>
      <c r="E1422" t="s">
        <v>410</v>
      </c>
      <c r="F1422" t="s">
        <v>411</v>
      </c>
      <c r="G1422" t="s">
        <v>412</v>
      </c>
      <c r="H1422" t="s">
        <v>413</v>
      </c>
    </row>
    <row r="1423" spans="1:8" x14ac:dyDescent="0.3">
      <c r="A1423" s="22" t="s">
        <v>67</v>
      </c>
      <c r="B1423">
        <v>186</v>
      </c>
      <c r="C1423" t="s">
        <v>64</v>
      </c>
      <c r="D1423">
        <v>195</v>
      </c>
      <c r="E1423" s="8">
        <v>1.61E-2</v>
      </c>
      <c r="F1423" s="8">
        <v>0.3226</v>
      </c>
      <c r="G1423" s="8">
        <v>5.3800000000000001E-2</v>
      </c>
      <c r="H1423" s="8">
        <v>0.60750000000000004</v>
      </c>
    </row>
    <row r="1424" spans="1:8" x14ac:dyDescent="0.3">
      <c r="A1424" s="22" t="s">
        <v>68</v>
      </c>
      <c r="B1424">
        <v>9</v>
      </c>
      <c r="C1424" t="s">
        <v>64</v>
      </c>
      <c r="D1424">
        <v>195</v>
      </c>
      <c r="F1424" s="8">
        <v>0.33329999999999999</v>
      </c>
      <c r="H1424" s="8">
        <v>0.66669999999999996</v>
      </c>
    </row>
    <row r="1426" spans="1:8" ht="57.6" x14ac:dyDescent="0.3">
      <c r="A1426" s="22" t="s">
        <v>416</v>
      </c>
    </row>
    <row r="1427" spans="1:8" x14ac:dyDescent="0.3">
      <c r="A1427" s="22" t="s">
        <v>66</v>
      </c>
      <c r="B1427" t="s">
        <v>62</v>
      </c>
      <c r="C1427" t="s">
        <v>57</v>
      </c>
      <c r="D1427" t="s">
        <v>63</v>
      </c>
      <c r="E1427" t="s">
        <v>410</v>
      </c>
      <c r="F1427" t="s">
        <v>411</v>
      </c>
      <c r="G1427" t="s">
        <v>412</v>
      </c>
      <c r="H1427" t="s">
        <v>413</v>
      </c>
    </row>
    <row r="1428" spans="1:8" x14ac:dyDescent="0.3">
      <c r="A1428" s="22" t="s">
        <v>67</v>
      </c>
      <c r="B1428">
        <v>194</v>
      </c>
      <c r="C1428" t="s">
        <v>64</v>
      </c>
      <c r="D1428">
        <v>195</v>
      </c>
      <c r="E1428" s="8">
        <v>1.55E-2</v>
      </c>
      <c r="F1428" s="8">
        <v>0.32469999999999999</v>
      </c>
      <c r="G1428" s="8">
        <v>5.1499999999999997E-2</v>
      </c>
      <c r="H1428" s="8">
        <v>0.60819999999999996</v>
      </c>
    </row>
    <row r="1429" spans="1:8" x14ac:dyDescent="0.3">
      <c r="A1429" s="22" t="s">
        <v>68</v>
      </c>
      <c r="B1429">
        <v>1</v>
      </c>
      <c r="C1429" t="s">
        <v>64</v>
      </c>
      <c r="D1429">
        <v>195</v>
      </c>
      <c r="H1429" s="8">
        <v>1</v>
      </c>
    </row>
    <row r="1431" spans="1:8" ht="72" x14ac:dyDescent="0.3">
      <c r="A1431" s="22" t="s">
        <v>417</v>
      </c>
    </row>
    <row r="1432" spans="1:8" x14ac:dyDescent="0.3">
      <c r="A1432" s="22" t="s">
        <v>66</v>
      </c>
      <c r="B1432" t="s">
        <v>62</v>
      </c>
      <c r="C1432" t="s">
        <v>57</v>
      </c>
      <c r="D1432" t="s">
        <v>63</v>
      </c>
      <c r="E1432" t="s">
        <v>410</v>
      </c>
      <c r="F1432" t="s">
        <v>411</v>
      </c>
      <c r="G1432" t="s">
        <v>412</v>
      </c>
      <c r="H1432" t="s">
        <v>413</v>
      </c>
    </row>
    <row r="1433" spans="1:8" x14ac:dyDescent="0.3">
      <c r="A1433" s="22" t="s">
        <v>67</v>
      </c>
      <c r="B1433">
        <v>182</v>
      </c>
      <c r="C1433" t="s">
        <v>64</v>
      </c>
      <c r="D1433">
        <v>195</v>
      </c>
      <c r="E1433" s="8">
        <v>1.6500000000000001E-2</v>
      </c>
      <c r="F1433" s="8">
        <v>0.32969999999999999</v>
      </c>
      <c r="G1433" s="8">
        <v>4.3999999999999997E-2</v>
      </c>
      <c r="H1433" s="8">
        <v>0.6099</v>
      </c>
    </row>
    <row r="1434" spans="1:8" x14ac:dyDescent="0.3">
      <c r="A1434" s="22" t="s">
        <v>68</v>
      </c>
      <c r="B1434">
        <v>13</v>
      </c>
      <c r="C1434" t="s">
        <v>64</v>
      </c>
      <c r="D1434">
        <v>195</v>
      </c>
      <c r="F1434" s="8">
        <v>0.23080000000000001</v>
      </c>
      <c r="G1434" s="8">
        <v>0.15379999999999999</v>
      </c>
      <c r="H1434" s="8">
        <v>0.61539999999999995</v>
      </c>
    </row>
    <row r="1436" spans="1:8" ht="72" x14ac:dyDescent="0.3">
      <c r="A1436" s="22" t="s">
        <v>418</v>
      </c>
    </row>
    <row r="1437" spans="1:8" x14ac:dyDescent="0.3">
      <c r="A1437" s="22" t="s">
        <v>66</v>
      </c>
      <c r="B1437" t="s">
        <v>62</v>
      </c>
      <c r="C1437" t="s">
        <v>57</v>
      </c>
      <c r="D1437" t="s">
        <v>63</v>
      </c>
      <c r="E1437" t="s">
        <v>410</v>
      </c>
      <c r="F1437" t="s">
        <v>411</v>
      </c>
      <c r="G1437" t="s">
        <v>412</v>
      </c>
      <c r="H1437" t="s">
        <v>413</v>
      </c>
    </row>
    <row r="1438" spans="1:8" x14ac:dyDescent="0.3">
      <c r="A1438" s="22" t="s">
        <v>67</v>
      </c>
      <c r="B1438">
        <v>5</v>
      </c>
      <c r="C1438" t="s">
        <v>64</v>
      </c>
      <c r="D1438">
        <v>195</v>
      </c>
      <c r="H1438" s="8">
        <v>1</v>
      </c>
    </row>
    <row r="1439" spans="1:8" x14ac:dyDescent="0.3">
      <c r="A1439" s="22" t="s">
        <v>68</v>
      </c>
      <c r="B1439">
        <v>190</v>
      </c>
      <c r="C1439" t="s">
        <v>64</v>
      </c>
      <c r="D1439">
        <v>195</v>
      </c>
      <c r="E1439" s="8">
        <v>1.5800000000000002E-2</v>
      </c>
      <c r="F1439" s="8">
        <v>0.33160000000000001</v>
      </c>
      <c r="G1439" s="8">
        <v>5.2600000000000001E-2</v>
      </c>
      <c r="H1439" s="8">
        <v>0.6</v>
      </c>
    </row>
    <row r="1441" spans="1:8" ht="57.6" x14ac:dyDescent="0.3">
      <c r="A1441" s="22" t="s">
        <v>419</v>
      </c>
    </row>
    <row r="1442" spans="1:8" x14ac:dyDescent="0.3">
      <c r="A1442" s="22" t="s">
        <v>66</v>
      </c>
      <c r="B1442" t="s">
        <v>62</v>
      </c>
      <c r="C1442" t="s">
        <v>57</v>
      </c>
      <c r="D1442" t="s">
        <v>63</v>
      </c>
      <c r="E1442" t="s">
        <v>410</v>
      </c>
      <c r="F1442" t="s">
        <v>411</v>
      </c>
      <c r="G1442" t="s">
        <v>412</v>
      </c>
      <c r="H1442" t="s">
        <v>413</v>
      </c>
    </row>
    <row r="1443" spans="1:8" x14ac:dyDescent="0.3">
      <c r="A1443" s="22" t="s">
        <v>67</v>
      </c>
      <c r="B1443">
        <v>155</v>
      </c>
      <c r="C1443" t="s">
        <v>64</v>
      </c>
      <c r="D1443">
        <v>195</v>
      </c>
      <c r="E1443" s="8">
        <v>1.29E-2</v>
      </c>
      <c r="F1443" s="8">
        <v>0.31609999999999999</v>
      </c>
      <c r="G1443" s="8">
        <v>4.5199999999999997E-2</v>
      </c>
      <c r="H1443" s="8">
        <v>0.62580000000000002</v>
      </c>
    </row>
    <row r="1444" spans="1:8" x14ac:dyDescent="0.3">
      <c r="A1444" s="22" t="s">
        <v>68</v>
      </c>
      <c r="B1444">
        <v>40</v>
      </c>
      <c r="C1444" t="s">
        <v>64</v>
      </c>
      <c r="D1444">
        <v>195</v>
      </c>
      <c r="E1444" s="8">
        <v>2.5000000000000001E-2</v>
      </c>
      <c r="F1444" s="8">
        <v>0.35</v>
      </c>
      <c r="G1444" s="8">
        <v>7.4999999999999997E-2</v>
      </c>
      <c r="H1444" s="8">
        <v>0.55000000000000004</v>
      </c>
    </row>
    <row r="1446" spans="1:8" ht="57.6" x14ac:dyDescent="0.3">
      <c r="A1446" s="22" t="s">
        <v>420</v>
      </c>
    </row>
    <row r="1447" spans="1:8" x14ac:dyDescent="0.3">
      <c r="A1447" s="22" t="s">
        <v>66</v>
      </c>
      <c r="B1447" t="s">
        <v>62</v>
      </c>
      <c r="C1447" t="s">
        <v>57</v>
      </c>
      <c r="D1447" t="s">
        <v>63</v>
      </c>
      <c r="E1447" t="s">
        <v>410</v>
      </c>
      <c r="F1447" t="s">
        <v>411</v>
      </c>
      <c r="G1447" t="s">
        <v>412</v>
      </c>
      <c r="H1447" t="s">
        <v>413</v>
      </c>
    </row>
    <row r="1448" spans="1:8" x14ac:dyDescent="0.3">
      <c r="A1448" s="22" t="s">
        <v>67</v>
      </c>
      <c r="B1448">
        <v>152</v>
      </c>
      <c r="C1448" t="s">
        <v>64</v>
      </c>
      <c r="D1448">
        <v>195</v>
      </c>
      <c r="E1448" s="8">
        <v>1.9699999999999999E-2</v>
      </c>
      <c r="F1448" s="8">
        <v>0.33550000000000002</v>
      </c>
      <c r="G1448" s="8">
        <v>3.2899999999999999E-2</v>
      </c>
      <c r="H1448" s="8">
        <v>0.61180000000000001</v>
      </c>
    </row>
    <row r="1449" spans="1:8" x14ac:dyDescent="0.3">
      <c r="A1449" s="22" t="s">
        <v>68</v>
      </c>
      <c r="B1449">
        <v>43</v>
      </c>
      <c r="C1449" t="s">
        <v>64</v>
      </c>
      <c r="D1449">
        <v>195</v>
      </c>
      <c r="F1449" s="8">
        <v>0.27910000000000001</v>
      </c>
      <c r="G1449" s="8">
        <v>0.1163</v>
      </c>
      <c r="H1449" s="8">
        <v>0.60470000000000002</v>
      </c>
    </row>
    <row r="1451" spans="1:8" ht="72" x14ac:dyDescent="0.3">
      <c r="A1451" s="22" t="s">
        <v>421</v>
      </c>
    </row>
    <row r="1452" spans="1:8" x14ac:dyDescent="0.3">
      <c r="A1452" s="22" t="s">
        <v>66</v>
      </c>
      <c r="B1452" t="s">
        <v>62</v>
      </c>
      <c r="C1452" t="s">
        <v>57</v>
      </c>
      <c r="D1452" t="s">
        <v>63</v>
      </c>
      <c r="E1452" t="s">
        <v>410</v>
      </c>
      <c r="F1452" t="s">
        <v>411</v>
      </c>
      <c r="G1452" t="s">
        <v>412</v>
      </c>
      <c r="H1452" t="s">
        <v>413</v>
      </c>
    </row>
    <row r="1453" spans="1:8" x14ac:dyDescent="0.3">
      <c r="A1453" s="22" t="s">
        <v>67</v>
      </c>
      <c r="B1453">
        <v>147</v>
      </c>
      <c r="C1453" t="s">
        <v>64</v>
      </c>
      <c r="D1453">
        <v>195</v>
      </c>
      <c r="E1453" s="8">
        <v>1.3599999999999999E-2</v>
      </c>
      <c r="F1453" s="8">
        <v>0.34010000000000001</v>
      </c>
      <c r="G1453" s="8">
        <v>4.7600000000000003E-2</v>
      </c>
      <c r="H1453" s="8">
        <v>0.59860000000000002</v>
      </c>
    </row>
    <row r="1454" spans="1:8" x14ac:dyDescent="0.3">
      <c r="A1454" s="22" t="s">
        <v>68</v>
      </c>
      <c r="B1454">
        <v>48</v>
      </c>
      <c r="C1454" t="s">
        <v>64</v>
      </c>
      <c r="D1454">
        <v>195</v>
      </c>
      <c r="E1454" s="8">
        <v>2.0799999999999999E-2</v>
      </c>
      <c r="F1454" s="8">
        <v>0.27079999999999999</v>
      </c>
      <c r="G1454" s="8">
        <v>6.25E-2</v>
      </c>
      <c r="H1454" s="8">
        <v>0.64580000000000004</v>
      </c>
    </row>
    <row r="1456" spans="1:8" ht="72" x14ac:dyDescent="0.3">
      <c r="A1456" s="22" t="s">
        <v>422</v>
      </c>
    </row>
    <row r="1457" spans="1:8" x14ac:dyDescent="0.3">
      <c r="A1457" s="22" t="s">
        <v>66</v>
      </c>
      <c r="B1457" t="s">
        <v>62</v>
      </c>
      <c r="C1457" t="s">
        <v>57</v>
      </c>
      <c r="D1457" t="s">
        <v>63</v>
      </c>
      <c r="E1457" t="s">
        <v>410</v>
      </c>
      <c r="F1457" t="s">
        <v>411</v>
      </c>
      <c r="G1457" t="s">
        <v>412</v>
      </c>
      <c r="H1457" t="s">
        <v>413</v>
      </c>
    </row>
    <row r="1458" spans="1:8" x14ac:dyDescent="0.3">
      <c r="A1458" s="22" t="s">
        <v>67</v>
      </c>
      <c r="B1458">
        <v>182</v>
      </c>
      <c r="C1458" t="s">
        <v>64</v>
      </c>
      <c r="D1458">
        <v>195</v>
      </c>
      <c r="E1458" s="8">
        <v>1.6500000000000001E-2</v>
      </c>
      <c r="F1458" s="8">
        <v>0.3352</v>
      </c>
      <c r="G1458" s="8">
        <v>5.4899999999999997E-2</v>
      </c>
      <c r="H1458" s="8">
        <v>0.59340000000000004</v>
      </c>
    </row>
    <row r="1459" spans="1:8" x14ac:dyDescent="0.3">
      <c r="A1459" s="22" t="s">
        <v>68</v>
      </c>
      <c r="B1459">
        <v>13</v>
      </c>
      <c r="C1459" t="s">
        <v>64</v>
      </c>
      <c r="D1459">
        <v>195</v>
      </c>
      <c r="F1459" s="8">
        <v>0.15379999999999999</v>
      </c>
      <c r="H1459" s="8">
        <v>0.84619999999999995</v>
      </c>
    </row>
    <row r="1461" spans="1:8" ht="72" x14ac:dyDescent="0.3">
      <c r="A1461" s="22" t="s">
        <v>423</v>
      </c>
    </row>
    <row r="1462" spans="1:8" x14ac:dyDescent="0.3">
      <c r="A1462" s="22" t="s">
        <v>66</v>
      </c>
      <c r="B1462" t="s">
        <v>62</v>
      </c>
      <c r="C1462" t="s">
        <v>57</v>
      </c>
      <c r="D1462" t="s">
        <v>63</v>
      </c>
      <c r="E1462" t="s">
        <v>410</v>
      </c>
      <c r="F1462" t="s">
        <v>411</v>
      </c>
      <c r="G1462" t="s">
        <v>412</v>
      </c>
      <c r="H1462" t="s">
        <v>413</v>
      </c>
    </row>
    <row r="1463" spans="1:8" x14ac:dyDescent="0.3">
      <c r="A1463" s="22" t="s">
        <v>67</v>
      </c>
      <c r="B1463">
        <v>195</v>
      </c>
      <c r="C1463" t="s">
        <v>64</v>
      </c>
      <c r="D1463">
        <v>195</v>
      </c>
      <c r="E1463" s="8">
        <v>1.54E-2</v>
      </c>
      <c r="F1463" s="8">
        <v>0.3231</v>
      </c>
      <c r="G1463" s="8">
        <v>5.1299999999999998E-2</v>
      </c>
      <c r="H1463" s="8">
        <v>0.61029999999999995</v>
      </c>
    </row>
    <row r="1465" spans="1:8" ht="57.6" x14ac:dyDescent="0.3">
      <c r="A1465" s="22" t="s">
        <v>424</v>
      </c>
    </row>
    <row r="1466" spans="1:8" x14ac:dyDescent="0.3">
      <c r="A1466" s="22" t="s">
        <v>66</v>
      </c>
      <c r="B1466" t="s">
        <v>62</v>
      </c>
      <c r="C1466" t="s">
        <v>57</v>
      </c>
      <c r="D1466" t="s">
        <v>63</v>
      </c>
      <c r="E1466" t="s">
        <v>410</v>
      </c>
      <c r="F1466" t="s">
        <v>411</v>
      </c>
      <c r="G1466" t="s">
        <v>412</v>
      </c>
      <c r="H1466" t="s">
        <v>413</v>
      </c>
    </row>
    <row r="1467" spans="1:8" x14ac:dyDescent="0.3">
      <c r="A1467" s="22" t="s">
        <v>67</v>
      </c>
      <c r="B1467">
        <v>123</v>
      </c>
      <c r="C1467" t="s">
        <v>64</v>
      </c>
      <c r="D1467">
        <v>195</v>
      </c>
      <c r="E1467" s="8">
        <v>1.6299999999999999E-2</v>
      </c>
      <c r="F1467" s="8">
        <v>0.35770000000000002</v>
      </c>
      <c r="G1467" s="8">
        <v>6.5000000000000002E-2</v>
      </c>
      <c r="H1467" s="8">
        <v>0.56100000000000005</v>
      </c>
    </row>
    <row r="1468" spans="1:8" x14ac:dyDescent="0.3">
      <c r="A1468" s="22" t="s">
        <v>68</v>
      </c>
      <c r="B1468">
        <v>72</v>
      </c>
      <c r="C1468" t="s">
        <v>64</v>
      </c>
      <c r="D1468">
        <v>195</v>
      </c>
      <c r="E1468" s="8">
        <v>1.3899999999999999E-2</v>
      </c>
      <c r="F1468" s="8">
        <v>0.26390000000000002</v>
      </c>
      <c r="G1468" s="8">
        <v>2.7799999999999998E-2</v>
      </c>
      <c r="H1468" s="8">
        <v>0.69440000000000002</v>
      </c>
    </row>
    <row r="1470" spans="1:8" ht="72" x14ac:dyDescent="0.3">
      <c r="A1470" s="22" t="s">
        <v>425</v>
      </c>
    </row>
    <row r="1471" spans="1:8" x14ac:dyDescent="0.3">
      <c r="A1471" s="22" t="s">
        <v>66</v>
      </c>
      <c r="B1471" t="s">
        <v>62</v>
      </c>
      <c r="C1471" t="s">
        <v>57</v>
      </c>
      <c r="D1471" t="s">
        <v>63</v>
      </c>
      <c r="E1471" t="s">
        <v>410</v>
      </c>
      <c r="F1471" t="s">
        <v>411</v>
      </c>
      <c r="G1471" t="s">
        <v>412</v>
      </c>
      <c r="H1471" t="s">
        <v>413</v>
      </c>
    </row>
    <row r="1472" spans="1:8" x14ac:dyDescent="0.3">
      <c r="A1472" s="22" t="s">
        <v>67</v>
      </c>
      <c r="B1472">
        <v>176</v>
      </c>
      <c r="C1472" t="s">
        <v>64</v>
      </c>
      <c r="D1472">
        <v>195</v>
      </c>
      <c r="E1472" s="8">
        <v>1.14E-2</v>
      </c>
      <c r="F1472" s="8">
        <v>0.3352</v>
      </c>
      <c r="G1472" s="8">
        <v>5.11E-2</v>
      </c>
      <c r="H1472" s="8">
        <v>0.60229999999999995</v>
      </c>
    </row>
    <row r="1473" spans="1:8" x14ac:dyDescent="0.3">
      <c r="A1473" s="22" t="s">
        <v>68</v>
      </c>
      <c r="B1473">
        <v>19</v>
      </c>
      <c r="C1473" t="s">
        <v>64</v>
      </c>
      <c r="D1473">
        <v>195</v>
      </c>
      <c r="E1473" s="8">
        <v>5.2600000000000001E-2</v>
      </c>
      <c r="F1473" s="8">
        <v>0.21049999999999999</v>
      </c>
      <c r="G1473" s="8">
        <v>5.2600000000000001E-2</v>
      </c>
      <c r="H1473" s="8">
        <v>0.68420000000000003</v>
      </c>
    </row>
    <row r="1475" spans="1:8" ht="57.6" x14ac:dyDescent="0.3">
      <c r="A1475" s="22" t="s">
        <v>426</v>
      </c>
    </row>
    <row r="1476" spans="1:8" x14ac:dyDescent="0.3">
      <c r="A1476" s="22" t="s">
        <v>66</v>
      </c>
      <c r="B1476" t="s">
        <v>62</v>
      </c>
      <c r="C1476" t="s">
        <v>57</v>
      </c>
      <c r="D1476" t="s">
        <v>63</v>
      </c>
      <c r="E1476" t="s">
        <v>410</v>
      </c>
      <c r="F1476" t="s">
        <v>411</v>
      </c>
      <c r="G1476" t="s">
        <v>412</v>
      </c>
      <c r="H1476" t="s">
        <v>413</v>
      </c>
    </row>
    <row r="1477" spans="1:8" x14ac:dyDescent="0.3">
      <c r="A1477" s="22" t="s">
        <v>81</v>
      </c>
      <c r="B1477">
        <v>55</v>
      </c>
      <c r="C1477" t="s">
        <v>64</v>
      </c>
      <c r="D1477">
        <v>195</v>
      </c>
      <c r="F1477" s="8">
        <v>0.38179999999999997</v>
      </c>
      <c r="G1477" s="8">
        <v>9.0899999999999995E-2</v>
      </c>
      <c r="H1477" s="8">
        <v>0.52729999999999999</v>
      </c>
    </row>
    <row r="1478" spans="1:8" x14ac:dyDescent="0.3">
      <c r="A1478" s="22" t="s">
        <v>82</v>
      </c>
      <c r="B1478">
        <v>47</v>
      </c>
      <c r="C1478" t="s">
        <v>64</v>
      </c>
      <c r="D1478">
        <v>195</v>
      </c>
      <c r="E1478" s="8">
        <v>2.1299999999999999E-2</v>
      </c>
      <c r="F1478" s="8">
        <v>0.31909999999999999</v>
      </c>
      <c r="G1478" s="8">
        <v>4.2599999999999999E-2</v>
      </c>
      <c r="H1478" s="8">
        <v>0.61699999999999999</v>
      </c>
    </row>
    <row r="1479" spans="1:8" x14ac:dyDescent="0.3">
      <c r="A1479" s="22" t="s">
        <v>83</v>
      </c>
      <c r="B1479">
        <v>48</v>
      </c>
      <c r="C1479" t="s">
        <v>64</v>
      </c>
      <c r="D1479">
        <v>195</v>
      </c>
      <c r="E1479" s="8">
        <v>2.0799999999999999E-2</v>
      </c>
      <c r="F1479" s="8">
        <v>0.27079999999999999</v>
      </c>
      <c r="G1479" s="8">
        <v>6.25E-2</v>
      </c>
      <c r="H1479" s="8">
        <v>0.64580000000000004</v>
      </c>
    </row>
    <row r="1480" spans="1:8" x14ac:dyDescent="0.3">
      <c r="A1480" s="22" t="s">
        <v>84</v>
      </c>
      <c r="B1480">
        <v>45</v>
      </c>
      <c r="C1480" t="s">
        <v>64</v>
      </c>
      <c r="D1480">
        <v>195</v>
      </c>
      <c r="E1480" s="8">
        <v>2.2200000000000001E-2</v>
      </c>
      <c r="F1480" s="8">
        <v>0.31109999999999999</v>
      </c>
      <c r="H1480" s="8">
        <v>0.66669999999999996</v>
      </c>
    </row>
    <row r="1482" spans="1:8" ht="43.2" x14ac:dyDescent="0.3">
      <c r="A1482" s="22" t="s">
        <v>427</v>
      </c>
    </row>
    <row r="1483" spans="1:8" x14ac:dyDescent="0.3">
      <c r="A1483" s="22" t="s">
        <v>57</v>
      </c>
      <c r="B1483" t="s">
        <v>58</v>
      </c>
      <c r="C1483" t="s">
        <v>59</v>
      </c>
      <c r="D1483" t="s">
        <v>60</v>
      </c>
      <c r="E1483" t="s">
        <v>61</v>
      </c>
      <c r="F1483" t="s">
        <v>62</v>
      </c>
      <c r="G1483" t="s">
        <v>63</v>
      </c>
    </row>
    <row r="1484" spans="1:8" x14ac:dyDescent="0.3">
      <c r="A1484" s="22" t="s">
        <v>64</v>
      </c>
      <c r="B1484" s="25">
        <v>80.054054054054049</v>
      </c>
      <c r="C1484">
        <v>100</v>
      </c>
      <c r="D1484">
        <v>0</v>
      </c>
      <c r="E1484">
        <v>100</v>
      </c>
      <c r="F1484">
        <v>185</v>
      </c>
      <c r="G1484">
        <v>185</v>
      </c>
    </row>
    <row r="1486" spans="1:8" ht="72" x14ac:dyDescent="0.3">
      <c r="A1486" s="22" t="s">
        <v>428</v>
      </c>
      <c r="C1486" s="25"/>
    </row>
    <row r="1487" spans="1:8" x14ac:dyDescent="0.3">
      <c r="A1487" s="22" t="s">
        <v>57</v>
      </c>
      <c r="B1487" t="s">
        <v>66</v>
      </c>
      <c r="C1487" s="25" t="s">
        <v>58</v>
      </c>
      <c r="D1487" t="s">
        <v>59</v>
      </c>
      <c r="E1487" t="s">
        <v>60</v>
      </c>
      <c r="F1487" t="s">
        <v>61</v>
      </c>
      <c r="G1487" t="s">
        <v>62</v>
      </c>
      <c r="H1487" t="s">
        <v>63</v>
      </c>
    </row>
    <row r="1488" spans="1:8" x14ac:dyDescent="0.3">
      <c r="A1488" s="22" t="s">
        <v>64</v>
      </c>
      <c r="B1488" t="s">
        <v>67</v>
      </c>
      <c r="C1488" s="25">
        <v>79.604519774011294</v>
      </c>
      <c r="D1488">
        <v>100</v>
      </c>
      <c r="E1488">
        <v>0</v>
      </c>
      <c r="F1488">
        <v>100</v>
      </c>
      <c r="G1488">
        <v>177</v>
      </c>
      <c r="H1488">
        <v>185</v>
      </c>
    </row>
    <row r="1489" spans="1:8" x14ac:dyDescent="0.3">
      <c r="A1489" s="22" t="s">
        <v>64</v>
      </c>
      <c r="B1489" t="s">
        <v>68</v>
      </c>
      <c r="C1489" s="25">
        <v>90</v>
      </c>
      <c r="D1489">
        <v>100</v>
      </c>
      <c r="E1489">
        <v>50</v>
      </c>
      <c r="F1489">
        <v>100</v>
      </c>
      <c r="G1489">
        <v>8</v>
      </c>
      <c r="H1489">
        <v>185</v>
      </c>
    </row>
    <row r="1490" spans="1:8" x14ac:dyDescent="0.3">
      <c r="C1490" s="25"/>
    </row>
    <row r="1491" spans="1:8" x14ac:dyDescent="0.3">
      <c r="A1491"/>
      <c r="C1491" s="25"/>
    </row>
    <row r="1492" spans="1:8" x14ac:dyDescent="0.3">
      <c r="A1492"/>
      <c r="C1492" s="25"/>
    </row>
    <row r="1493" spans="1:8" x14ac:dyDescent="0.3">
      <c r="A1493"/>
      <c r="C1493" s="25"/>
    </row>
    <row r="1494" spans="1:8" x14ac:dyDescent="0.3">
      <c r="C1494" s="25"/>
    </row>
    <row r="1495" spans="1:8" ht="57.6" x14ac:dyDescent="0.3">
      <c r="A1495" s="22" t="s">
        <v>429</v>
      </c>
      <c r="C1495" s="25"/>
    </row>
    <row r="1496" spans="1:8" x14ac:dyDescent="0.3">
      <c r="A1496" s="22" t="s">
        <v>57</v>
      </c>
      <c r="B1496" t="s">
        <v>66</v>
      </c>
      <c r="C1496" s="25" t="s">
        <v>58</v>
      </c>
      <c r="D1496" t="s">
        <v>59</v>
      </c>
      <c r="E1496" t="s">
        <v>60</v>
      </c>
      <c r="F1496" t="s">
        <v>61</v>
      </c>
      <c r="G1496" t="s">
        <v>62</v>
      </c>
      <c r="H1496" t="s">
        <v>63</v>
      </c>
    </row>
    <row r="1497" spans="1:8" x14ac:dyDescent="0.3">
      <c r="A1497" s="22" t="s">
        <v>64</v>
      </c>
      <c r="B1497" t="s">
        <v>67</v>
      </c>
      <c r="C1497" s="25">
        <v>79.715909090909093</v>
      </c>
      <c r="D1497">
        <v>100</v>
      </c>
      <c r="E1497">
        <v>0</v>
      </c>
      <c r="F1497">
        <v>100</v>
      </c>
      <c r="G1497">
        <v>176</v>
      </c>
      <c r="H1497">
        <v>185</v>
      </c>
    </row>
    <row r="1498" spans="1:8" x14ac:dyDescent="0.3">
      <c r="A1498" s="22" t="s">
        <v>64</v>
      </c>
      <c r="B1498" t="s">
        <v>68</v>
      </c>
      <c r="C1498" s="25">
        <v>86.666666666666671</v>
      </c>
      <c r="D1498">
        <v>100</v>
      </c>
      <c r="E1498">
        <v>25</v>
      </c>
      <c r="F1498">
        <v>100</v>
      </c>
      <c r="G1498">
        <v>9</v>
      </c>
      <c r="H1498">
        <v>185</v>
      </c>
    </row>
    <row r="1499" spans="1:8" x14ac:dyDescent="0.3">
      <c r="C1499" s="25"/>
    </row>
    <row r="1500" spans="1:8" ht="57.6" x14ac:dyDescent="0.3">
      <c r="A1500" s="22" t="s">
        <v>430</v>
      </c>
      <c r="C1500" s="25"/>
    </row>
    <row r="1501" spans="1:8" x14ac:dyDescent="0.3">
      <c r="A1501" s="22" t="s">
        <v>57</v>
      </c>
      <c r="B1501" t="s">
        <v>66</v>
      </c>
      <c r="C1501" s="25" t="s">
        <v>58</v>
      </c>
      <c r="D1501" t="s">
        <v>59</v>
      </c>
      <c r="E1501" t="s">
        <v>60</v>
      </c>
      <c r="F1501" t="s">
        <v>61</v>
      </c>
      <c r="G1501" t="s">
        <v>62</v>
      </c>
      <c r="H1501" t="s">
        <v>63</v>
      </c>
    </row>
    <row r="1502" spans="1:8" x14ac:dyDescent="0.3">
      <c r="A1502" s="22" t="s">
        <v>64</v>
      </c>
      <c r="B1502" t="s">
        <v>67</v>
      </c>
      <c r="C1502" s="25">
        <v>79.945652173913047</v>
      </c>
      <c r="D1502">
        <v>100</v>
      </c>
      <c r="E1502">
        <v>0</v>
      </c>
      <c r="F1502">
        <v>100</v>
      </c>
      <c r="G1502">
        <v>184</v>
      </c>
      <c r="H1502">
        <v>185</v>
      </c>
    </row>
    <row r="1503" spans="1:8" x14ac:dyDescent="0.3">
      <c r="A1503" s="22" t="s">
        <v>64</v>
      </c>
      <c r="B1503" t="s">
        <v>68</v>
      </c>
      <c r="C1503" s="25">
        <v>100</v>
      </c>
      <c r="D1503">
        <v>100</v>
      </c>
      <c r="E1503">
        <v>100</v>
      </c>
      <c r="F1503">
        <v>100</v>
      </c>
      <c r="G1503">
        <v>1</v>
      </c>
      <c r="H1503">
        <v>185</v>
      </c>
    </row>
    <row r="1504" spans="1:8" x14ac:dyDescent="0.3">
      <c r="C1504" s="25"/>
    </row>
    <row r="1505" spans="1:8" ht="72" x14ac:dyDescent="0.3">
      <c r="A1505" s="22" t="s">
        <v>431</v>
      </c>
      <c r="C1505" s="25"/>
    </row>
    <row r="1506" spans="1:8" x14ac:dyDescent="0.3">
      <c r="A1506" s="22" t="s">
        <v>57</v>
      </c>
      <c r="B1506" t="s">
        <v>66</v>
      </c>
      <c r="C1506" s="25" t="s">
        <v>58</v>
      </c>
      <c r="D1506" t="s">
        <v>59</v>
      </c>
      <c r="E1506" t="s">
        <v>60</v>
      </c>
      <c r="F1506" t="s">
        <v>61</v>
      </c>
      <c r="G1506" t="s">
        <v>62</v>
      </c>
      <c r="H1506" t="s">
        <v>63</v>
      </c>
    </row>
    <row r="1507" spans="1:8" x14ac:dyDescent="0.3">
      <c r="A1507" s="22" t="s">
        <v>64</v>
      </c>
      <c r="B1507" t="s">
        <v>67</v>
      </c>
      <c r="C1507" s="25">
        <v>79.6264367816092</v>
      </c>
      <c r="D1507">
        <v>100</v>
      </c>
      <c r="E1507">
        <v>0</v>
      </c>
      <c r="F1507">
        <v>100</v>
      </c>
      <c r="G1507">
        <v>174</v>
      </c>
      <c r="H1507">
        <v>185</v>
      </c>
    </row>
    <row r="1508" spans="1:8" x14ac:dyDescent="0.3">
      <c r="A1508" s="22" t="s">
        <v>64</v>
      </c>
      <c r="B1508" t="s">
        <v>68</v>
      </c>
      <c r="C1508" s="25">
        <v>86.818181818181813</v>
      </c>
      <c r="D1508">
        <v>100</v>
      </c>
      <c r="E1508">
        <v>30</v>
      </c>
      <c r="F1508">
        <v>100</v>
      </c>
      <c r="G1508">
        <v>11</v>
      </c>
      <c r="H1508">
        <v>185</v>
      </c>
    </row>
    <row r="1509" spans="1:8" x14ac:dyDescent="0.3">
      <c r="C1509" s="25"/>
    </row>
    <row r="1510" spans="1:8" ht="72" x14ac:dyDescent="0.3">
      <c r="A1510" s="22" t="s">
        <v>432</v>
      </c>
      <c r="C1510" s="25"/>
    </row>
    <row r="1511" spans="1:8" x14ac:dyDescent="0.3">
      <c r="A1511" s="22" t="s">
        <v>57</v>
      </c>
      <c r="B1511" t="s">
        <v>66</v>
      </c>
      <c r="C1511" s="25" t="s">
        <v>58</v>
      </c>
      <c r="D1511" t="s">
        <v>59</v>
      </c>
      <c r="E1511" t="s">
        <v>60</v>
      </c>
      <c r="F1511" t="s">
        <v>61</v>
      </c>
      <c r="G1511" t="s">
        <v>62</v>
      </c>
      <c r="H1511" t="s">
        <v>63</v>
      </c>
    </row>
    <row r="1512" spans="1:8" x14ac:dyDescent="0.3">
      <c r="A1512" s="22" t="s">
        <v>64</v>
      </c>
      <c r="B1512" t="s">
        <v>67</v>
      </c>
      <c r="C1512" s="25">
        <v>100</v>
      </c>
      <c r="D1512">
        <v>100</v>
      </c>
      <c r="E1512">
        <v>100</v>
      </c>
      <c r="F1512">
        <v>100</v>
      </c>
      <c r="G1512">
        <v>5</v>
      </c>
      <c r="H1512">
        <v>185</v>
      </c>
    </row>
    <row r="1513" spans="1:8" x14ac:dyDescent="0.3">
      <c r="A1513" s="22" t="s">
        <v>64</v>
      </c>
      <c r="B1513" t="s">
        <v>68</v>
      </c>
      <c r="C1513" s="25">
        <v>79.5</v>
      </c>
      <c r="D1513">
        <v>100</v>
      </c>
      <c r="E1513">
        <v>0</v>
      </c>
      <c r="F1513">
        <v>100</v>
      </c>
      <c r="G1513">
        <v>180</v>
      </c>
      <c r="H1513">
        <v>185</v>
      </c>
    </row>
    <row r="1514" spans="1:8" x14ac:dyDescent="0.3">
      <c r="C1514" s="25"/>
    </row>
    <row r="1515" spans="1:8" ht="57.6" x14ac:dyDescent="0.3">
      <c r="A1515" s="22" t="s">
        <v>433</v>
      </c>
      <c r="C1515" s="25"/>
    </row>
    <row r="1516" spans="1:8" x14ac:dyDescent="0.3">
      <c r="A1516" s="22" t="s">
        <v>57</v>
      </c>
      <c r="B1516" t="s">
        <v>66</v>
      </c>
      <c r="C1516" s="25" t="s">
        <v>58</v>
      </c>
      <c r="D1516" t="s">
        <v>59</v>
      </c>
      <c r="E1516" t="s">
        <v>60</v>
      </c>
      <c r="F1516" t="s">
        <v>61</v>
      </c>
      <c r="G1516" t="s">
        <v>62</v>
      </c>
      <c r="H1516" t="s">
        <v>63</v>
      </c>
    </row>
    <row r="1517" spans="1:8" x14ac:dyDescent="0.3">
      <c r="A1517" s="22" t="s">
        <v>64</v>
      </c>
      <c r="B1517" t="s">
        <v>67</v>
      </c>
      <c r="C1517" s="25">
        <v>81.452702702702709</v>
      </c>
      <c r="D1517">
        <v>100</v>
      </c>
      <c r="E1517">
        <v>0</v>
      </c>
      <c r="F1517">
        <v>100</v>
      </c>
      <c r="G1517">
        <v>148</v>
      </c>
      <c r="H1517">
        <v>185</v>
      </c>
    </row>
    <row r="1518" spans="1:8" x14ac:dyDescent="0.3">
      <c r="A1518" s="22" t="s">
        <v>64</v>
      </c>
      <c r="B1518" t="s">
        <v>68</v>
      </c>
      <c r="C1518" s="25">
        <v>74.459459459459453</v>
      </c>
      <c r="D1518">
        <v>100</v>
      </c>
      <c r="E1518">
        <v>0</v>
      </c>
      <c r="F1518">
        <v>100</v>
      </c>
      <c r="G1518">
        <v>37</v>
      </c>
      <c r="H1518">
        <v>185</v>
      </c>
    </row>
    <row r="1519" spans="1:8" x14ac:dyDescent="0.3">
      <c r="C1519" s="25"/>
    </row>
    <row r="1520" spans="1:8" ht="57.6" x14ac:dyDescent="0.3">
      <c r="A1520" s="22" t="s">
        <v>434</v>
      </c>
      <c r="C1520" s="25"/>
    </row>
    <row r="1521" spans="1:8" x14ac:dyDescent="0.3">
      <c r="A1521" s="22" t="s">
        <v>57</v>
      </c>
      <c r="B1521" t="s">
        <v>66</v>
      </c>
      <c r="C1521" s="25" t="s">
        <v>58</v>
      </c>
      <c r="D1521" t="s">
        <v>59</v>
      </c>
      <c r="E1521" t="s">
        <v>60</v>
      </c>
      <c r="F1521" t="s">
        <v>61</v>
      </c>
      <c r="G1521" t="s">
        <v>62</v>
      </c>
      <c r="H1521" t="s">
        <v>63</v>
      </c>
    </row>
    <row r="1522" spans="1:8" x14ac:dyDescent="0.3">
      <c r="A1522" s="22" t="s">
        <v>64</v>
      </c>
      <c r="B1522" t="s">
        <v>67</v>
      </c>
      <c r="C1522" s="25">
        <v>79.761904761904759</v>
      </c>
      <c r="D1522">
        <v>100</v>
      </c>
      <c r="E1522">
        <v>0</v>
      </c>
      <c r="F1522">
        <v>100</v>
      </c>
      <c r="G1522">
        <v>147</v>
      </c>
      <c r="H1522">
        <v>185</v>
      </c>
    </row>
    <row r="1523" spans="1:8" x14ac:dyDescent="0.3">
      <c r="A1523" s="22" t="s">
        <v>64</v>
      </c>
      <c r="B1523" t="s">
        <v>68</v>
      </c>
      <c r="C1523" s="25">
        <v>81.184210526315795</v>
      </c>
      <c r="D1523">
        <v>100</v>
      </c>
      <c r="E1523">
        <v>10</v>
      </c>
      <c r="F1523">
        <v>100</v>
      </c>
      <c r="G1523">
        <v>38</v>
      </c>
      <c r="H1523">
        <v>185</v>
      </c>
    </row>
    <row r="1524" spans="1:8" x14ac:dyDescent="0.3">
      <c r="C1524" s="25"/>
    </row>
    <row r="1525" spans="1:8" ht="72" x14ac:dyDescent="0.3">
      <c r="A1525" s="22" t="s">
        <v>435</v>
      </c>
      <c r="C1525" s="25"/>
    </row>
    <row r="1526" spans="1:8" x14ac:dyDescent="0.3">
      <c r="A1526" s="22" t="s">
        <v>57</v>
      </c>
      <c r="B1526" t="s">
        <v>66</v>
      </c>
      <c r="C1526" s="25" t="s">
        <v>58</v>
      </c>
      <c r="D1526" t="s">
        <v>59</v>
      </c>
      <c r="E1526" t="s">
        <v>60</v>
      </c>
      <c r="F1526" t="s">
        <v>61</v>
      </c>
      <c r="G1526" t="s">
        <v>62</v>
      </c>
      <c r="H1526" t="s">
        <v>63</v>
      </c>
    </row>
    <row r="1527" spans="1:8" x14ac:dyDescent="0.3">
      <c r="A1527" s="22" t="s">
        <v>64</v>
      </c>
      <c r="B1527" t="s">
        <v>67</v>
      </c>
      <c r="C1527" s="25">
        <v>79.5</v>
      </c>
      <c r="D1527">
        <v>100</v>
      </c>
      <c r="E1527">
        <v>0</v>
      </c>
      <c r="F1527">
        <v>100</v>
      </c>
      <c r="G1527">
        <v>140</v>
      </c>
      <c r="H1527">
        <v>185</v>
      </c>
    </row>
    <row r="1528" spans="1:8" x14ac:dyDescent="0.3">
      <c r="A1528" s="22" t="s">
        <v>64</v>
      </c>
      <c r="B1528" t="s">
        <v>68</v>
      </c>
      <c r="C1528" s="25">
        <v>81.777777777777771</v>
      </c>
      <c r="D1528">
        <v>100</v>
      </c>
      <c r="E1528">
        <v>0</v>
      </c>
      <c r="F1528">
        <v>100</v>
      </c>
      <c r="G1528">
        <v>45</v>
      </c>
      <c r="H1528">
        <v>185</v>
      </c>
    </row>
    <row r="1529" spans="1:8" x14ac:dyDescent="0.3">
      <c r="C1529" s="25"/>
    </row>
    <row r="1530" spans="1:8" ht="72" x14ac:dyDescent="0.3">
      <c r="A1530" s="22" t="s">
        <v>436</v>
      </c>
      <c r="C1530" s="25"/>
    </row>
    <row r="1531" spans="1:8" x14ac:dyDescent="0.3">
      <c r="A1531" s="22" t="s">
        <v>57</v>
      </c>
      <c r="B1531" t="s">
        <v>66</v>
      </c>
      <c r="C1531" s="25" t="s">
        <v>58</v>
      </c>
      <c r="D1531" t="s">
        <v>59</v>
      </c>
      <c r="E1531" t="s">
        <v>60</v>
      </c>
      <c r="F1531" t="s">
        <v>61</v>
      </c>
      <c r="G1531" t="s">
        <v>62</v>
      </c>
      <c r="H1531" t="s">
        <v>63</v>
      </c>
    </row>
    <row r="1532" spans="1:8" x14ac:dyDescent="0.3">
      <c r="A1532" s="22" t="s">
        <v>64</v>
      </c>
      <c r="B1532" t="s">
        <v>67</v>
      </c>
      <c r="C1532" s="25">
        <v>79.186046511627907</v>
      </c>
      <c r="D1532">
        <v>100</v>
      </c>
      <c r="E1532">
        <v>0</v>
      </c>
      <c r="F1532">
        <v>100</v>
      </c>
      <c r="G1532">
        <v>172</v>
      </c>
      <c r="H1532">
        <v>185</v>
      </c>
    </row>
    <row r="1533" spans="1:8" x14ac:dyDescent="0.3">
      <c r="A1533" s="22" t="s">
        <v>64</v>
      </c>
      <c r="B1533" t="s">
        <v>68</v>
      </c>
      <c r="C1533" s="25">
        <v>91.538461538461533</v>
      </c>
      <c r="D1533">
        <v>100</v>
      </c>
      <c r="E1533">
        <v>40</v>
      </c>
      <c r="F1533">
        <v>100</v>
      </c>
      <c r="G1533">
        <v>13</v>
      </c>
      <c r="H1533">
        <v>185</v>
      </c>
    </row>
    <row r="1534" spans="1:8" x14ac:dyDescent="0.3">
      <c r="C1534" s="25"/>
    </row>
    <row r="1535" spans="1:8" ht="72" x14ac:dyDescent="0.3">
      <c r="A1535" s="22" t="s">
        <v>437</v>
      </c>
      <c r="C1535" s="25"/>
    </row>
    <row r="1536" spans="1:8" x14ac:dyDescent="0.3">
      <c r="A1536" s="22" t="s">
        <v>57</v>
      </c>
      <c r="B1536" t="s">
        <v>66</v>
      </c>
      <c r="C1536" s="25" t="s">
        <v>58</v>
      </c>
      <c r="D1536" t="s">
        <v>59</v>
      </c>
      <c r="E1536" t="s">
        <v>60</v>
      </c>
      <c r="F1536" t="s">
        <v>61</v>
      </c>
      <c r="G1536" t="s">
        <v>62</v>
      </c>
      <c r="H1536" t="s">
        <v>63</v>
      </c>
    </row>
    <row r="1537" spans="1:8" x14ac:dyDescent="0.3">
      <c r="A1537" s="22" t="s">
        <v>64</v>
      </c>
      <c r="B1537" t="s">
        <v>67</v>
      </c>
      <c r="C1537" s="25">
        <v>80.054054054054049</v>
      </c>
      <c r="D1537">
        <v>100</v>
      </c>
      <c r="E1537">
        <v>0</v>
      </c>
      <c r="F1537">
        <v>100</v>
      </c>
      <c r="G1537">
        <v>185</v>
      </c>
      <c r="H1537">
        <v>185</v>
      </c>
    </row>
    <row r="1538" spans="1:8" x14ac:dyDescent="0.3">
      <c r="C1538" s="25"/>
    </row>
    <row r="1539" spans="1:8" ht="57.6" x14ac:dyDescent="0.3">
      <c r="A1539" s="22" t="s">
        <v>438</v>
      </c>
      <c r="C1539" s="25"/>
    </row>
    <row r="1540" spans="1:8" x14ac:dyDescent="0.3">
      <c r="A1540" s="22" t="s">
        <v>57</v>
      </c>
      <c r="B1540" t="s">
        <v>66</v>
      </c>
      <c r="C1540" s="25" t="s">
        <v>58</v>
      </c>
      <c r="D1540" t="s">
        <v>59</v>
      </c>
      <c r="E1540" t="s">
        <v>60</v>
      </c>
      <c r="F1540" t="s">
        <v>61</v>
      </c>
      <c r="G1540" t="s">
        <v>62</v>
      </c>
      <c r="H1540" t="s">
        <v>63</v>
      </c>
    </row>
    <row r="1541" spans="1:8" x14ac:dyDescent="0.3">
      <c r="A1541" s="22" t="s">
        <v>64</v>
      </c>
      <c r="B1541" t="s">
        <v>67</v>
      </c>
      <c r="C1541" s="25">
        <v>78.130434782608702</v>
      </c>
      <c r="D1541">
        <v>100</v>
      </c>
      <c r="E1541">
        <v>0</v>
      </c>
      <c r="F1541">
        <v>100</v>
      </c>
      <c r="G1541">
        <v>115</v>
      </c>
      <c r="H1541">
        <v>185</v>
      </c>
    </row>
    <row r="1542" spans="1:8" x14ac:dyDescent="0.3">
      <c r="A1542" s="22" t="s">
        <v>64</v>
      </c>
      <c r="B1542" t="s">
        <v>68</v>
      </c>
      <c r="C1542" s="25">
        <v>83.214285714285708</v>
      </c>
      <c r="D1542">
        <v>100</v>
      </c>
      <c r="E1542">
        <v>0</v>
      </c>
      <c r="F1542">
        <v>100</v>
      </c>
      <c r="G1542">
        <v>70</v>
      </c>
      <c r="H1542">
        <v>185</v>
      </c>
    </row>
    <row r="1543" spans="1:8" x14ac:dyDescent="0.3">
      <c r="C1543" s="25"/>
    </row>
    <row r="1544" spans="1:8" ht="72" x14ac:dyDescent="0.3">
      <c r="A1544" s="22" t="s">
        <v>439</v>
      </c>
      <c r="C1544" s="25"/>
    </row>
    <row r="1545" spans="1:8" x14ac:dyDescent="0.3">
      <c r="A1545" s="22" t="s">
        <v>57</v>
      </c>
      <c r="B1545" t="s">
        <v>66</v>
      </c>
      <c r="C1545" s="25" t="s">
        <v>58</v>
      </c>
      <c r="D1545" t="s">
        <v>59</v>
      </c>
      <c r="E1545" t="s">
        <v>60</v>
      </c>
      <c r="F1545" t="s">
        <v>61</v>
      </c>
      <c r="G1545" t="s">
        <v>62</v>
      </c>
      <c r="H1545" t="s">
        <v>63</v>
      </c>
    </row>
    <row r="1546" spans="1:8" x14ac:dyDescent="0.3">
      <c r="A1546" s="22" t="s">
        <v>64</v>
      </c>
      <c r="B1546" t="s">
        <v>67</v>
      </c>
      <c r="C1546" s="25">
        <v>79.52095808383234</v>
      </c>
      <c r="D1546">
        <v>100</v>
      </c>
      <c r="E1546">
        <v>0</v>
      </c>
      <c r="F1546">
        <v>100</v>
      </c>
      <c r="G1546">
        <v>167</v>
      </c>
      <c r="H1546">
        <v>185</v>
      </c>
    </row>
    <row r="1547" spans="1:8" x14ac:dyDescent="0.3">
      <c r="A1547" s="22" t="s">
        <v>64</v>
      </c>
      <c r="B1547" t="s">
        <v>68</v>
      </c>
      <c r="C1547" s="25">
        <v>85</v>
      </c>
      <c r="D1547">
        <v>100</v>
      </c>
      <c r="E1547">
        <v>0</v>
      </c>
      <c r="F1547">
        <v>100</v>
      </c>
      <c r="G1547">
        <v>18</v>
      </c>
      <c r="H1547">
        <v>185</v>
      </c>
    </row>
    <row r="1548" spans="1:8" x14ac:dyDescent="0.3">
      <c r="C1548" s="25"/>
    </row>
    <row r="1549" spans="1:8" ht="57.6" x14ac:dyDescent="0.3">
      <c r="A1549" s="22" t="s">
        <v>440</v>
      </c>
      <c r="C1549" s="25"/>
    </row>
    <row r="1550" spans="1:8" x14ac:dyDescent="0.3">
      <c r="A1550" s="22" t="s">
        <v>57</v>
      </c>
      <c r="B1550" t="s">
        <v>66</v>
      </c>
      <c r="C1550" s="25" t="s">
        <v>58</v>
      </c>
      <c r="D1550" t="s">
        <v>59</v>
      </c>
      <c r="E1550" t="s">
        <v>60</v>
      </c>
      <c r="F1550" t="s">
        <v>61</v>
      </c>
      <c r="G1550" t="s">
        <v>62</v>
      </c>
      <c r="H1550" t="s">
        <v>63</v>
      </c>
    </row>
    <row r="1551" spans="1:8" x14ac:dyDescent="0.3">
      <c r="A1551" s="22" t="s">
        <v>64</v>
      </c>
      <c r="B1551" t="s">
        <v>81</v>
      </c>
      <c r="C1551" s="25">
        <v>73</v>
      </c>
      <c r="D1551">
        <v>100</v>
      </c>
      <c r="E1551">
        <v>5</v>
      </c>
      <c r="F1551">
        <v>100</v>
      </c>
      <c r="G1551">
        <v>50</v>
      </c>
      <c r="H1551">
        <v>185</v>
      </c>
    </row>
    <row r="1552" spans="1:8" x14ac:dyDescent="0.3">
      <c r="A1552" s="22" t="s">
        <v>64</v>
      </c>
      <c r="B1552" t="s">
        <v>82</v>
      </c>
      <c r="C1552" s="25">
        <v>83.222222222222229</v>
      </c>
      <c r="D1552">
        <v>100</v>
      </c>
      <c r="E1552">
        <v>0</v>
      </c>
      <c r="F1552">
        <v>100</v>
      </c>
      <c r="G1552">
        <v>45</v>
      </c>
      <c r="H1552">
        <v>185</v>
      </c>
    </row>
    <row r="1553" spans="1:8" x14ac:dyDescent="0.3">
      <c r="A1553" s="22" t="s">
        <v>64</v>
      </c>
      <c r="B1553" t="s">
        <v>83</v>
      </c>
      <c r="C1553" s="25">
        <v>83.333333333333329</v>
      </c>
      <c r="D1553">
        <v>100</v>
      </c>
      <c r="E1553">
        <v>0</v>
      </c>
      <c r="F1553">
        <v>100</v>
      </c>
      <c r="G1553">
        <v>45</v>
      </c>
      <c r="H1553">
        <v>185</v>
      </c>
    </row>
    <row r="1554" spans="1:8" x14ac:dyDescent="0.3">
      <c r="A1554" s="22" t="s">
        <v>64</v>
      </c>
      <c r="B1554" t="s">
        <v>84</v>
      </c>
      <c r="C1554" s="25">
        <v>81.444444444444443</v>
      </c>
      <c r="D1554">
        <v>100</v>
      </c>
      <c r="E1554">
        <v>0</v>
      </c>
      <c r="F1554">
        <v>100</v>
      </c>
      <c r="G1554">
        <v>45</v>
      </c>
      <c r="H1554">
        <v>185</v>
      </c>
    </row>
    <row r="1555" spans="1:8" x14ac:dyDescent="0.3">
      <c r="C1555" s="25"/>
    </row>
    <row r="1556" spans="1:8" ht="43.2" x14ac:dyDescent="0.3">
      <c r="A1556" s="22" t="s">
        <v>441</v>
      </c>
      <c r="C1556" s="25"/>
    </row>
    <row r="1557" spans="1:8" x14ac:dyDescent="0.3">
      <c r="A1557" s="22" t="s">
        <v>62</v>
      </c>
      <c r="B1557" t="s">
        <v>57</v>
      </c>
      <c r="C1557" t="s">
        <v>63</v>
      </c>
      <c r="D1557" t="s">
        <v>410</v>
      </c>
      <c r="E1557" t="s">
        <v>411</v>
      </c>
      <c r="F1557" t="s">
        <v>239</v>
      </c>
      <c r="G1557" t="s">
        <v>413</v>
      </c>
    </row>
    <row r="1558" spans="1:8" x14ac:dyDescent="0.3">
      <c r="A1558" s="22">
        <v>130</v>
      </c>
      <c r="B1558" t="s">
        <v>64</v>
      </c>
      <c r="C1558">
        <v>130</v>
      </c>
      <c r="D1558" s="8">
        <v>1.54E-2</v>
      </c>
      <c r="E1558" s="8">
        <v>0.43080000000000002</v>
      </c>
      <c r="F1558" s="8">
        <v>3.0800000000000001E-2</v>
      </c>
      <c r="G1558" s="8">
        <v>0.52310000000000001</v>
      </c>
    </row>
    <row r="1560" spans="1:8" ht="57.6" x14ac:dyDescent="0.3">
      <c r="A1560" s="22" t="s">
        <v>442</v>
      </c>
    </row>
    <row r="1561" spans="1:8" x14ac:dyDescent="0.3">
      <c r="A1561" s="22" t="s">
        <v>66</v>
      </c>
      <c r="B1561" t="s">
        <v>62</v>
      </c>
      <c r="C1561" t="s">
        <v>57</v>
      </c>
      <c r="D1561" t="s">
        <v>63</v>
      </c>
      <c r="E1561" t="s">
        <v>410</v>
      </c>
      <c r="F1561" t="s">
        <v>411</v>
      </c>
      <c r="G1561" t="s">
        <v>239</v>
      </c>
      <c r="H1561" t="s">
        <v>413</v>
      </c>
    </row>
    <row r="1562" spans="1:8" x14ac:dyDescent="0.3">
      <c r="A1562" s="22" t="s">
        <v>67</v>
      </c>
      <c r="B1562">
        <v>123</v>
      </c>
      <c r="C1562" t="s">
        <v>64</v>
      </c>
      <c r="D1562">
        <v>130</v>
      </c>
      <c r="E1562" s="8">
        <v>1.6299999999999999E-2</v>
      </c>
      <c r="F1562" s="8">
        <v>0.44719999999999999</v>
      </c>
      <c r="G1562" s="8">
        <v>2.4400000000000002E-2</v>
      </c>
      <c r="H1562" s="8">
        <v>0.51219999999999999</v>
      </c>
    </row>
    <row r="1563" spans="1:8" x14ac:dyDescent="0.3">
      <c r="A1563" s="22" t="s">
        <v>68</v>
      </c>
      <c r="B1563">
        <v>7</v>
      </c>
      <c r="C1563" t="s">
        <v>64</v>
      </c>
      <c r="D1563">
        <v>130</v>
      </c>
      <c r="F1563" s="8">
        <v>0.1429</v>
      </c>
      <c r="G1563" s="8">
        <v>0.1429</v>
      </c>
      <c r="H1563" s="8">
        <v>0.71430000000000005</v>
      </c>
    </row>
    <row r="1565" spans="1:8" x14ac:dyDescent="0.3">
      <c r="A1565"/>
    </row>
    <row r="1566" spans="1:8" x14ac:dyDescent="0.3">
      <c r="A1566"/>
    </row>
    <row r="1567" spans="1:8" x14ac:dyDescent="0.3">
      <c r="A1567"/>
    </row>
    <row r="1569" spans="1:8" ht="57.6" x14ac:dyDescent="0.3">
      <c r="A1569" s="22" t="s">
        <v>443</v>
      </c>
    </row>
    <row r="1570" spans="1:8" x14ac:dyDescent="0.3">
      <c r="A1570" s="22" t="s">
        <v>66</v>
      </c>
      <c r="B1570" t="s">
        <v>62</v>
      </c>
      <c r="C1570" t="s">
        <v>57</v>
      </c>
      <c r="D1570" t="s">
        <v>63</v>
      </c>
      <c r="E1570" t="s">
        <v>410</v>
      </c>
      <c r="F1570" t="s">
        <v>411</v>
      </c>
      <c r="G1570" t="s">
        <v>239</v>
      </c>
      <c r="H1570" t="s">
        <v>413</v>
      </c>
    </row>
    <row r="1571" spans="1:8" x14ac:dyDescent="0.3">
      <c r="A1571" s="22" t="s">
        <v>67</v>
      </c>
      <c r="B1571">
        <v>124</v>
      </c>
      <c r="C1571" t="s">
        <v>64</v>
      </c>
      <c r="D1571">
        <v>130</v>
      </c>
      <c r="E1571" s="8">
        <v>1.61E-2</v>
      </c>
      <c r="F1571" s="8">
        <v>0.44350000000000001</v>
      </c>
      <c r="G1571" s="8">
        <v>3.2300000000000002E-2</v>
      </c>
      <c r="H1571" s="8">
        <v>0.5081</v>
      </c>
    </row>
    <row r="1572" spans="1:8" x14ac:dyDescent="0.3">
      <c r="A1572" s="22" t="s">
        <v>68</v>
      </c>
      <c r="B1572">
        <v>6</v>
      </c>
      <c r="C1572" t="s">
        <v>64</v>
      </c>
      <c r="D1572">
        <v>130</v>
      </c>
      <c r="F1572" s="8">
        <v>0.16669999999999999</v>
      </c>
      <c r="H1572" s="8">
        <v>0.83330000000000004</v>
      </c>
    </row>
    <row r="1574" spans="1:8" ht="57.6" x14ac:dyDescent="0.3">
      <c r="A1574" s="22" t="s">
        <v>444</v>
      </c>
    </row>
    <row r="1575" spans="1:8" x14ac:dyDescent="0.3">
      <c r="A1575" s="22" t="s">
        <v>66</v>
      </c>
      <c r="B1575" t="s">
        <v>62</v>
      </c>
      <c r="C1575" t="s">
        <v>57</v>
      </c>
      <c r="D1575" t="s">
        <v>63</v>
      </c>
      <c r="E1575" t="s">
        <v>410</v>
      </c>
      <c r="F1575" t="s">
        <v>411</v>
      </c>
      <c r="G1575" t="s">
        <v>239</v>
      </c>
      <c r="H1575" t="s">
        <v>413</v>
      </c>
    </row>
    <row r="1576" spans="1:8" x14ac:dyDescent="0.3">
      <c r="A1576" s="22" t="s">
        <v>67</v>
      </c>
      <c r="B1576">
        <v>129</v>
      </c>
      <c r="C1576" t="s">
        <v>64</v>
      </c>
      <c r="D1576">
        <v>130</v>
      </c>
      <c r="E1576" s="8">
        <v>1.55E-2</v>
      </c>
      <c r="F1576" s="8">
        <v>0.4264</v>
      </c>
      <c r="G1576" s="8">
        <v>3.1E-2</v>
      </c>
      <c r="H1576" s="8">
        <v>0.52710000000000001</v>
      </c>
    </row>
    <row r="1577" spans="1:8" x14ac:dyDescent="0.3">
      <c r="A1577" s="22" t="s">
        <v>68</v>
      </c>
      <c r="B1577">
        <v>1</v>
      </c>
      <c r="C1577" t="s">
        <v>64</v>
      </c>
      <c r="D1577">
        <v>130</v>
      </c>
      <c r="F1577" s="8">
        <v>1</v>
      </c>
    </row>
    <row r="1579" spans="1:8" ht="57.6" x14ac:dyDescent="0.3">
      <c r="A1579" s="22" t="s">
        <v>445</v>
      </c>
    </row>
    <row r="1580" spans="1:8" x14ac:dyDescent="0.3">
      <c r="A1580" s="22" t="s">
        <v>66</v>
      </c>
      <c r="B1580" t="s">
        <v>62</v>
      </c>
      <c r="C1580" t="s">
        <v>57</v>
      </c>
      <c r="D1580" t="s">
        <v>63</v>
      </c>
      <c r="E1580" t="s">
        <v>410</v>
      </c>
      <c r="F1580" t="s">
        <v>411</v>
      </c>
      <c r="G1580" t="s">
        <v>239</v>
      </c>
      <c r="H1580" t="s">
        <v>413</v>
      </c>
    </row>
    <row r="1581" spans="1:8" x14ac:dyDescent="0.3">
      <c r="A1581" s="22" t="s">
        <v>67</v>
      </c>
      <c r="B1581">
        <v>120</v>
      </c>
      <c r="C1581" t="s">
        <v>64</v>
      </c>
      <c r="D1581">
        <v>130</v>
      </c>
      <c r="E1581" s="8">
        <v>1.67E-2</v>
      </c>
      <c r="F1581" s="8">
        <v>0.43330000000000002</v>
      </c>
      <c r="G1581" s="8">
        <v>3.3300000000000003E-2</v>
      </c>
      <c r="H1581" s="8">
        <v>0.51670000000000005</v>
      </c>
    </row>
    <row r="1582" spans="1:8" x14ac:dyDescent="0.3">
      <c r="A1582" s="22" t="s">
        <v>68</v>
      </c>
      <c r="B1582">
        <v>10</v>
      </c>
      <c r="C1582" t="s">
        <v>64</v>
      </c>
      <c r="D1582">
        <v>130</v>
      </c>
      <c r="F1582" s="8">
        <v>0.4</v>
      </c>
      <c r="H1582" s="8">
        <v>0.6</v>
      </c>
    </row>
    <row r="1584" spans="1:8" ht="57.6" x14ac:dyDescent="0.3">
      <c r="A1584" s="22" t="s">
        <v>446</v>
      </c>
    </row>
    <row r="1585" spans="1:8" x14ac:dyDescent="0.3">
      <c r="A1585" s="22" t="s">
        <v>66</v>
      </c>
      <c r="B1585" t="s">
        <v>62</v>
      </c>
      <c r="C1585" t="s">
        <v>57</v>
      </c>
      <c r="D1585" t="s">
        <v>63</v>
      </c>
      <c r="E1585" t="s">
        <v>410</v>
      </c>
      <c r="F1585" t="s">
        <v>411</v>
      </c>
      <c r="G1585" t="s">
        <v>239</v>
      </c>
      <c r="H1585" t="s">
        <v>413</v>
      </c>
    </row>
    <row r="1586" spans="1:8" x14ac:dyDescent="0.3">
      <c r="A1586" s="22" t="s">
        <v>67</v>
      </c>
      <c r="B1586">
        <v>5</v>
      </c>
      <c r="C1586" t="s">
        <v>64</v>
      </c>
      <c r="D1586">
        <v>130</v>
      </c>
      <c r="F1586" s="8">
        <v>0.2</v>
      </c>
      <c r="H1586" s="8">
        <v>0.8</v>
      </c>
    </row>
    <row r="1587" spans="1:8" x14ac:dyDescent="0.3">
      <c r="A1587" s="22" t="s">
        <v>68</v>
      </c>
      <c r="B1587">
        <v>125</v>
      </c>
      <c r="C1587" t="s">
        <v>64</v>
      </c>
      <c r="D1587">
        <v>130</v>
      </c>
      <c r="E1587" s="8">
        <v>1.6E-2</v>
      </c>
      <c r="F1587" s="8">
        <v>0.44</v>
      </c>
      <c r="G1587" s="8">
        <v>3.2000000000000001E-2</v>
      </c>
      <c r="H1587" s="8">
        <v>0.51200000000000001</v>
      </c>
    </row>
    <row r="1589" spans="1:8" ht="57.6" x14ac:dyDescent="0.3">
      <c r="A1589" s="22" t="s">
        <v>447</v>
      </c>
    </row>
    <row r="1590" spans="1:8" x14ac:dyDescent="0.3">
      <c r="A1590" s="22" t="s">
        <v>66</v>
      </c>
      <c r="B1590" t="s">
        <v>62</v>
      </c>
      <c r="C1590" t="s">
        <v>57</v>
      </c>
      <c r="D1590" t="s">
        <v>63</v>
      </c>
      <c r="E1590" t="s">
        <v>410</v>
      </c>
      <c r="F1590" t="s">
        <v>411</v>
      </c>
      <c r="G1590" t="s">
        <v>239</v>
      </c>
      <c r="H1590" t="s">
        <v>413</v>
      </c>
    </row>
    <row r="1591" spans="1:8" x14ac:dyDescent="0.3">
      <c r="A1591" s="22" t="s">
        <v>67</v>
      </c>
      <c r="B1591">
        <v>106</v>
      </c>
      <c r="C1591" t="s">
        <v>64</v>
      </c>
      <c r="D1591">
        <v>130</v>
      </c>
      <c r="E1591" s="8">
        <v>9.4000000000000004E-3</v>
      </c>
      <c r="F1591" s="8">
        <v>0.38679999999999998</v>
      </c>
      <c r="G1591" s="8">
        <v>2.8299999999999999E-2</v>
      </c>
      <c r="H1591" s="8">
        <v>0.57550000000000001</v>
      </c>
    </row>
    <row r="1592" spans="1:8" x14ac:dyDescent="0.3">
      <c r="A1592" s="22" t="s">
        <v>68</v>
      </c>
      <c r="B1592">
        <v>24</v>
      </c>
      <c r="C1592" t="s">
        <v>64</v>
      </c>
      <c r="D1592">
        <v>130</v>
      </c>
      <c r="E1592" s="8">
        <v>4.1700000000000001E-2</v>
      </c>
      <c r="F1592" s="8">
        <v>0.625</v>
      </c>
      <c r="G1592" s="8">
        <v>4.1700000000000001E-2</v>
      </c>
      <c r="H1592" s="8">
        <v>0.29170000000000001</v>
      </c>
    </row>
    <row r="1594" spans="1:8" ht="57.6" x14ac:dyDescent="0.3">
      <c r="A1594" s="22" t="s">
        <v>448</v>
      </c>
    </row>
    <row r="1595" spans="1:8" x14ac:dyDescent="0.3">
      <c r="A1595" s="22" t="s">
        <v>66</v>
      </c>
      <c r="B1595" t="s">
        <v>62</v>
      </c>
      <c r="C1595" t="s">
        <v>57</v>
      </c>
      <c r="D1595" t="s">
        <v>63</v>
      </c>
      <c r="E1595" t="s">
        <v>410</v>
      </c>
      <c r="F1595" t="s">
        <v>411</v>
      </c>
      <c r="G1595" t="s">
        <v>239</v>
      </c>
      <c r="H1595" t="s">
        <v>413</v>
      </c>
    </row>
    <row r="1596" spans="1:8" x14ac:dyDescent="0.3">
      <c r="A1596" s="22" t="s">
        <v>67</v>
      </c>
      <c r="B1596">
        <v>101</v>
      </c>
      <c r="C1596" t="s">
        <v>64</v>
      </c>
      <c r="D1596">
        <v>130</v>
      </c>
      <c r="E1596" s="8">
        <v>1.9800000000000002E-2</v>
      </c>
      <c r="F1596" s="8">
        <v>0.42570000000000002</v>
      </c>
      <c r="G1596" s="8">
        <v>2.9700000000000001E-2</v>
      </c>
      <c r="H1596" s="8">
        <v>0.52480000000000004</v>
      </c>
    </row>
    <row r="1597" spans="1:8" x14ac:dyDescent="0.3">
      <c r="A1597" s="22" t="s">
        <v>68</v>
      </c>
      <c r="B1597">
        <v>29</v>
      </c>
      <c r="C1597" t="s">
        <v>64</v>
      </c>
      <c r="D1597">
        <v>130</v>
      </c>
      <c r="F1597" s="8">
        <v>0.44829999999999998</v>
      </c>
      <c r="G1597" s="8">
        <v>3.4500000000000003E-2</v>
      </c>
      <c r="H1597" s="8">
        <v>0.51719999999999999</v>
      </c>
    </row>
    <row r="1599" spans="1:8" ht="72" x14ac:dyDescent="0.3">
      <c r="A1599" s="22" t="s">
        <v>449</v>
      </c>
    </row>
    <row r="1600" spans="1:8" x14ac:dyDescent="0.3">
      <c r="A1600" s="22" t="s">
        <v>66</v>
      </c>
      <c r="B1600" t="s">
        <v>62</v>
      </c>
      <c r="C1600" t="s">
        <v>57</v>
      </c>
      <c r="D1600" t="s">
        <v>63</v>
      </c>
      <c r="E1600" t="s">
        <v>410</v>
      </c>
      <c r="F1600" t="s">
        <v>411</v>
      </c>
      <c r="G1600" t="s">
        <v>239</v>
      </c>
      <c r="H1600" t="s">
        <v>413</v>
      </c>
    </row>
    <row r="1601" spans="1:8" x14ac:dyDescent="0.3">
      <c r="A1601" s="22" t="s">
        <v>67</v>
      </c>
      <c r="B1601">
        <v>98</v>
      </c>
      <c r="C1601" t="s">
        <v>64</v>
      </c>
      <c r="D1601">
        <v>130</v>
      </c>
      <c r="E1601" s="8">
        <v>1.0200000000000001E-2</v>
      </c>
      <c r="F1601" s="8">
        <v>0.42859999999999998</v>
      </c>
      <c r="G1601" s="8">
        <v>4.0800000000000003E-2</v>
      </c>
      <c r="H1601" s="8">
        <v>0.52039999999999997</v>
      </c>
    </row>
    <row r="1602" spans="1:8" x14ac:dyDescent="0.3">
      <c r="A1602" s="22" t="s">
        <v>68</v>
      </c>
      <c r="B1602">
        <v>32</v>
      </c>
      <c r="C1602" t="s">
        <v>64</v>
      </c>
      <c r="D1602">
        <v>130</v>
      </c>
      <c r="E1602" s="8">
        <v>3.1199999999999999E-2</v>
      </c>
      <c r="F1602" s="8">
        <v>0.4375</v>
      </c>
      <c r="H1602" s="8">
        <v>0.53120000000000001</v>
      </c>
    </row>
    <row r="1604" spans="1:8" ht="72" x14ac:dyDescent="0.3">
      <c r="A1604" s="22" t="s">
        <v>450</v>
      </c>
    </row>
    <row r="1605" spans="1:8" x14ac:dyDescent="0.3">
      <c r="A1605" s="22" t="s">
        <v>66</v>
      </c>
      <c r="B1605" t="s">
        <v>62</v>
      </c>
      <c r="C1605" t="s">
        <v>57</v>
      </c>
      <c r="D1605" t="s">
        <v>63</v>
      </c>
      <c r="E1605" t="s">
        <v>410</v>
      </c>
      <c r="F1605" t="s">
        <v>411</v>
      </c>
      <c r="G1605" t="s">
        <v>239</v>
      </c>
      <c r="H1605" t="s">
        <v>413</v>
      </c>
    </row>
    <row r="1606" spans="1:8" x14ac:dyDescent="0.3">
      <c r="A1606" s="22" t="s">
        <v>67</v>
      </c>
      <c r="B1606">
        <v>118</v>
      </c>
      <c r="C1606" t="s">
        <v>64</v>
      </c>
      <c r="D1606">
        <v>130</v>
      </c>
      <c r="E1606" s="8">
        <v>1.6899999999999998E-2</v>
      </c>
      <c r="F1606" s="8">
        <v>0.43219999999999997</v>
      </c>
      <c r="G1606" s="8">
        <v>3.39E-2</v>
      </c>
      <c r="H1606" s="8">
        <v>0.51690000000000003</v>
      </c>
    </row>
    <row r="1607" spans="1:8" x14ac:dyDescent="0.3">
      <c r="A1607" s="22" t="s">
        <v>68</v>
      </c>
      <c r="B1607">
        <v>12</v>
      </c>
      <c r="C1607" t="s">
        <v>64</v>
      </c>
      <c r="D1607">
        <v>130</v>
      </c>
      <c r="F1607" s="8">
        <v>0.41670000000000001</v>
      </c>
      <c r="H1607" s="8">
        <v>0.58330000000000004</v>
      </c>
    </row>
    <row r="1609" spans="1:8" ht="72" x14ac:dyDescent="0.3">
      <c r="A1609" s="22" t="s">
        <v>451</v>
      </c>
    </row>
    <row r="1610" spans="1:8" x14ac:dyDescent="0.3">
      <c r="A1610" s="22" t="s">
        <v>66</v>
      </c>
      <c r="B1610" t="s">
        <v>62</v>
      </c>
      <c r="C1610" t="s">
        <v>57</v>
      </c>
      <c r="D1610" t="s">
        <v>63</v>
      </c>
      <c r="E1610" t="s">
        <v>410</v>
      </c>
      <c r="F1610" t="s">
        <v>411</v>
      </c>
      <c r="G1610" t="s">
        <v>239</v>
      </c>
      <c r="H1610" t="s">
        <v>413</v>
      </c>
    </row>
    <row r="1611" spans="1:8" x14ac:dyDescent="0.3">
      <c r="A1611" s="22" t="s">
        <v>67</v>
      </c>
      <c r="B1611">
        <v>130</v>
      </c>
      <c r="C1611" t="s">
        <v>64</v>
      </c>
      <c r="D1611">
        <v>130</v>
      </c>
      <c r="E1611" s="8">
        <v>1.54E-2</v>
      </c>
      <c r="F1611" s="8">
        <v>0.43080000000000002</v>
      </c>
      <c r="G1611" s="8">
        <v>3.0800000000000001E-2</v>
      </c>
      <c r="H1611" s="8">
        <v>0.52310000000000001</v>
      </c>
    </row>
    <row r="1613" spans="1:8" ht="57.6" x14ac:dyDescent="0.3">
      <c r="A1613" s="22" t="s">
        <v>452</v>
      </c>
    </row>
    <row r="1614" spans="1:8" x14ac:dyDescent="0.3">
      <c r="A1614" s="22" t="s">
        <v>66</v>
      </c>
      <c r="B1614" t="s">
        <v>62</v>
      </c>
      <c r="C1614" t="s">
        <v>57</v>
      </c>
      <c r="D1614" t="s">
        <v>63</v>
      </c>
      <c r="E1614" t="s">
        <v>410</v>
      </c>
      <c r="F1614" t="s">
        <v>411</v>
      </c>
      <c r="G1614" t="s">
        <v>239</v>
      </c>
      <c r="H1614" t="s">
        <v>413</v>
      </c>
    </row>
    <row r="1615" spans="1:8" x14ac:dyDescent="0.3">
      <c r="A1615" s="22" t="s">
        <v>67</v>
      </c>
      <c r="B1615">
        <v>77</v>
      </c>
      <c r="C1615" t="s">
        <v>64</v>
      </c>
      <c r="D1615">
        <v>130</v>
      </c>
      <c r="E1615" s="8">
        <v>1.2999999999999999E-2</v>
      </c>
      <c r="F1615" s="8">
        <v>0.41560000000000002</v>
      </c>
      <c r="G1615" s="8">
        <v>3.9E-2</v>
      </c>
      <c r="H1615" s="8">
        <v>0.53249999999999997</v>
      </c>
    </row>
    <row r="1616" spans="1:8" x14ac:dyDescent="0.3">
      <c r="A1616" s="22" t="s">
        <v>68</v>
      </c>
      <c r="B1616">
        <v>53</v>
      </c>
      <c r="C1616" t="s">
        <v>64</v>
      </c>
      <c r="D1616">
        <v>130</v>
      </c>
      <c r="E1616" s="8">
        <v>1.89E-2</v>
      </c>
      <c r="F1616" s="8">
        <v>0.45279999999999998</v>
      </c>
      <c r="G1616" s="8">
        <v>1.89E-2</v>
      </c>
      <c r="H1616" s="8">
        <v>0.50939999999999996</v>
      </c>
    </row>
    <row r="1618" spans="1:8" ht="72" x14ac:dyDescent="0.3">
      <c r="A1618" s="22" t="s">
        <v>453</v>
      </c>
    </row>
    <row r="1619" spans="1:8" x14ac:dyDescent="0.3">
      <c r="A1619" s="22" t="s">
        <v>66</v>
      </c>
      <c r="B1619" t="s">
        <v>62</v>
      </c>
      <c r="C1619" t="s">
        <v>57</v>
      </c>
      <c r="D1619" t="s">
        <v>63</v>
      </c>
      <c r="E1619" t="s">
        <v>410</v>
      </c>
      <c r="F1619" t="s">
        <v>411</v>
      </c>
      <c r="G1619" t="s">
        <v>239</v>
      </c>
      <c r="H1619" t="s">
        <v>413</v>
      </c>
    </row>
    <row r="1620" spans="1:8" x14ac:dyDescent="0.3">
      <c r="A1620" s="22" t="s">
        <v>67</v>
      </c>
      <c r="B1620">
        <v>114</v>
      </c>
      <c r="C1620" t="s">
        <v>64</v>
      </c>
      <c r="D1620">
        <v>130</v>
      </c>
      <c r="E1620" s="8">
        <v>1.7500000000000002E-2</v>
      </c>
      <c r="F1620" s="8">
        <v>0.42980000000000002</v>
      </c>
      <c r="G1620" s="8">
        <v>2.63E-2</v>
      </c>
      <c r="H1620" s="8">
        <v>0.52629999999999999</v>
      </c>
    </row>
    <row r="1621" spans="1:8" x14ac:dyDescent="0.3">
      <c r="A1621" s="22" t="s">
        <v>68</v>
      </c>
      <c r="B1621">
        <v>16</v>
      </c>
      <c r="C1621" t="s">
        <v>64</v>
      </c>
      <c r="D1621">
        <v>130</v>
      </c>
      <c r="F1621" s="8">
        <v>0.4375</v>
      </c>
      <c r="G1621" s="8">
        <v>6.25E-2</v>
      </c>
      <c r="H1621" s="8">
        <v>0.5</v>
      </c>
    </row>
    <row r="1623" spans="1:8" ht="57.6" x14ac:dyDescent="0.3">
      <c r="A1623" s="22" t="s">
        <v>454</v>
      </c>
    </row>
    <row r="1624" spans="1:8" x14ac:dyDescent="0.3">
      <c r="A1624" s="22" t="s">
        <v>66</v>
      </c>
      <c r="B1624" t="s">
        <v>62</v>
      </c>
      <c r="C1624" t="s">
        <v>57</v>
      </c>
      <c r="D1624" t="s">
        <v>63</v>
      </c>
      <c r="E1624" t="s">
        <v>410</v>
      </c>
      <c r="F1624" t="s">
        <v>411</v>
      </c>
      <c r="G1624" t="s">
        <v>239</v>
      </c>
      <c r="H1624" t="s">
        <v>413</v>
      </c>
    </row>
    <row r="1625" spans="1:8" x14ac:dyDescent="0.3">
      <c r="A1625" s="22" t="s">
        <v>81</v>
      </c>
      <c r="B1625">
        <v>32</v>
      </c>
      <c r="C1625" t="s">
        <v>64</v>
      </c>
      <c r="D1625">
        <v>130</v>
      </c>
      <c r="E1625" s="8">
        <v>3.1199999999999999E-2</v>
      </c>
      <c r="F1625" s="8">
        <v>0.40620000000000001</v>
      </c>
      <c r="G1625" s="8">
        <v>6.25E-2</v>
      </c>
      <c r="H1625" s="8">
        <v>0.5</v>
      </c>
    </row>
    <row r="1626" spans="1:8" x14ac:dyDescent="0.3">
      <c r="A1626" s="22" t="s">
        <v>82</v>
      </c>
      <c r="B1626">
        <v>34</v>
      </c>
      <c r="C1626" t="s">
        <v>64</v>
      </c>
      <c r="D1626">
        <v>130</v>
      </c>
      <c r="F1626" s="8">
        <v>0.47060000000000002</v>
      </c>
      <c r="G1626" s="8">
        <v>5.8799999999999998E-2</v>
      </c>
      <c r="H1626" s="8">
        <v>0.47060000000000002</v>
      </c>
    </row>
    <row r="1627" spans="1:8" x14ac:dyDescent="0.3">
      <c r="A1627" s="22" t="s">
        <v>83</v>
      </c>
      <c r="B1627">
        <v>33</v>
      </c>
      <c r="C1627" t="s">
        <v>64</v>
      </c>
      <c r="D1627">
        <v>130</v>
      </c>
      <c r="F1627" s="8">
        <v>0.42420000000000002</v>
      </c>
      <c r="H1627" s="8">
        <v>0.57579999999999998</v>
      </c>
    </row>
    <row r="1628" spans="1:8" x14ac:dyDescent="0.3">
      <c r="A1628" s="22" t="s">
        <v>84</v>
      </c>
      <c r="B1628">
        <v>31</v>
      </c>
      <c r="C1628" t="s">
        <v>64</v>
      </c>
      <c r="D1628">
        <v>130</v>
      </c>
      <c r="E1628" s="8">
        <v>3.2300000000000002E-2</v>
      </c>
      <c r="F1628" s="8">
        <v>0.4194</v>
      </c>
      <c r="H1628" s="8">
        <v>0.5484</v>
      </c>
    </row>
    <row r="1630" spans="1:8" ht="43.2" x14ac:dyDescent="0.3">
      <c r="A1630" s="22" t="s">
        <v>455</v>
      </c>
    </row>
    <row r="1631" spans="1:8" x14ac:dyDescent="0.3">
      <c r="A1631" s="22" t="s">
        <v>57</v>
      </c>
      <c r="B1631" t="s">
        <v>58</v>
      </c>
      <c r="C1631" s="25" t="s">
        <v>59</v>
      </c>
      <c r="D1631" t="s">
        <v>60</v>
      </c>
      <c r="E1631" t="s">
        <v>61</v>
      </c>
      <c r="F1631" t="s">
        <v>62</v>
      </c>
      <c r="G1631" t="s">
        <v>63</v>
      </c>
    </row>
    <row r="1632" spans="1:8" x14ac:dyDescent="0.3">
      <c r="A1632" s="22" t="s">
        <v>64</v>
      </c>
      <c r="B1632" s="25">
        <v>77.579365079365076</v>
      </c>
      <c r="C1632" s="25">
        <v>100</v>
      </c>
      <c r="D1632">
        <v>0</v>
      </c>
      <c r="E1632">
        <v>100</v>
      </c>
      <c r="F1632">
        <v>126</v>
      </c>
      <c r="G1632">
        <v>126</v>
      </c>
    </row>
    <row r="1633" spans="1:8" x14ac:dyDescent="0.3">
      <c r="C1633" s="25"/>
    </row>
    <row r="1634" spans="1:8" ht="57.6" x14ac:dyDescent="0.3">
      <c r="A1634" s="22" t="s">
        <v>456</v>
      </c>
      <c r="C1634" s="25"/>
    </row>
    <row r="1635" spans="1:8" x14ac:dyDescent="0.3">
      <c r="A1635" s="22" t="s">
        <v>57</v>
      </c>
      <c r="B1635" t="s">
        <v>66</v>
      </c>
      <c r="C1635" s="25" t="s">
        <v>58</v>
      </c>
      <c r="D1635" t="s">
        <v>59</v>
      </c>
      <c r="E1635" t="s">
        <v>60</v>
      </c>
      <c r="F1635" t="s">
        <v>61</v>
      </c>
      <c r="G1635" t="s">
        <v>62</v>
      </c>
      <c r="H1635" t="s">
        <v>63</v>
      </c>
    </row>
    <row r="1636" spans="1:8" x14ac:dyDescent="0.3">
      <c r="A1636" s="22" t="s">
        <v>64</v>
      </c>
      <c r="B1636" t="s">
        <v>67</v>
      </c>
      <c r="C1636" s="25">
        <v>76.666666666666671</v>
      </c>
      <c r="D1636">
        <v>100</v>
      </c>
      <c r="E1636">
        <v>0</v>
      </c>
      <c r="F1636">
        <v>100</v>
      </c>
      <c r="G1636">
        <v>120</v>
      </c>
      <c r="H1636">
        <v>126</v>
      </c>
    </row>
    <row r="1637" spans="1:8" x14ac:dyDescent="0.3">
      <c r="A1637" s="22" t="s">
        <v>64</v>
      </c>
      <c r="B1637" t="s">
        <v>68</v>
      </c>
      <c r="C1637" s="25">
        <v>95.833333333333329</v>
      </c>
      <c r="D1637">
        <v>100</v>
      </c>
      <c r="E1637">
        <v>75</v>
      </c>
      <c r="F1637">
        <v>100</v>
      </c>
      <c r="G1637">
        <v>6</v>
      </c>
      <c r="H1637">
        <v>126</v>
      </c>
    </row>
    <row r="1638" spans="1:8" x14ac:dyDescent="0.3">
      <c r="C1638" s="25"/>
    </row>
    <row r="1639" spans="1:8" x14ac:dyDescent="0.3">
      <c r="A1639"/>
      <c r="C1639" s="25"/>
    </row>
    <row r="1640" spans="1:8" x14ac:dyDescent="0.3">
      <c r="A1640"/>
      <c r="C1640" s="25"/>
    </row>
    <row r="1641" spans="1:8" x14ac:dyDescent="0.3">
      <c r="A1641"/>
      <c r="C1641" s="25"/>
    </row>
    <row r="1642" spans="1:8" x14ac:dyDescent="0.3">
      <c r="C1642" s="25"/>
    </row>
    <row r="1643" spans="1:8" ht="57.6" x14ac:dyDescent="0.3">
      <c r="A1643" s="22" t="s">
        <v>457</v>
      </c>
      <c r="C1643" s="25"/>
    </row>
    <row r="1644" spans="1:8" x14ac:dyDescent="0.3">
      <c r="A1644" s="22" t="s">
        <v>57</v>
      </c>
      <c r="B1644" t="s">
        <v>66</v>
      </c>
      <c r="C1644" s="25" t="s">
        <v>58</v>
      </c>
      <c r="D1644" t="s">
        <v>59</v>
      </c>
      <c r="E1644" t="s">
        <v>60</v>
      </c>
      <c r="F1644" t="s">
        <v>61</v>
      </c>
      <c r="G1644" t="s">
        <v>62</v>
      </c>
      <c r="H1644" t="s">
        <v>63</v>
      </c>
    </row>
    <row r="1645" spans="1:8" x14ac:dyDescent="0.3">
      <c r="A1645" s="22" t="s">
        <v>64</v>
      </c>
      <c r="B1645" t="s">
        <v>67</v>
      </c>
      <c r="C1645" s="25">
        <v>76.666666666666671</v>
      </c>
      <c r="D1645">
        <v>100</v>
      </c>
      <c r="E1645">
        <v>0</v>
      </c>
      <c r="F1645">
        <v>100</v>
      </c>
      <c r="G1645">
        <v>120</v>
      </c>
      <c r="H1645">
        <v>126</v>
      </c>
    </row>
    <row r="1646" spans="1:8" x14ac:dyDescent="0.3">
      <c r="A1646" s="22" t="s">
        <v>64</v>
      </c>
      <c r="B1646" t="s">
        <v>68</v>
      </c>
      <c r="C1646" s="25">
        <v>95.833333333333329</v>
      </c>
      <c r="D1646">
        <v>100</v>
      </c>
      <c r="E1646">
        <v>75</v>
      </c>
      <c r="F1646">
        <v>100</v>
      </c>
      <c r="G1646">
        <v>6</v>
      </c>
      <c r="H1646">
        <v>126</v>
      </c>
    </row>
    <row r="1647" spans="1:8" x14ac:dyDescent="0.3">
      <c r="C1647" s="25"/>
    </row>
    <row r="1648" spans="1:8" ht="57.6" x14ac:dyDescent="0.3">
      <c r="A1648" s="22" t="s">
        <v>458</v>
      </c>
      <c r="C1648" s="25"/>
    </row>
    <row r="1649" spans="1:8" x14ac:dyDescent="0.3">
      <c r="A1649" s="22" t="s">
        <v>57</v>
      </c>
      <c r="B1649" t="s">
        <v>66</v>
      </c>
      <c r="C1649" s="25" t="s">
        <v>58</v>
      </c>
      <c r="D1649" t="s">
        <v>59</v>
      </c>
      <c r="E1649" t="s">
        <v>60</v>
      </c>
      <c r="F1649" t="s">
        <v>61</v>
      </c>
      <c r="G1649" t="s">
        <v>62</v>
      </c>
      <c r="H1649" t="s">
        <v>63</v>
      </c>
    </row>
    <row r="1650" spans="1:8" x14ac:dyDescent="0.3">
      <c r="A1650" s="22" t="s">
        <v>64</v>
      </c>
      <c r="B1650" t="s">
        <v>67</v>
      </c>
      <c r="C1650" s="25">
        <v>77.8</v>
      </c>
      <c r="D1650">
        <v>100</v>
      </c>
      <c r="E1650">
        <v>0</v>
      </c>
      <c r="F1650">
        <v>100</v>
      </c>
      <c r="G1650">
        <v>125</v>
      </c>
      <c r="H1650">
        <v>126</v>
      </c>
    </row>
    <row r="1651" spans="1:8" x14ac:dyDescent="0.3">
      <c r="A1651" s="22" t="s">
        <v>64</v>
      </c>
      <c r="B1651" t="s">
        <v>68</v>
      </c>
      <c r="C1651" s="25">
        <v>50</v>
      </c>
      <c r="D1651">
        <v>50</v>
      </c>
      <c r="E1651">
        <v>50</v>
      </c>
      <c r="F1651">
        <v>50</v>
      </c>
      <c r="G1651">
        <v>1</v>
      </c>
      <c r="H1651">
        <v>126</v>
      </c>
    </row>
    <row r="1652" spans="1:8" x14ac:dyDescent="0.3">
      <c r="C1652" s="25"/>
    </row>
    <row r="1653" spans="1:8" ht="57.6" x14ac:dyDescent="0.3">
      <c r="A1653" s="22" t="s">
        <v>459</v>
      </c>
    </row>
    <row r="1654" spans="1:8" x14ac:dyDescent="0.3">
      <c r="A1654" s="22" t="s">
        <v>57</v>
      </c>
      <c r="B1654" t="s">
        <v>66</v>
      </c>
      <c r="C1654" t="s">
        <v>58</v>
      </c>
      <c r="D1654" t="s">
        <v>59</v>
      </c>
      <c r="E1654" t="s">
        <v>60</v>
      </c>
      <c r="F1654" t="s">
        <v>61</v>
      </c>
      <c r="G1654" t="s">
        <v>62</v>
      </c>
      <c r="H1654" t="s">
        <v>63</v>
      </c>
    </row>
    <row r="1655" spans="1:8" x14ac:dyDescent="0.3">
      <c r="A1655" s="22" t="s">
        <v>64</v>
      </c>
      <c r="B1655" t="s">
        <v>67</v>
      </c>
      <c r="C1655" s="25">
        <v>77.370689655172413</v>
      </c>
      <c r="D1655">
        <v>100</v>
      </c>
      <c r="E1655">
        <v>0</v>
      </c>
      <c r="F1655">
        <v>100</v>
      </c>
      <c r="G1655">
        <v>116</v>
      </c>
      <c r="H1655">
        <v>126</v>
      </c>
    </row>
    <row r="1656" spans="1:8" x14ac:dyDescent="0.3">
      <c r="A1656" s="22" t="s">
        <v>64</v>
      </c>
      <c r="B1656" t="s">
        <v>68</v>
      </c>
      <c r="C1656" s="25">
        <v>80</v>
      </c>
      <c r="D1656">
        <v>100</v>
      </c>
      <c r="E1656">
        <v>25</v>
      </c>
      <c r="F1656">
        <v>100</v>
      </c>
      <c r="G1656">
        <v>10</v>
      </c>
      <c r="H1656">
        <v>126</v>
      </c>
    </row>
    <row r="1657" spans="1:8" x14ac:dyDescent="0.3">
      <c r="C1657" s="25"/>
    </row>
    <row r="1658" spans="1:8" ht="57.6" x14ac:dyDescent="0.3">
      <c r="A1658" s="22" t="s">
        <v>460</v>
      </c>
      <c r="C1658" s="25"/>
    </row>
    <row r="1659" spans="1:8" x14ac:dyDescent="0.3">
      <c r="A1659" s="22" t="s">
        <v>57</v>
      </c>
      <c r="B1659" t="s">
        <v>66</v>
      </c>
      <c r="C1659" s="25" t="s">
        <v>58</v>
      </c>
      <c r="D1659" t="s">
        <v>59</v>
      </c>
      <c r="E1659" t="s">
        <v>60</v>
      </c>
      <c r="F1659" t="s">
        <v>61</v>
      </c>
      <c r="G1659" t="s">
        <v>62</v>
      </c>
      <c r="H1659" t="s">
        <v>63</v>
      </c>
    </row>
    <row r="1660" spans="1:8" x14ac:dyDescent="0.3">
      <c r="A1660" s="22" t="s">
        <v>64</v>
      </c>
      <c r="B1660" t="s">
        <v>67</v>
      </c>
      <c r="C1660" s="25">
        <v>86</v>
      </c>
      <c r="D1660">
        <v>100</v>
      </c>
      <c r="E1660">
        <v>30</v>
      </c>
      <c r="F1660">
        <v>100</v>
      </c>
      <c r="G1660">
        <v>5</v>
      </c>
      <c r="H1660">
        <v>126</v>
      </c>
    </row>
    <row r="1661" spans="1:8" x14ac:dyDescent="0.3">
      <c r="A1661" s="22" t="s">
        <v>64</v>
      </c>
      <c r="B1661" t="s">
        <v>68</v>
      </c>
      <c r="C1661" s="25">
        <v>77.231404958677686</v>
      </c>
      <c r="D1661">
        <v>100</v>
      </c>
      <c r="E1661">
        <v>0</v>
      </c>
      <c r="F1661">
        <v>100</v>
      </c>
      <c r="G1661">
        <v>121</v>
      </c>
      <c r="H1661">
        <v>126</v>
      </c>
    </row>
    <row r="1662" spans="1:8" x14ac:dyDescent="0.3">
      <c r="C1662" s="25"/>
    </row>
    <row r="1663" spans="1:8" ht="57.6" x14ac:dyDescent="0.3">
      <c r="A1663" s="22" t="s">
        <v>461</v>
      </c>
      <c r="C1663" s="25"/>
    </row>
    <row r="1664" spans="1:8" x14ac:dyDescent="0.3">
      <c r="A1664" s="22" t="s">
        <v>57</v>
      </c>
      <c r="B1664" t="s">
        <v>66</v>
      </c>
      <c r="C1664" s="25" t="s">
        <v>58</v>
      </c>
      <c r="D1664" t="s">
        <v>59</v>
      </c>
      <c r="E1664" t="s">
        <v>60</v>
      </c>
      <c r="F1664" t="s">
        <v>61</v>
      </c>
      <c r="G1664" t="s">
        <v>62</v>
      </c>
      <c r="H1664" t="s">
        <v>63</v>
      </c>
    </row>
    <row r="1665" spans="1:8" x14ac:dyDescent="0.3">
      <c r="A1665" s="22" t="s">
        <v>64</v>
      </c>
      <c r="B1665" t="s">
        <v>67</v>
      </c>
      <c r="C1665" s="25">
        <v>80.582524271844662</v>
      </c>
      <c r="D1665">
        <v>100</v>
      </c>
      <c r="E1665">
        <v>0</v>
      </c>
      <c r="F1665">
        <v>100</v>
      </c>
      <c r="G1665">
        <v>103</v>
      </c>
      <c r="H1665">
        <v>126</v>
      </c>
    </row>
    <row r="1666" spans="1:8" x14ac:dyDescent="0.3">
      <c r="A1666" s="22" t="s">
        <v>64</v>
      </c>
      <c r="B1666" t="s">
        <v>68</v>
      </c>
      <c r="C1666" s="25">
        <v>64.130434782608702</v>
      </c>
      <c r="D1666">
        <v>60</v>
      </c>
      <c r="E1666">
        <v>0</v>
      </c>
      <c r="F1666">
        <v>100</v>
      </c>
      <c r="G1666">
        <v>23</v>
      </c>
      <c r="H1666">
        <v>126</v>
      </c>
    </row>
    <row r="1667" spans="1:8" x14ac:dyDescent="0.3">
      <c r="C1667" s="25"/>
    </row>
    <row r="1668" spans="1:8" ht="57.6" x14ac:dyDescent="0.3">
      <c r="A1668" s="22" t="s">
        <v>462</v>
      </c>
      <c r="C1668" s="25"/>
    </row>
    <row r="1669" spans="1:8" x14ac:dyDescent="0.3">
      <c r="A1669" s="22" t="s">
        <v>57</v>
      </c>
      <c r="B1669" t="s">
        <v>66</v>
      </c>
      <c r="C1669" s="25" t="s">
        <v>58</v>
      </c>
      <c r="D1669" t="s">
        <v>59</v>
      </c>
      <c r="E1669" t="s">
        <v>60</v>
      </c>
      <c r="F1669" t="s">
        <v>61</v>
      </c>
      <c r="G1669" t="s">
        <v>62</v>
      </c>
      <c r="H1669" t="s">
        <v>63</v>
      </c>
    </row>
    <row r="1670" spans="1:8" x14ac:dyDescent="0.3">
      <c r="A1670" s="22" t="s">
        <v>64</v>
      </c>
      <c r="B1670" t="s">
        <v>67</v>
      </c>
      <c r="C1670" s="25">
        <v>77.34693877551021</v>
      </c>
      <c r="D1670">
        <v>100</v>
      </c>
      <c r="E1670">
        <v>0</v>
      </c>
      <c r="F1670">
        <v>100</v>
      </c>
      <c r="G1670">
        <v>98</v>
      </c>
      <c r="H1670">
        <v>126</v>
      </c>
    </row>
    <row r="1671" spans="1:8" x14ac:dyDescent="0.3">
      <c r="A1671" s="22" t="s">
        <v>64</v>
      </c>
      <c r="B1671" t="s">
        <v>68</v>
      </c>
      <c r="C1671" s="25">
        <v>78.392857142857139</v>
      </c>
      <c r="D1671">
        <v>100</v>
      </c>
      <c r="E1671">
        <v>10</v>
      </c>
      <c r="F1671">
        <v>100</v>
      </c>
      <c r="G1671">
        <v>28</v>
      </c>
      <c r="H1671">
        <v>126</v>
      </c>
    </row>
    <row r="1672" spans="1:8" x14ac:dyDescent="0.3">
      <c r="C1672" s="25"/>
    </row>
    <row r="1673" spans="1:8" ht="72" x14ac:dyDescent="0.3">
      <c r="A1673" s="22" t="s">
        <v>463</v>
      </c>
      <c r="C1673" s="25"/>
    </row>
    <row r="1674" spans="1:8" x14ac:dyDescent="0.3">
      <c r="A1674" s="22" t="s">
        <v>57</v>
      </c>
      <c r="B1674" t="s">
        <v>66</v>
      </c>
      <c r="C1674" s="25" t="s">
        <v>58</v>
      </c>
      <c r="D1674" t="s">
        <v>59</v>
      </c>
      <c r="E1674" t="s">
        <v>60</v>
      </c>
      <c r="F1674" t="s">
        <v>61</v>
      </c>
      <c r="G1674" t="s">
        <v>62</v>
      </c>
      <c r="H1674" t="s">
        <v>63</v>
      </c>
    </row>
    <row r="1675" spans="1:8" x14ac:dyDescent="0.3">
      <c r="A1675" s="22" t="s">
        <v>64</v>
      </c>
      <c r="B1675" t="s">
        <v>67</v>
      </c>
      <c r="C1675" s="25">
        <v>77.765957446808514</v>
      </c>
      <c r="D1675">
        <v>100</v>
      </c>
      <c r="E1675">
        <v>0</v>
      </c>
      <c r="F1675">
        <v>100</v>
      </c>
      <c r="G1675">
        <v>94</v>
      </c>
      <c r="H1675">
        <v>126</v>
      </c>
    </row>
    <row r="1676" spans="1:8" x14ac:dyDescent="0.3">
      <c r="A1676" s="22" t="s">
        <v>64</v>
      </c>
      <c r="B1676" t="s">
        <v>68</v>
      </c>
      <c r="C1676" s="25">
        <v>77.03125</v>
      </c>
      <c r="D1676">
        <v>100</v>
      </c>
      <c r="E1676">
        <v>0</v>
      </c>
      <c r="F1676">
        <v>100</v>
      </c>
      <c r="G1676">
        <v>32</v>
      </c>
      <c r="H1676">
        <v>126</v>
      </c>
    </row>
    <row r="1677" spans="1:8" x14ac:dyDescent="0.3">
      <c r="C1677" s="25"/>
    </row>
    <row r="1678" spans="1:8" ht="72" x14ac:dyDescent="0.3">
      <c r="A1678" s="22" t="s">
        <v>464</v>
      </c>
      <c r="C1678" s="25"/>
    </row>
    <row r="1679" spans="1:8" x14ac:dyDescent="0.3">
      <c r="A1679" s="22" t="s">
        <v>57</v>
      </c>
      <c r="B1679" t="s">
        <v>66</v>
      </c>
      <c r="C1679" s="25" t="s">
        <v>58</v>
      </c>
      <c r="D1679" t="s">
        <v>59</v>
      </c>
      <c r="E1679" t="s">
        <v>60</v>
      </c>
      <c r="F1679" t="s">
        <v>61</v>
      </c>
      <c r="G1679" t="s">
        <v>62</v>
      </c>
      <c r="H1679" t="s">
        <v>63</v>
      </c>
    </row>
    <row r="1680" spans="1:8" x14ac:dyDescent="0.3">
      <c r="A1680" s="22" t="s">
        <v>64</v>
      </c>
      <c r="B1680" t="s">
        <v>67</v>
      </c>
      <c r="C1680" s="25">
        <v>77.5</v>
      </c>
      <c r="D1680">
        <v>100</v>
      </c>
      <c r="E1680">
        <v>0</v>
      </c>
      <c r="F1680">
        <v>100</v>
      </c>
      <c r="G1680">
        <v>114</v>
      </c>
      <c r="H1680">
        <v>126</v>
      </c>
    </row>
    <row r="1681" spans="1:8" x14ac:dyDescent="0.3">
      <c r="A1681" s="22" t="s">
        <v>64</v>
      </c>
      <c r="B1681" t="s">
        <v>68</v>
      </c>
      <c r="C1681" s="25">
        <v>78.333333333333329</v>
      </c>
      <c r="D1681">
        <v>100</v>
      </c>
      <c r="E1681">
        <v>30</v>
      </c>
      <c r="F1681">
        <v>100</v>
      </c>
      <c r="G1681">
        <v>12</v>
      </c>
      <c r="H1681">
        <v>126</v>
      </c>
    </row>
    <row r="1682" spans="1:8" x14ac:dyDescent="0.3">
      <c r="C1682" s="25"/>
    </row>
    <row r="1683" spans="1:8" ht="72" x14ac:dyDescent="0.3">
      <c r="A1683" s="22" t="s">
        <v>465</v>
      </c>
      <c r="C1683" s="25"/>
    </row>
    <row r="1684" spans="1:8" x14ac:dyDescent="0.3">
      <c r="A1684" s="22" t="s">
        <v>57</v>
      </c>
      <c r="B1684" t="s">
        <v>66</v>
      </c>
      <c r="C1684" s="25" t="s">
        <v>58</v>
      </c>
      <c r="D1684" t="s">
        <v>59</v>
      </c>
      <c r="E1684" t="s">
        <v>60</v>
      </c>
      <c r="F1684" t="s">
        <v>61</v>
      </c>
      <c r="G1684" t="s">
        <v>62</v>
      </c>
      <c r="H1684" t="s">
        <v>63</v>
      </c>
    </row>
    <row r="1685" spans="1:8" x14ac:dyDescent="0.3">
      <c r="A1685" s="22" t="s">
        <v>64</v>
      </c>
      <c r="B1685" t="s">
        <v>67</v>
      </c>
      <c r="C1685" s="25">
        <v>77.579365079365076</v>
      </c>
      <c r="D1685">
        <v>100</v>
      </c>
      <c r="E1685">
        <v>0</v>
      </c>
      <c r="F1685">
        <v>100</v>
      </c>
      <c r="G1685">
        <v>126</v>
      </c>
      <c r="H1685">
        <v>126</v>
      </c>
    </row>
    <row r="1686" spans="1:8" x14ac:dyDescent="0.3">
      <c r="C1686" s="25"/>
    </row>
    <row r="1687" spans="1:8" ht="57.6" x14ac:dyDescent="0.3">
      <c r="A1687" s="22" t="s">
        <v>466</v>
      </c>
      <c r="C1687" s="25"/>
    </row>
    <row r="1688" spans="1:8" x14ac:dyDescent="0.3">
      <c r="A1688" s="22" t="s">
        <v>57</v>
      </c>
      <c r="B1688" t="s">
        <v>66</v>
      </c>
      <c r="C1688" s="25" t="s">
        <v>58</v>
      </c>
      <c r="D1688" t="s">
        <v>59</v>
      </c>
      <c r="E1688" t="s">
        <v>60</v>
      </c>
      <c r="F1688" t="s">
        <v>61</v>
      </c>
      <c r="G1688" t="s">
        <v>62</v>
      </c>
      <c r="H1688" t="s">
        <v>63</v>
      </c>
    </row>
    <row r="1689" spans="1:8" x14ac:dyDescent="0.3">
      <c r="A1689" s="22" t="s">
        <v>64</v>
      </c>
      <c r="B1689" t="s">
        <v>67</v>
      </c>
      <c r="C1689" s="25">
        <v>79.86486486486487</v>
      </c>
      <c r="D1689">
        <v>100</v>
      </c>
      <c r="E1689">
        <v>0</v>
      </c>
      <c r="F1689">
        <v>100</v>
      </c>
      <c r="G1689">
        <v>74</v>
      </c>
      <c r="H1689">
        <v>126</v>
      </c>
    </row>
    <row r="1690" spans="1:8" x14ac:dyDescent="0.3">
      <c r="A1690" s="22" t="s">
        <v>64</v>
      </c>
      <c r="B1690" t="s">
        <v>68</v>
      </c>
      <c r="C1690" s="25">
        <v>74.32692307692308</v>
      </c>
      <c r="D1690">
        <v>100</v>
      </c>
      <c r="E1690">
        <v>0</v>
      </c>
      <c r="F1690">
        <v>100</v>
      </c>
      <c r="G1690">
        <v>52</v>
      </c>
      <c r="H1690">
        <v>126</v>
      </c>
    </row>
    <row r="1691" spans="1:8" x14ac:dyDescent="0.3">
      <c r="C1691" s="25"/>
    </row>
    <row r="1692" spans="1:8" ht="72" x14ac:dyDescent="0.3">
      <c r="A1692" s="22" t="s">
        <v>467</v>
      </c>
      <c r="C1692" s="25"/>
    </row>
    <row r="1693" spans="1:8" x14ac:dyDescent="0.3">
      <c r="A1693" s="22" t="s">
        <v>57</v>
      </c>
      <c r="B1693" t="s">
        <v>66</v>
      </c>
      <c r="C1693" s="25" t="s">
        <v>58</v>
      </c>
      <c r="D1693" t="s">
        <v>59</v>
      </c>
      <c r="E1693" t="s">
        <v>60</v>
      </c>
      <c r="F1693" t="s">
        <v>61</v>
      </c>
      <c r="G1693" t="s">
        <v>62</v>
      </c>
      <c r="H1693" t="s">
        <v>63</v>
      </c>
    </row>
    <row r="1694" spans="1:8" x14ac:dyDescent="0.3">
      <c r="A1694" s="22" t="s">
        <v>64</v>
      </c>
      <c r="B1694" t="s">
        <v>67</v>
      </c>
      <c r="C1694" s="25">
        <v>77.567567567567565</v>
      </c>
      <c r="D1694">
        <v>100</v>
      </c>
      <c r="E1694">
        <v>0</v>
      </c>
      <c r="F1694">
        <v>100</v>
      </c>
      <c r="G1694">
        <v>111</v>
      </c>
      <c r="H1694">
        <v>126</v>
      </c>
    </row>
    <row r="1695" spans="1:8" x14ac:dyDescent="0.3">
      <c r="A1695" s="22" t="s">
        <v>64</v>
      </c>
      <c r="B1695" t="s">
        <v>68</v>
      </c>
      <c r="C1695" s="25">
        <v>77.666666666666671</v>
      </c>
      <c r="D1695">
        <v>100</v>
      </c>
      <c r="E1695">
        <v>40</v>
      </c>
      <c r="F1695">
        <v>100</v>
      </c>
      <c r="G1695">
        <v>15</v>
      </c>
      <c r="H1695">
        <v>126</v>
      </c>
    </row>
    <row r="1696" spans="1:8" x14ac:dyDescent="0.3">
      <c r="C1696" s="25"/>
    </row>
    <row r="1697" spans="1:8" ht="57.6" x14ac:dyDescent="0.3">
      <c r="A1697" s="22" t="s">
        <v>468</v>
      </c>
      <c r="C1697" s="25"/>
    </row>
    <row r="1698" spans="1:8" x14ac:dyDescent="0.3">
      <c r="A1698" s="22" t="s">
        <v>57</v>
      </c>
      <c r="B1698" t="s">
        <v>66</v>
      </c>
      <c r="C1698" s="25" t="s">
        <v>58</v>
      </c>
      <c r="D1698" t="s">
        <v>59</v>
      </c>
      <c r="E1698" t="s">
        <v>60</v>
      </c>
      <c r="F1698" t="s">
        <v>61</v>
      </c>
      <c r="G1698" t="s">
        <v>62</v>
      </c>
      <c r="H1698" t="s">
        <v>63</v>
      </c>
    </row>
    <row r="1699" spans="1:8" x14ac:dyDescent="0.3">
      <c r="A1699" s="22" t="s">
        <v>64</v>
      </c>
      <c r="B1699" t="s">
        <v>81</v>
      </c>
      <c r="C1699" s="25">
        <v>77.666666666666671</v>
      </c>
      <c r="D1699">
        <v>100</v>
      </c>
      <c r="E1699">
        <v>0</v>
      </c>
      <c r="F1699">
        <v>100</v>
      </c>
      <c r="G1699">
        <v>30</v>
      </c>
      <c r="H1699">
        <v>126</v>
      </c>
    </row>
    <row r="1700" spans="1:8" x14ac:dyDescent="0.3">
      <c r="A1700" s="22" t="s">
        <v>64</v>
      </c>
      <c r="B1700" t="s">
        <v>82</v>
      </c>
      <c r="C1700" s="25">
        <v>78.59375</v>
      </c>
      <c r="D1700">
        <v>80</v>
      </c>
      <c r="E1700">
        <v>30</v>
      </c>
      <c r="F1700">
        <v>100</v>
      </c>
      <c r="G1700">
        <v>32</v>
      </c>
      <c r="H1700">
        <v>126</v>
      </c>
    </row>
    <row r="1701" spans="1:8" x14ac:dyDescent="0.3">
      <c r="A1701" s="22" t="s">
        <v>64</v>
      </c>
      <c r="B1701" t="s">
        <v>83</v>
      </c>
      <c r="C1701" s="25">
        <v>77.878787878787875</v>
      </c>
      <c r="D1701">
        <v>100</v>
      </c>
      <c r="E1701">
        <v>10</v>
      </c>
      <c r="F1701">
        <v>100</v>
      </c>
      <c r="G1701">
        <v>33</v>
      </c>
      <c r="H1701">
        <v>126</v>
      </c>
    </row>
    <row r="1702" spans="1:8" x14ac:dyDescent="0.3">
      <c r="A1702" s="22" t="s">
        <v>64</v>
      </c>
      <c r="B1702" t="s">
        <v>84</v>
      </c>
      <c r="C1702" s="25">
        <v>76.129032258064512</v>
      </c>
      <c r="D1702">
        <v>100</v>
      </c>
      <c r="E1702">
        <v>0</v>
      </c>
      <c r="F1702">
        <v>100</v>
      </c>
      <c r="G1702">
        <v>31</v>
      </c>
      <c r="H1702">
        <v>126</v>
      </c>
    </row>
    <row r="1703" spans="1:8" x14ac:dyDescent="0.3">
      <c r="C1703" s="25"/>
    </row>
    <row r="1704" spans="1:8" ht="28.8" x14ac:dyDescent="0.3">
      <c r="A1704" s="22" t="s">
        <v>469</v>
      </c>
      <c r="C1704" s="25"/>
    </row>
    <row r="1705" spans="1:8" x14ac:dyDescent="0.3">
      <c r="A1705" s="22" t="s">
        <v>62</v>
      </c>
      <c r="B1705" t="s">
        <v>57</v>
      </c>
      <c r="C1705" s="25" t="s">
        <v>63</v>
      </c>
      <c r="D1705" t="s">
        <v>470</v>
      </c>
      <c r="E1705" t="s">
        <v>471</v>
      </c>
      <c r="F1705" t="s">
        <v>472</v>
      </c>
      <c r="G1705" t="s">
        <v>473</v>
      </c>
      <c r="H1705" t="s">
        <v>474</v>
      </c>
    </row>
    <row r="1706" spans="1:8" x14ac:dyDescent="0.3">
      <c r="A1706" s="22">
        <v>130</v>
      </c>
      <c r="B1706" t="s">
        <v>64</v>
      </c>
      <c r="C1706" s="25">
        <v>130</v>
      </c>
      <c r="D1706" s="8">
        <v>2.3099999999999999E-2</v>
      </c>
      <c r="E1706" s="8">
        <v>1.54E-2</v>
      </c>
      <c r="F1706" s="8">
        <v>3.0800000000000001E-2</v>
      </c>
      <c r="G1706" s="8">
        <v>0.6</v>
      </c>
      <c r="H1706" s="8">
        <v>0.33079999999999998</v>
      </c>
    </row>
    <row r="1708" spans="1:8" ht="43.2" x14ac:dyDescent="0.3">
      <c r="A1708" s="22" t="s">
        <v>475</v>
      </c>
    </row>
    <row r="1709" spans="1:8" x14ac:dyDescent="0.3">
      <c r="A1709" s="22" t="s">
        <v>62</v>
      </c>
      <c r="B1709" t="s">
        <v>57</v>
      </c>
      <c r="C1709" t="s">
        <v>63</v>
      </c>
      <c r="D1709" t="s">
        <v>410</v>
      </c>
      <c r="E1709" t="s">
        <v>412</v>
      </c>
      <c r="F1709" t="s">
        <v>413</v>
      </c>
    </row>
    <row r="1710" spans="1:8" x14ac:dyDescent="0.3">
      <c r="A1710" s="22">
        <v>195</v>
      </c>
      <c r="B1710" t="s">
        <v>64</v>
      </c>
      <c r="C1710">
        <v>195</v>
      </c>
      <c r="D1710" s="8">
        <v>3.0800000000000001E-2</v>
      </c>
      <c r="E1710" s="8">
        <v>4.6199999999999998E-2</v>
      </c>
      <c r="F1710" s="8">
        <v>0.92310000000000003</v>
      </c>
    </row>
    <row r="1712" spans="1:8" ht="28.8" x14ac:dyDescent="0.3">
      <c r="A1712" s="22" t="s">
        <v>476</v>
      </c>
    </row>
    <row r="1713" spans="1:7" x14ac:dyDescent="0.3">
      <c r="A1713" s="22" t="s">
        <v>62</v>
      </c>
      <c r="B1713" t="s">
        <v>57</v>
      </c>
      <c r="C1713" t="s">
        <v>63</v>
      </c>
      <c r="D1713" t="s">
        <v>410</v>
      </c>
      <c r="E1713" t="s">
        <v>477</v>
      </c>
      <c r="F1713" t="s">
        <v>413</v>
      </c>
    </row>
    <row r="1714" spans="1:7" x14ac:dyDescent="0.3">
      <c r="A1714" s="22">
        <v>130</v>
      </c>
      <c r="B1714" t="s">
        <v>64</v>
      </c>
      <c r="C1714">
        <v>130</v>
      </c>
      <c r="D1714" s="8">
        <v>7.7000000000000002E-3</v>
      </c>
      <c r="E1714" s="8">
        <v>3.0800000000000001E-2</v>
      </c>
      <c r="F1714" s="8">
        <v>0.96150000000000002</v>
      </c>
    </row>
    <row r="1716" spans="1:7" ht="28.8" x14ac:dyDescent="0.3">
      <c r="A1716" s="22" t="s">
        <v>478</v>
      </c>
    </row>
    <row r="1717" spans="1:7" x14ac:dyDescent="0.3">
      <c r="A1717" s="22" t="s">
        <v>62</v>
      </c>
      <c r="B1717" t="s">
        <v>57</v>
      </c>
      <c r="C1717" t="s">
        <v>63</v>
      </c>
      <c r="D1717" t="s">
        <v>410</v>
      </c>
      <c r="E1717" t="s">
        <v>411</v>
      </c>
      <c r="F1717" t="s">
        <v>413</v>
      </c>
    </row>
    <row r="1718" spans="1:7" x14ac:dyDescent="0.3">
      <c r="A1718" s="22">
        <v>130</v>
      </c>
      <c r="B1718" t="s">
        <v>64</v>
      </c>
      <c r="C1718">
        <v>130</v>
      </c>
      <c r="D1718" s="8">
        <v>7.7000000000000002E-3</v>
      </c>
      <c r="E1718" s="8">
        <v>0.2462</v>
      </c>
      <c r="F1718" s="8">
        <v>0.74619999999999997</v>
      </c>
    </row>
    <row r="1720" spans="1:7" ht="57.6" x14ac:dyDescent="0.3">
      <c r="A1720" s="22" t="s">
        <v>479</v>
      </c>
    </row>
    <row r="1721" spans="1:7" x14ac:dyDescent="0.3">
      <c r="A1721" s="22" t="s">
        <v>66</v>
      </c>
      <c r="B1721" t="s">
        <v>62</v>
      </c>
      <c r="C1721" t="s">
        <v>57</v>
      </c>
      <c r="D1721" t="s">
        <v>63</v>
      </c>
      <c r="E1721" t="s">
        <v>410</v>
      </c>
      <c r="F1721" t="s">
        <v>411</v>
      </c>
      <c r="G1721" t="s">
        <v>413</v>
      </c>
    </row>
    <row r="1722" spans="1:7" x14ac:dyDescent="0.3">
      <c r="A1722" s="22" t="s">
        <v>67</v>
      </c>
      <c r="B1722">
        <v>123</v>
      </c>
      <c r="C1722" t="s">
        <v>64</v>
      </c>
      <c r="D1722">
        <v>130</v>
      </c>
      <c r="E1722" s="8">
        <v>8.0999999999999996E-3</v>
      </c>
      <c r="F1722" s="8">
        <v>0.23580000000000001</v>
      </c>
      <c r="G1722" s="8">
        <v>0.75609999999999999</v>
      </c>
    </row>
    <row r="1723" spans="1:7" x14ac:dyDescent="0.3">
      <c r="A1723" s="22" t="s">
        <v>68</v>
      </c>
      <c r="B1723">
        <v>7</v>
      </c>
      <c r="C1723" t="s">
        <v>64</v>
      </c>
      <c r="D1723">
        <v>130</v>
      </c>
      <c r="F1723" s="8">
        <v>0.42859999999999998</v>
      </c>
      <c r="G1723" s="8">
        <v>0.57140000000000002</v>
      </c>
    </row>
    <row r="1725" spans="1:7" x14ac:dyDescent="0.3">
      <c r="A1725"/>
    </row>
    <row r="1726" spans="1:7" x14ac:dyDescent="0.3">
      <c r="A1726"/>
    </row>
    <row r="1727" spans="1:7" x14ac:dyDescent="0.3">
      <c r="A1727"/>
    </row>
    <row r="1729" spans="1:7" ht="57.6" x14ac:dyDescent="0.3">
      <c r="A1729" s="22" t="s">
        <v>480</v>
      </c>
    </row>
    <row r="1730" spans="1:7" x14ac:dyDescent="0.3">
      <c r="A1730" s="22" t="s">
        <v>66</v>
      </c>
      <c r="B1730" t="s">
        <v>62</v>
      </c>
      <c r="C1730" t="s">
        <v>57</v>
      </c>
      <c r="D1730" t="s">
        <v>63</v>
      </c>
      <c r="E1730" t="s">
        <v>410</v>
      </c>
      <c r="F1730" t="s">
        <v>411</v>
      </c>
      <c r="G1730" t="s">
        <v>413</v>
      </c>
    </row>
    <row r="1731" spans="1:7" x14ac:dyDescent="0.3">
      <c r="A1731" s="22" t="s">
        <v>67</v>
      </c>
      <c r="B1731">
        <v>124</v>
      </c>
      <c r="C1731" t="s">
        <v>64</v>
      </c>
      <c r="D1731">
        <v>130</v>
      </c>
      <c r="E1731" s="8">
        <v>8.0999999999999996E-3</v>
      </c>
      <c r="F1731" s="8">
        <v>0.25</v>
      </c>
      <c r="G1731" s="8">
        <v>0.7419</v>
      </c>
    </row>
    <row r="1732" spans="1:7" x14ac:dyDescent="0.3">
      <c r="A1732" s="22" t="s">
        <v>68</v>
      </c>
      <c r="B1732">
        <v>6</v>
      </c>
      <c r="C1732" t="s">
        <v>64</v>
      </c>
      <c r="D1732">
        <v>130</v>
      </c>
      <c r="F1732" s="8">
        <v>0.16669999999999999</v>
      </c>
      <c r="G1732" s="8">
        <v>0.83330000000000004</v>
      </c>
    </row>
    <row r="1734" spans="1:7" ht="57.6" x14ac:dyDescent="0.3">
      <c r="A1734" s="22" t="s">
        <v>481</v>
      </c>
    </row>
    <row r="1735" spans="1:7" x14ac:dyDescent="0.3">
      <c r="A1735" s="22" t="s">
        <v>66</v>
      </c>
      <c r="B1735" t="s">
        <v>62</v>
      </c>
      <c r="C1735" t="s">
        <v>57</v>
      </c>
      <c r="D1735" t="s">
        <v>63</v>
      </c>
      <c r="E1735" t="s">
        <v>410</v>
      </c>
      <c r="F1735" t="s">
        <v>411</v>
      </c>
      <c r="G1735" t="s">
        <v>413</v>
      </c>
    </row>
    <row r="1736" spans="1:7" x14ac:dyDescent="0.3">
      <c r="A1736" s="22" t="s">
        <v>67</v>
      </c>
      <c r="B1736">
        <v>129</v>
      </c>
      <c r="C1736" t="s">
        <v>64</v>
      </c>
      <c r="D1736">
        <v>130</v>
      </c>
      <c r="E1736" s="8">
        <v>7.7999999999999996E-3</v>
      </c>
      <c r="F1736" s="8">
        <v>0.24809999999999999</v>
      </c>
      <c r="G1736" s="8">
        <v>0.74419999999999997</v>
      </c>
    </row>
    <row r="1737" spans="1:7" x14ac:dyDescent="0.3">
      <c r="A1737" s="22" t="s">
        <v>68</v>
      </c>
      <c r="B1737">
        <v>1</v>
      </c>
      <c r="C1737" t="s">
        <v>64</v>
      </c>
      <c r="D1737">
        <v>130</v>
      </c>
      <c r="G1737" s="8">
        <v>1</v>
      </c>
    </row>
    <row r="1739" spans="1:7" ht="57.6" x14ac:dyDescent="0.3">
      <c r="A1739" s="22" t="s">
        <v>482</v>
      </c>
    </row>
    <row r="1740" spans="1:7" x14ac:dyDescent="0.3">
      <c r="A1740" s="22" t="s">
        <v>66</v>
      </c>
      <c r="B1740" t="s">
        <v>62</v>
      </c>
      <c r="C1740" t="s">
        <v>57</v>
      </c>
      <c r="D1740" t="s">
        <v>63</v>
      </c>
      <c r="E1740" t="s">
        <v>410</v>
      </c>
      <c r="F1740" t="s">
        <v>411</v>
      </c>
      <c r="G1740" t="s">
        <v>413</v>
      </c>
    </row>
    <row r="1741" spans="1:7" x14ac:dyDescent="0.3">
      <c r="A1741" s="22" t="s">
        <v>67</v>
      </c>
      <c r="B1741">
        <v>120</v>
      </c>
      <c r="C1741" t="s">
        <v>64</v>
      </c>
      <c r="D1741">
        <v>130</v>
      </c>
      <c r="E1741" s="8">
        <v>8.3000000000000001E-3</v>
      </c>
      <c r="F1741" s="8">
        <v>0.2417</v>
      </c>
      <c r="G1741" s="8">
        <v>0.75</v>
      </c>
    </row>
    <row r="1742" spans="1:7" x14ac:dyDescent="0.3">
      <c r="A1742" s="22" t="s">
        <v>68</v>
      </c>
      <c r="B1742">
        <v>10</v>
      </c>
      <c r="C1742" t="s">
        <v>64</v>
      </c>
      <c r="D1742">
        <v>130</v>
      </c>
      <c r="F1742" s="8">
        <v>0.3</v>
      </c>
      <c r="G1742" s="8">
        <v>0.7</v>
      </c>
    </row>
    <row r="1744" spans="1:7" ht="57.6" x14ac:dyDescent="0.3">
      <c r="A1744" s="22" t="s">
        <v>483</v>
      </c>
    </row>
    <row r="1745" spans="1:7" x14ac:dyDescent="0.3">
      <c r="A1745" s="22" t="s">
        <v>66</v>
      </c>
      <c r="B1745" t="s">
        <v>62</v>
      </c>
      <c r="C1745" t="s">
        <v>57</v>
      </c>
      <c r="D1745" t="s">
        <v>63</v>
      </c>
      <c r="E1745" t="s">
        <v>410</v>
      </c>
      <c r="F1745" t="s">
        <v>411</v>
      </c>
      <c r="G1745" t="s">
        <v>413</v>
      </c>
    </row>
    <row r="1746" spans="1:7" x14ac:dyDescent="0.3">
      <c r="A1746" s="22" t="s">
        <v>67</v>
      </c>
      <c r="B1746">
        <v>5</v>
      </c>
      <c r="C1746" t="s">
        <v>64</v>
      </c>
      <c r="D1746">
        <v>130</v>
      </c>
      <c r="F1746" s="8">
        <v>0.4</v>
      </c>
      <c r="G1746" s="8">
        <v>0.6</v>
      </c>
    </row>
    <row r="1747" spans="1:7" x14ac:dyDescent="0.3">
      <c r="A1747" s="22" t="s">
        <v>68</v>
      </c>
      <c r="B1747">
        <v>125</v>
      </c>
      <c r="C1747" t="s">
        <v>64</v>
      </c>
      <c r="D1747">
        <v>130</v>
      </c>
      <c r="E1747" s="8">
        <v>8.0000000000000002E-3</v>
      </c>
      <c r="F1747" s="8">
        <v>0.24</v>
      </c>
      <c r="G1747" s="8">
        <v>0.752</v>
      </c>
    </row>
    <row r="1749" spans="1:7" ht="57.6" x14ac:dyDescent="0.3">
      <c r="A1749" s="22" t="s">
        <v>484</v>
      </c>
    </row>
    <row r="1750" spans="1:7" x14ac:dyDescent="0.3">
      <c r="A1750" s="22" t="s">
        <v>66</v>
      </c>
      <c r="B1750" t="s">
        <v>62</v>
      </c>
      <c r="C1750" t="s">
        <v>57</v>
      </c>
      <c r="D1750" t="s">
        <v>63</v>
      </c>
      <c r="E1750" t="s">
        <v>410</v>
      </c>
      <c r="F1750" t="s">
        <v>411</v>
      </c>
      <c r="G1750" t="s">
        <v>413</v>
      </c>
    </row>
    <row r="1751" spans="1:7" x14ac:dyDescent="0.3">
      <c r="A1751" s="22" t="s">
        <v>67</v>
      </c>
      <c r="B1751">
        <v>106</v>
      </c>
      <c r="C1751" t="s">
        <v>64</v>
      </c>
      <c r="D1751">
        <v>130</v>
      </c>
      <c r="E1751" s="8">
        <v>9.4000000000000004E-3</v>
      </c>
      <c r="F1751" s="8">
        <v>0.24529999999999999</v>
      </c>
      <c r="G1751" s="8">
        <v>0.74529999999999996</v>
      </c>
    </row>
    <row r="1752" spans="1:7" x14ac:dyDescent="0.3">
      <c r="A1752" s="22" t="s">
        <v>68</v>
      </c>
      <c r="B1752">
        <v>24</v>
      </c>
      <c r="C1752" t="s">
        <v>64</v>
      </c>
      <c r="D1752">
        <v>130</v>
      </c>
      <c r="F1752" s="8">
        <v>0.25</v>
      </c>
      <c r="G1752" s="8">
        <v>0.75</v>
      </c>
    </row>
    <row r="1754" spans="1:7" ht="57.6" x14ac:dyDescent="0.3">
      <c r="A1754" s="22" t="s">
        <v>485</v>
      </c>
    </row>
    <row r="1755" spans="1:7" x14ac:dyDescent="0.3">
      <c r="A1755" s="22" t="s">
        <v>66</v>
      </c>
      <c r="B1755" t="s">
        <v>62</v>
      </c>
      <c r="C1755" t="s">
        <v>57</v>
      </c>
      <c r="D1755" t="s">
        <v>63</v>
      </c>
      <c r="E1755" t="s">
        <v>410</v>
      </c>
      <c r="F1755" t="s">
        <v>411</v>
      </c>
      <c r="G1755" t="s">
        <v>413</v>
      </c>
    </row>
    <row r="1756" spans="1:7" x14ac:dyDescent="0.3">
      <c r="A1756" s="22" t="s">
        <v>67</v>
      </c>
      <c r="B1756">
        <v>101</v>
      </c>
      <c r="C1756" t="s">
        <v>64</v>
      </c>
      <c r="D1756">
        <v>130</v>
      </c>
      <c r="F1756" s="8">
        <v>0.22770000000000001</v>
      </c>
      <c r="G1756" s="8">
        <v>0.77229999999999999</v>
      </c>
    </row>
    <row r="1757" spans="1:7" x14ac:dyDescent="0.3">
      <c r="A1757" s="22" t="s">
        <v>68</v>
      </c>
      <c r="B1757">
        <v>29</v>
      </c>
      <c r="C1757" t="s">
        <v>64</v>
      </c>
      <c r="D1757">
        <v>130</v>
      </c>
      <c r="E1757" s="8">
        <v>3.4500000000000003E-2</v>
      </c>
      <c r="F1757" s="8">
        <v>0.31030000000000002</v>
      </c>
      <c r="G1757" s="8">
        <v>0.6552</v>
      </c>
    </row>
    <row r="1759" spans="1:7" ht="57.6" x14ac:dyDescent="0.3">
      <c r="A1759" s="22" t="s">
        <v>486</v>
      </c>
    </row>
    <row r="1760" spans="1:7" x14ac:dyDescent="0.3">
      <c r="A1760" s="22" t="s">
        <v>66</v>
      </c>
      <c r="B1760" t="s">
        <v>62</v>
      </c>
      <c r="C1760" t="s">
        <v>57</v>
      </c>
      <c r="D1760" t="s">
        <v>63</v>
      </c>
      <c r="E1760" t="s">
        <v>410</v>
      </c>
      <c r="F1760" t="s">
        <v>411</v>
      </c>
      <c r="G1760" t="s">
        <v>413</v>
      </c>
    </row>
    <row r="1761" spans="1:7" x14ac:dyDescent="0.3">
      <c r="A1761" s="22" t="s">
        <v>67</v>
      </c>
      <c r="B1761">
        <v>98</v>
      </c>
      <c r="C1761" t="s">
        <v>64</v>
      </c>
      <c r="D1761">
        <v>130</v>
      </c>
      <c r="F1761" s="8">
        <v>0.23469999999999999</v>
      </c>
      <c r="G1761" s="8">
        <v>0.76529999999999998</v>
      </c>
    </row>
    <row r="1762" spans="1:7" x14ac:dyDescent="0.3">
      <c r="A1762" s="22" t="s">
        <v>68</v>
      </c>
      <c r="B1762">
        <v>32</v>
      </c>
      <c r="C1762" t="s">
        <v>64</v>
      </c>
      <c r="D1762">
        <v>130</v>
      </c>
      <c r="E1762" s="8">
        <v>3.1199999999999999E-2</v>
      </c>
      <c r="F1762" s="8">
        <v>0.28120000000000001</v>
      </c>
      <c r="G1762" s="8">
        <v>0.6875</v>
      </c>
    </row>
    <row r="1764" spans="1:7" ht="72" x14ac:dyDescent="0.3">
      <c r="A1764" s="22" t="s">
        <v>487</v>
      </c>
    </row>
    <row r="1765" spans="1:7" x14ac:dyDescent="0.3">
      <c r="A1765" s="22" t="s">
        <v>66</v>
      </c>
      <c r="B1765" t="s">
        <v>62</v>
      </c>
      <c r="C1765" t="s">
        <v>57</v>
      </c>
      <c r="D1765" t="s">
        <v>63</v>
      </c>
      <c r="E1765" t="s">
        <v>410</v>
      </c>
      <c r="F1765" t="s">
        <v>411</v>
      </c>
      <c r="G1765" t="s">
        <v>413</v>
      </c>
    </row>
    <row r="1766" spans="1:7" x14ac:dyDescent="0.3">
      <c r="A1766" s="22" t="s">
        <v>67</v>
      </c>
      <c r="B1766">
        <v>118</v>
      </c>
      <c r="C1766" t="s">
        <v>64</v>
      </c>
      <c r="D1766">
        <v>130</v>
      </c>
      <c r="E1766" s="8">
        <v>8.5000000000000006E-3</v>
      </c>
      <c r="F1766" s="8">
        <v>0.2288</v>
      </c>
      <c r="G1766" s="8">
        <v>0.76270000000000004</v>
      </c>
    </row>
    <row r="1767" spans="1:7" x14ac:dyDescent="0.3">
      <c r="A1767" s="22" t="s">
        <v>68</v>
      </c>
      <c r="B1767">
        <v>12</v>
      </c>
      <c r="C1767" t="s">
        <v>64</v>
      </c>
      <c r="D1767">
        <v>130</v>
      </c>
      <c r="F1767" s="8">
        <v>0.41670000000000001</v>
      </c>
      <c r="G1767" s="8">
        <v>0.58330000000000004</v>
      </c>
    </row>
    <row r="1769" spans="1:7" ht="72" x14ac:dyDescent="0.3">
      <c r="A1769" s="22" t="s">
        <v>488</v>
      </c>
    </row>
    <row r="1770" spans="1:7" x14ac:dyDescent="0.3">
      <c r="A1770" s="22" t="s">
        <v>66</v>
      </c>
      <c r="B1770" t="s">
        <v>62</v>
      </c>
      <c r="C1770" t="s">
        <v>57</v>
      </c>
      <c r="D1770" t="s">
        <v>63</v>
      </c>
      <c r="E1770" t="s">
        <v>410</v>
      </c>
      <c r="F1770" t="s">
        <v>411</v>
      </c>
      <c r="G1770" t="s">
        <v>413</v>
      </c>
    </row>
    <row r="1771" spans="1:7" x14ac:dyDescent="0.3">
      <c r="A1771" s="22" t="s">
        <v>67</v>
      </c>
      <c r="B1771">
        <v>130</v>
      </c>
      <c r="C1771" t="s">
        <v>64</v>
      </c>
      <c r="D1771">
        <v>130</v>
      </c>
      <c r="E1771" s="8">
        <v>7.7000000000000002E-3</v>
      </c>
      <c r="F1771" s="8">
        <v>0.2462</v>
      </c>
      <c r="G1771" s="8">
        <v>0.74619999999999997</v>
      </c>
    </row>
    <row r="1773" spans="1:7" ht="57.6" x14ac:dyDescent="0.3">
      <c r="A1773" s="22" t="s">
        <v>489</v>
      </c>
    </row>
    <row r="1774" spans="1:7" x14ac:dyDescent="0.3">
      <c r="A1774" s="22" t="s">
        <v>66</v>
      </c>
      <c r="B1774" t="s">
        <v>62</v>
      </c>
      <c r="C1774" t="s">
        <v>57</v>
      </c>
      <c r="D1774" t="s">
        <v>63</v>
      </c>
      <c r="E1774" t="s">
        <v>410</v>
      </c>
      <c r="F1774" t="s">
        <v>411</v>
      </c>
      <c r="G1774" t="s">
        <v>413</v>
      </c>
    </row>
    <row r="1775" spans="1:7" x14ac:dyDescent="0.3">
      <c r="A1775" s="22" t="s">
        <v>67</v>
      </c>
      <c r="B1775">
        <v>77</v>
      </c>
      <c r="C1775" t="s">
        <v>64</v>
      </c>
      <c r="D1775">
        <v>130</v>
      </c>
      <c r="E1775" s="8">
        <v>1.2999999999999999E-2</v>
      </c>
      <c r="F1775" s="8">
        <v>0.24679999999999999</v>
      </c>
      <c r="G1775" s="8">
        <v>0.74029999999999996</v>
      </c>
    </row>
    <row r="1776" spans="1:7" x14ac:dyDescent="0.3">
      <c r="A1776" s="22" t="s">
        <v>68</v>
      </c>
      <c r="B1776">
        <v>53</v>
      </c>
      <c r="C1776" t="s">
        <v>64</v>
      </c>
      <c r="D1776">
        <v>130</v>
      </c>
      <c r="F1776" s="8">
        <v>0.24529999999999999</v>
      </c>
      <c r="G1776" s="8">
        <v>0.75470000000000004</v>
      </c>
    </row>
    <row r="1778" spans="1:7" ht="57.6" x14ac:dyDescent="0.3">
      <c r="A1778" s="22" t="s">
        <v>490</v>
      </c>
    </row>
    <row r="1779" spans="1:7" x14ac:dyDescent="0.3">
      <c r="A1779" s="22" t="s">
        <v>66</v>
      </c>
      <c r="B1779" t="s">
        <v>62</v>
      </c>
      <c r="C1779" t="s">
        <v>57</v>
      </c>
      <c r="D1779" t="s">
        <v>63</v>
      </c>
      <c r="E1779" t="s">
        <v>410</v>
      </c>
      <c r="F1779" t="s">
        <v>411</v>
      </c>
      <c r="G1779" t="s">
        <v>413</v>
      </c>
    </row>
    <row r="1780" spans="1:7" x14ac:dyDescent="0.3">
      <c r="A1780" s="22" t="s">
        <v>67</v>
      </c>
      <c r="B1780">
        <v>114</v>
      </c>
      <c r="C1780" t="s">
        <v>64</v>
      </c>
      <c r="D1780">
        <v>130</v>
      </c>
      <c r="E1780" s="8">
        <v>8.8000000000000005E-3</v>
      </c>
      <c r="F1780" s="8">
        <v>0.27189999999999998</v>
      </c>
      <c r="G1780" s="8">
        <v>0.71930000000000005</v>
      </c>
    </row>
    <row r="1781" spans="1:7" x14ac:dyDescent="0.3">
      <c r="A1781" s="22" t="s">
        <v>68</v>
      </c>
      <c r="B1781">
        <v>16</v>
      </c>
      <c r="C1781" t="s">
        <v>64</v>
      </c>
      <c r="D1781">
        <v>130</v>
      </c>
      <c r="F1781" s="8">
        <v>6.25E-2</v>
      </c>
      <c r="G1781" s="8">
        <v>0.9375</v>
      </c>
    </row>
    <row r="1783" spans="1:7" ht="43.2" x14ac:dyDescent="0.3">
      <c r="A1783" s="22" t="s">
        <v>491</v>
      </c>
    </row>
    <row r="1784" spans="1:7" x14ac:dyDescent="0.3">
      <c r="A1784" s="22" t="s">
        <v>66</v>
      </c>
      <c r="B1784" t="s">
        <v>62</v>
      </c>
      <c r="C1784" t="s">
        <v>57</v>
      </c>
      <c r="D1784" t="s">
        <v>63</v>
      </c>
      <c r="E1784" t="s">
        <v>410</v>
      </c>
      <c r="F1784" t="s">
        <v>411</v>
      </c>
      <c r="G1784" t="s">
        <v>413</v>
      </c>
    </row>
    <row r="1785" spans="1:7" x14ac:dyDescent="0.3">
      <c r="A1785" s="22" t="s">
        <v>81</v>
      </c>
      <c r="B1785">
        <v>32</v>
      </c>
      <c r="C1785" t="s">
        <v>64</v>
      </c>
      <c r="D1785">
        <v>130</v>
      </c>
      <c r="E1785" s="8">
        <v>3.1199999999999999E-2</v>
      </c>
      <c r="F1785" s="8">
        <v>0.4375</v>
      </c>
      <c r="G1785" s="8">
        <v>0.53120000000000001</v>
      </c>
    </row>
    <row r="1786" spans="1:7" x14ac:dyDescent="0.3">
      <c r="A1786" s="22" t="s">
        <v>82</v>
      </c>
      <c r="B1786">
        <v>34</v>
      </c>
      <c r="C1786" t="s">
        <v>64</v>
      </c>
      <c r="D1786">
        <v>130</v>
      </c>
      <c r="F1786" s="8">
        <v>0.17649999999999999</v>
      </c>
      <c r="G1786" s="8">
        <v>0.82350000000000001</v>
      </c>
    </row>
    <row r="1787" spans="1:7" x14ac:dyDescent="0.3">
      <c r="A1787" s="22" t="s">
        <v>83</v>
      </c>
      <c r="B1787">
        <v>33</v>
      </c>
      <c r="C1787" t="s">
        <v>64</v>
      </c>
      <c r="D1787">
        <v>130</v>
      </c>
      <c r="F1787" s="8">
        <v>0.1515</v>
      </c>
      <c r="G1787" s="8">
        <v>0.84850000000000003</v>
      </c>
    </row>
    <row r="1788" spans="1:7" x14ac:dyDescent="0.3">
      <c r="A1788" s="22" t="s">
        <v>84</v>
      </c>
      <c r="B1788">
        <v>31</v>
      </c>
      <c r="C1788" t="s">
        <v>64</v>
      </c>
      <c r="D1788">
        <v>130</v>
      </c>
      <c r="F1788" s="8">
        <v>0.2258</v>
      </c>
      <c r="G1788" s="8">
        <v>0.7742</v>
      </c>
    </row>
    <row r="1790" spans="1:7" ht="28.8" x14ac:dyDescent="0.3">
      <c r="A1790" s="27" t="s">
        <v>492</v>
      </c>
    </row>
    <row r="1791" spans="1:7" x14ac:dyDescent="0.3">
      <c r="A1791" s="22" t="s">
        <v>57</v>
      </c>
      <c r="B1791" t="s">
        <v>58</v>
      </c>
      <c r="C1791" t="s">
        <v>59</v>
      </c>
      <c r="D1791" t="s">
        <v>60</v>
      </c>
      <c r="E1791" t="s">
        <v>61</v>
      </c>
      <c r="F1791" t="s">
        <v>62</v>
      </c>
      <c r="G1791" t="s">
        <v>63</v>
      </c>
    </row>
    <row r="1792" spans="1:7" x14ac:dyDescent="0.3">
      <c r="A1792" s="22" t="s">
        <v>64</v>
      </c>
      <c r="B1792" s="25">
        <v>4.3195876288659791</v>
      </c>
      <c r="C1792">
        <v>4</v>
      </c>
      <c r="D1792">
        <v>1</v>
      </c>
      <c r="E1792">
        <v>12</v>
      </c>
      <c r="F1792">
        <v>97</v>
      </c>
      <c r="G1792">
        <v>97</v>
      </c>
    </row>
    <row r="1794" spans="1:8" ht="57.6" x14ac:dyDescent="0.3">
      <c r="A1794" s="22" t="s">
        <v>493</v>
      </c>
      <c r="C1794" s="25"/>
    </row>
    <row r="1795" spans="1:8" x14ac:dyDescent="0.3">
      <c r="A1795" s="22" t="s">
        <v>57</v>
      </c>
      <c r="B1795" t="s">
        <v>66</v>
      </c>
      <c r="C1795" s="25" t="s">
        <v>58</v>
      </c>
      <c r="D1795" t="s">
        <v>59</v>
      </c>
      <c r="E1795" t="s">
        <v>60</v>
      </c>
      <c r="F1795" t="s">
        <v>61</v>
      </c>
      <c r="G1795" t="s">
        <v>62</v>
      </c>
      <c r="H1795" t="s">
        <v>63</v>
      </c>
    </row>
    <row r="1796" spans="1:8" x14ac:dyDescent="0.3">
      <c r="A1796" s="22" t="s">
        <v>64</v>
      </c>
      <c r="B1796" t="s">
        <v>67</v>
      </c>
      <c r="C1796" s="25">
        <v>4.279569892473118</v>
      </c>
      <c r="D1796">
        <v>4</v>
      </c>
      <c r="E1796">
        <v>1</v>
      </c>
      <c r="F1796">
        <v>12</v>
      </c>
      <c r="G1796">
        <v>93</v>
      </c>
      <c r="H1796">
        <v>97</v>
      </c>
    </row>
    <row r="1797" spans="1:8" x14ac:dyDescent="0.3">
      <c r="A1797" s="22" t="s">
        <v>64</v>
      </c>
      <c r="B1797" t="s">
        <v>68</v>
      </c>
      <c r="C1797" s="25">
        <v>5.25</v>
      </c>
      <c r="D1797">
        <v>4</v>
      </c>
      <c r="E1797">
        <v>4</v>
      </c>
      <c r="F1797">
        <v>8</v>
      </c>
      <c r="G1797">
        <v>4</v>
      </c>
      <c r="H1797">
        <v>97</v>
      </c>
    </row>
    <row r="1798" spans="1:8" x14ac:dyDescent="0.3">
      <c r="C1798" s="25"/>
    </row>
    <row r="1799" spans="1:8" x14ac:dyDescent="0.3">
      <c r="A1799"/>
      <c r="C1799" s="25"/>
    </row>
    <row r="1800" spans="1:8" x14ac:dyDescent="0.3">
      <c r="A1800"/>
      <c r="C1800" s="25"/>
    </row>
    <row r="1801" spans="1:8" x14ac:dyDescent="0.3">
      <c r="A1801"/>
      <c r="C1801" s="25"/>
    </row>
    <row r="1802" spans="1:8" x14ac:dyDescent="0.3">
      <c r="A1802"/>
      <c r="C1802" s="25"/>
    </row>
    <row r="1803" spans="1:8" ht="43.2" x14ac:dyDescent="0.3">
      <c r="A1803" s="22" t="s">
        <v>494</v>
      </c>
      <c r="C1803" s="25"/>
    </row>
    <row r="1804" spans="1:8" x14ac:dyDescent="0.3">
      <c r="A1804" s="22" t="s">
        <v>57</v>
      </c>
      <c r="B1804" t="s">
        <v>66</v>
      </c>
      <c r="C1804" s="25" t="s">
        <v>58</v>
      </c>
      <c r="D1804" t="s">
        <v>59</v>
      </c>
      <c r="E1804" t="s">
        <v>60</v>
      </c>
      <c r="F1804" t="s">
        <v>61</v>
      </c>
      <c r="G1804" t="s">
        <v>62</v>
      </c>
      <c r="H1804" t="s">
        <v>63</v>
      </c>
    </row>
    <row r="1805" spans="1:8" x14ac:dyDescent="0.3">
      <c r="A1805" s="22" t="s">
        <v>64</v>
      </c>
      <c r="B1805" t="s">
        <v>67</v>
      </c>
      <c r="C1805" s="25">
        <v>4.25</v>
      </c>
      <c r="D1805">
        <v>4</v>
      </c>
      <c r="E1805">
        <v>1</v>
      </c>
      <c r="F1805">
        <v>12</v>
      </c>
      <c r="G1805">
        <v>92</v>
      </c>
      <c r="H1805">
        <v>97</v>
      </c>
    </row>
    <row r="1806" spans="1:8" x14ac:dyDescent="0.3">
      <c r="A1806" s="22" t="s">
        <v>64</v>
      </c>
      <c r="B1806" t="s">
        <v>68</v>
      </c>
      <c r="C1806" s="25">
        <v>5.6</v>
      </c>
      <c r="D1806">
        <v>8</v>
      </c>
      <c r="E1806">
        <v>4</v>
      </c>
      <c r="F1806">
        <v>8</v>
      </c>
      <c r="G1806">
        <v>5</v>
      </c>
      <c r="H1806">
        <v>97</v>
      </c>
    </row>
    <row r="1807" spans="1:8" x14ac:dyDescent="0.3">
      <c r="C1807" s="25"/>
    </row>
    <row r="1808" spans="1:8" ht="43.2" x14ac:dyDescent="0.3">
      <c r="A1808" s="22" t="s">
        <v>495</v>
      </c>
      <c r="C1808" s="25"/>
    </row>
    <row r="1809" spans="1:8" x14ac:dyDescent="0.3">
      <c r="A1809" s="22" t="s">
        <v>57</v>
      </c>
      <c r="B1809" t="s">
        <v>66</v>
      </c>
      <c r="C1809" s="25" t="s">
        <v>58</v>
      </c>
      <c r="D1809" t="s">
        <v>59</v>
      </c>
      <c r="E1809" t="s">
        <v>60</v>
      </c>
      <c r="F1809" t="s">
        <v>61</v>
      </c>
      <c r="G1809" t="s">
        <v>62</v>
      </c>
      <c r="H1809" t="s">
        <v>63</v>
      </c>
    </row>
    <row r="1810" spans="1:8" x14ac:dyDescent="0.3">
      <c r="A1810" s="22" t="s">
        <v>64</v>
      </c>
      <c r="B1810" t="s">
        <v>67</v>
      </c>
      <c r="C1810" s="25">
        <v>4.34375</v>
      </c>
      <c r="D1810">
        <v>4</v>
      </c>
      <c r="E1810">
        <v>1</v>
      </c>
      <c r="F1810">
        <v>12</v>
      </c>
      <c r="G1810">
        <v>96</v>
      </c>
      <c r="H1810">
        <v>97</v>
      </c>
    </row>
    <row r="1811" spans="1:8" x14ac:dyDescent="0.3">
      <c r="A1811" s="22" t="s">
        <v>64</v>
      </c>
      <c r="B1811" t="s">
        <v>68</v>
      </c>
      <c r="C1811" s="25">
        <v>2</v>
      </c>
      <c r="D1811">
        <v>2</v>
      </c>
      <c r="E1811">
        <v>2</v>
      </c>
      <c r="F1811">
        <v>2</v>
      </c>
      <c r="G1811">
        <v>1</v>
      </c>
      <c r="H1811">
        <v>97</v>
      </c>
    </row>
    <row r="1812" spans="1:8" x14ac:dyDescent="0.3">
      <c r="C1812" s="25"/>
    </row>
    <row r="1813" spans="1:8" ht="57.6" x14ac:dyDescent="0.3">
      <c r="A1813" s="22" t="s">
        <v>496</v>
      </c>
      <c r="C1813" s="25"/>
    </row>
    <row r="1814" spans="1:8" x14ac:dyDescent="0.3">
      <c r="A1814" s="22" t="s">
        <v>57</v>
      </c>
      <c r="B1814" t="s">
        <v>66</v>
      </c>
      <c r="C1814" s="25" t="s">
        <v>58</v>
      </c>
      <c r="D1814" t="s">
        <v>59</v>
      </c>
      <c r="E1814" t="s">
        <v>60</v>
      </c>
      <c r="F1814" t="s">
        <v>61</v>
      </c>
      <c r="G1814" t="s">
        <v>62</v>
      </c>
      <c r="H1814" t="s">
        <v>63</v>
      </c>
    </row>
    <row r="1815" spans="1:8" x14ac:dyDescent="0.3">
      <c r="A1815" s="22" t="s">
        <v>64</v>
      </c>
      <c r="B1815" t="s">
        <v>67</v>
      </c>
      <c r="C1815" s="25">
        <v>4.3555555555555552</v>
      </c>
      <c r="D1815">
        <v>4</v>
      </c>
      <c r="E1815">
        <v>1</v>
      </c>
      <c r="F1815">
        <v>12</v>
      </c>
      <c r="G1815">
        <v>90</v>
      </c>
      <c r="H1815">
        <v>97</v>
      </c>
    </row>
    <row r="1816" spans="1:8" x14ac:dyDescent="0.3">
      <c r="A1816" s="22" t="s">
        <v>64</v>
      </c>
      <c r="B1816" t="s">
        <v>68</v>
      </c>
      <c r="C1816" s="25">
        <v>3.8571428571428572</v>
      </c>
      <c r="D1816">
        <v>4</v>
      </c>
      <c r="E1816">
        <v>1</v>
      </c>
      <c r="F1816">
        <v>8</v>
      </c>
      <c r="G1816">
        <v>7</v>
      </c>
      <c r="H1816">
        <v>97</v>
      </c>
    </row>
    <row r="1817" spans="1:8" x14ac:dyDescent="0.3">
      <c r="C1817" s="25"/>
    </row>
    <row r="1818" spans="1:8" ht="57.6" x14ac:dyDescent="0.3">
      <c r="A1818" s="22" t="s">
        <v>497</v>
      </c>
      <c r="C1818" s="25"/>
    </row>
    <row r="1819" spans="1:8" x14ac:dyDescent="0.3">
      <c r="A1819" s="22" t="s">
        <v>57</v>
      </c>
      <c r="B1819" t="s">
        <v>66</v>
      </c>
      <c r="C1819" s="25" t="s">
        <v>58</v>
      </c>
      <c r="D1819" t="s">
        <v>59</v>
      </c>
      <c r="E1819" t="s">
        <v>60</v>
      </c>
      <c r="F1819" t="s">
        <v>61</v>
      </c>
      <c r="G1819" t="s">
        <v>62</v>
      </c>
      <c r="H1819" t="s">
        <v>63</v>
      </c>
    </row>
    <row r="1820" spans="1:8" x14ac:dyDescent="0.3">
      <c r="A1820" s="22" t="s">
        <v>64</v>
      </c>
      <c r="B1820" t="s">
        <v>67</v>
      </c>
      <c r="C1820" s="25">
        <v>3.333333333333333</v>
      </c>
      <c r="D1820">
        <v>4</v>
      </c>
      <c r="E1820">
        <v>2</v>
      </c>
      <c r="F1820">
        <v>4</v>
      </c>
      <c r="G1820">
        <v>3</v>
      </c>
      <c r="H1820">
        <v>97</v>
      </c>
    </row>
    <row r="1821" spans="1:8" x14ac:dyDescent="0.3">
      <c r="A1821" s="22" t="s">
        <v>64</v>
      </c>
      <c r="B1821" t="s">
        <v>68</v>
      </c>
      <c r="C1821" s="25">
        <v>4.3510638297872344</v>
      </c>
      <c r="D1821">
        <v>4</v>
      </c>
      <c r="E1821">
        <v>1</v>
      </c>
      <c r="F1821">
        <v>12</v>
      </c>
      <c r="G1821">
        <v>94</v>
      </c>
      <c r="H1821">
        <v>97</v>
      </c>
    </row>
    <row r="1822" spans="1:8" x14ac:dyDescent="0.3">
      <c r="C1822" s="25"/>
    </row>
    <row r="1823" spans="1:8" ht="43.2" x14ac:dyDescent="0.3">
      <c r="A1823" s="22" t="s">
        <v>498</v>
      </c>
      <c r="C1823" s="25"/>
    </row>
    <row r="1824" spans="1:8" x14ac:dyDescent="0.3">
      <c r="A1824" s="22" t="s">
        <v>57</v>
      </c>
      <c r="B1824" t="s">
        <v>66</v>
      </c>
      <c r="C1824" s="25" t="s">
        <v>58</v>
      </c>
      <c r="D1824" t="s">
        <v>59</v>
      </c>
      <c r="E1824" t="s">
        <v>60</v>
      </c>
      <c r="F1824" t="s">
        <v>61</v>
      </c>
      <c r="G1824" t="s">
        <v>62</v>
      </c>
      <c r="H1824" t="s">
        <v>63</v>
      </c>
    </row>
    <row r="1825" spans="1:8" x14ac:dyDescent="0.3">
      <c r="A1825" s="22" t="s">
        <v>64</v>
      </c>
      <c r="B1825" t="s">
        <v>67</v>
      </c>
      <c r="C1825" s="25">
        <v>4.2278481012658231</v>
      </c>
      <c r="D1825">
        <v>4</v>
      </c>
      <c r="E1825">
        <v>1</v>
      </c>
      <c r="F1825">
        <v>12</v>
      </c>
      <c r="G1825">
        <v>79</v>
      </c>
      <c r="H1825">
        <v>97</v>
      </c>
    </row>
    <row r="1826" spans="1:8" x14ac:dyDescent="0.3">
      <c r="A1826" s="22" t="s">
        <v>64</v>
      </c>
      <c r="B1826" t="s">
        <v>68</v>
      </c>
      <c r="C1826" s="25">
        <v>4.7222222222222223</v>
      </c>
      <c r="D1826">
        <v>4</v>
      </c>
      <c r="E1826">
        <v>1</v>
      </c>
      <c r="F1826">
        <v>12</v>
      </c>
      <c r="G1826">
        <v>18</v>
      </c>
      <c r="H1826">
        <v>97</v>
      </c>
    </row>
    <row r="1827" spans="1:8" x14ac:dyDescent="0.3">
      <c r="C1827" s="25"/>
    </row>
    <row r="1828" spans="1:8" ht="43.2" x14ac:dyDescent="0.3">
      <c r="A1828" s="22" t="s">
        <v>499</v>
      </c>
      <c r="C1828" s="25"/>
    </row>
    <row r="1829" spans="1:8" x14ac:dyDescent="0.3">
      <c r="A1829" s="22" t="s">
        <v>57</v>
      </c>
      <c r="B1829" t="s">
        <v>66</v>
      </c>
      <c r="C1829" s="25" t="s">
        <v>58</v>
      </c>
      <c r="D1829" t="s">
        <v>59</v>
      </c>
      <c r="E1829" t="s">
        <v>60</v>
      </c>
      <c r="F1829" t="s">
        <v>61</v>
      </c>
      <c r="G1829" t="s">
        <v>62</v>
      </c>
      <c r="H1829" t="s">
        <v>63</v>
      </c>
    </row>
    <row r="1830" spans="1:8" x14ac:dyDescent="0.3">
      <c r="A1830" s="22" t="s">
        <v>64</v>
      </c>
      <c r="B1830" t="s">
        <v>67</v>
      </c>
      <c r="C1830" s="25">
        <v>4.6025641025641022</v>
      </c>
      <c r="D1830">
        <v>4</v>
      </c>
      <c r="E1830">
        <v>1</v>
      </c>
      <c r="F1830">
        <v>12</v>
      </c>
      <c r="G1830">
        <v>78</v>
      </c>
      <c r="H1830">
        <v>97</v>
      </c>
    </row>
    <row r="1831" spans="1:8" x14ac:dyDescent="0.3">
      <c r="A1831" s="22" t="s">
        <v>64</v>
      </c>
      <c r="B1831" t="s">
        <v>68</v>
      </c>
      <c r="C1831" s="25">
        <v>3.1578947368421049</v>
      </c>
      <c r="D1831">
        <v>4</v>
      </c>
      <c r="E1831">
        <v>1</v>
      </c>
      <c r="F1831">
        <v>6</v>
      </c>
      <c r="G1831">
        <v>19</v>
      </c>
      <c r="H1831">
        <v>97</v>
      </c>
    </row>
    <row r="1832" spans="1:8" x14ac:dyDescent="0.3">
      <c r="C1832" s="25"/>
    </row>
    <row r="1833" spans="1:8" ht="57.6" x14ac:dyDescent="0.3">
      <c r="A1833" s="22" t="s">
        <v>500</v>
      </c>
      <c r="C1833" s="25"/>
    </row>
    <row r="1834" spans="1:8" x14ac:dyDescent="0.3">
      <c r="A1834" s="22" t="s">
        <v>57</v>
      </c>
      <c r="B1834" t="s">
        <v>66</v>
      </c>
      <c r="C1834" s="25" t="s">
        <v>58</v>
      </c>
      <c r="D1834" t="s">
        <v>59</v>
      </c>
      <c r="E1834" t="s">
        <v>60</v>
      </c>
      <c r="F1834" t="s">
        <v>61</v>
      </c>
      <c r="G1834" t="s">
        <v>62</v>
      </c>
      <c r="H1834" t="s">
        <v>63</v>
      </c>
    </row>
    <row r="1835" spans="1:8" x14ac:dyDescent="0.3">
      <c r="A1835" s="22" t="s">
        <v>64</v>
      </c>
      <c r="B1835" t="s">
        <v>67</v>
      </c>
      <c r="C1835" s="25">
        <v>4.6133333333333333</v>
      </c>
      <c r="D1835">
        <v>4</v>
      </c>
      <c r="E1835">
        <v>1</v>
      </c>
      <c r="F1835">
        <v>12</v>
      </c>
      <c r="G1835">
        <v>75</v>
      </c>
      <c r="H1835">
        <v>97</v>
      </c>
    </row>
    <row r="1836" spans="1:8" x14ac:dyDescent="0.3">
      <c r="A1836" s="22" t="s">
        <v>64</v>
      </c>
      <c r="B1836" t="s">
        <v>68</v>
      </c>
      <c r="C1836" s="25">
        <v>3.3181818181818179</v>
      </c>
      <c r="D1836">
        <v>3</v>
      </c>
      <c r="E1836">
        <v>1</v>
      </c>
      <c r="F1836">
        <v>12</v>
      </c>
      <c r="G1836">
        <v>22</v>
      </c>
      <c r="H1836">
        <v>97</v>
      </c>
    </row>
    <row r="1837" spans="1:8" x14ac:dyDescent="0.3">
      <c r="C1837" s="25"/>
    </row>
    <row r="1838" spans="1:8" ht="57.6" x14ac:dyDescent="0.3">
      <c r="A1838" s="22" t="s">
        <v>501</v>
      </c>
      <c r="C1838" s="25"/>
    </row>
    <row r="1839" spans="1:8" x14ac:dyDescent="0.3">
      <c r="A1839" s="22" t="s">
        <v>57</v>
      </c>
      <c r="B1839" t="s">
        <v>66</v>
      </c>
      <c r="C1839" s="25" t="s">
        <v>58</v>
      </c>
      <c r="D1839" t="s">
        <v>59</v>
      </c>
      <c r="E1839" t="s">
        <v>60</v>
      </c>
      <c r="F1839" t="s">
        <v>61</v>
      </c>
      <c r="G1839" t="s">
        <v>62</v>
      </c>
      <c r="H1839" t="s">
        <v>63</v>
      </c>
    </row>
    <row r="1840" spans="1:8" x14ac:dyDescent="0.3">
      <c r="A1840" s="22" t="s">
        <v>64</v>
      </c>
      <c r="B1840" t="s">
        <v>67</v>
      </c>
      <c r="C1840" s="25">
        <v>4.3888888888888893</v>
      </c>
      <c r="D1840">
        <v>4</v>
      </c>
      <c r="E1840">
        <v>1</v>
      </c>
      <c r="F1840">
        <v>12</v>
      </c>
      <c r="G1840">
        <v>90</v>
      </c>
      <c r="H1840">
        <v>97</v>
      </c>
    </row>
    <row r="1841" spans="1:8" x14ac:dyDescent="0.3">
      <c r="A1841" s="22" t="s">
        <v>64</v>
      </c>
      <c r="B1841" t="s">
        <v>68</v>
      </c>
      <c r="C1841" s="25">
        <v>3.4285714285714279</v>
      </c>
      <c r="D1841">
        <v>4</v>
      </c>
      <c r="E1841">
        <v>1</v>
      </c>
      <c r="F1841">
        <v>6</v>
      </c>
      <c r="G1841">
        <v>7</v>
      </c>
      <c r="H1841">
        <v>97</v>
      </c>
    </row>
    <row r="1842" spans="1:8" x14ac:dyDescent="0.3">
      <c r="C1842" s="25"/>
    </row>
    <row r="1843" spans="1:8" ht="57.6" x14ac:dyDescent="0.3">
      <c r="A1843" s="22" t="s">
        <v>502</v>
      </c>
      <c r="C1843" s="25"/>
    </row>
    <row r="1844" spans="1:8" x14ac:dyDescent="0.3">
      <c r="A1844" s="22" t="s">
        <v>57</v>
      </c>
      <c r="B1844" t="s">
        <v>66</v>
      </c>
      <c r="C1844" s="25" t="s">
        <v>58</v>
      </c>
      <c r="D1844" t="s">
        <v>59</v>
      </c>
      <c r="E1844" t="s">
        <v>60</v>
      </c>
      <c r="F1844" t="s">
        <v>61</v>
      </c>
      <c r="G1844" t="s">
        <v>62</v>
      </c>
      <c r="H1844" t="s">
        <v>63</v>
      </c>
    </row>
    <row r="1845" spans="1:8" x14ac:dyDescent="0.3">
      <c r="A1845" s="22" t="s">
        <v>64</v>
      </c>
      <c r="B1845" t="s">
        <v>67</v>
      </c>
      <c r="C1845" s="25">
        <v>4.3195876288659791</v>
      </c>
      <c r="D1845">
        <v>4</v>
      </c>
      <c r="E1845">
        <v>1</v>
      </c>
      <c r="F1845">
        <v>12</v>
      </c>
      <c r="G1845">
        <v>97</v>
      </c>
      <c r="H1845">
        <v>97</v>
      </c>
    </row>
    <row r="1846" spans="1:8" x14ac:dyDescent="0.3">
      <c r="C1846" s="25"/>
    </row>
    <row r="1847" spans="1:8" ht="43.2" x14ac:dyDescent="0.3">
      <c r="A1847" s="22" t="s">
        <v>503</v>
      </c>
      <c r="C1847" s="25"/>
    </row>
    <row r="1848" spans="1:8" x14ac:dyDescent="0.3">
      <c r="A1848" s="22" t="s">
        <v>57</v>
      </c>
      <c r="B1848" t="s">
        <v>66</v>
      </c>
      <c r="C1848" s="25" t="s">
        <v>58</v>
      </c>
      <c r="D1848" t="s">
        <v>59</v>
      </c>
      <c r="E1848" t="s">
        <v>60</v>
      </c>
      <c r="F1848" t="s">
        <v>61</v>
      </c>
      <c r="G1848" t="s">
        <v>62</v>
      </c>
      <c r="H1848" t="s">
        <v>63</v>
      </c>
    </row>
    <row r="1849" spans="1:8" x14ac:dyDescent="0.3">
      <c r="A1849" s="22" t="s">
        <v>64</v>
      </c>
      <c r="B1849" t="s">
        <v>67</v>
      </c>
      <c r="C1849" s="25">
        <v>4.4035087719298236</v>
      </c>
      <c r="D1849">
        <v>4</v>
      </c>
      <c r="E1849">
        <v>1</v>
      </c>
      <c r="F1849">
        <v>12</v>
      </c>
      <c r="G1849">
        <v>57</v>
      </c>
      <c r="H1849">
        <v>97</v>
      </c>
    </row>
    <row r="1850" spans="1:8" x14ac:dyDescent="0.3">
      <c r="A1850" s="22" t="s">
        <v>64</v>
      </c>
      <c r="B1850" t="s">
        <v>68</v>
      </c>
      <c r="C1850" s="25">
        <v>4.2</v>
      </c>
      <c r="D1850">
        <v>4</v>
      </c>
      <c r="E1850">
        <v>1</v>
      </c>
      <c r="F1850">
        <v>12</v>
      </c>
      <c r="G1850">
        <v>40</v>
      </c>
      <c r="H1850">
        <v>97</v>
      </c>
    </row>
    <row r="1851" spans="1:8" x14ac:dyDescent="0.3">
      <c r="C1851" s="25"/>
    </row>
    <row r="1852" spans="1:8" ht="57.6" x14ac:dyDescent="0.3">
      <c r="A1852" s="22" t="s">
        <v>504</v>
      </c>
      <c r="C1852" s="25"/>
    </row>
    <row r="1853" spans="1:8" x14ac:dyDescent="0.3">
      <c r="A1853" s="22" t="s">
        <v>57</v>
      </c>
      <c r="B1853" t="s">
        <v>66</v>
      </c>
      <c r="C1853" s="25" t="s">
        <v>58</v>
      </c>
      <c r="D1853" t="s">
        <v>59</v>
      </c>
      <c r="E1853" t="s">
        <v>60</v>
      </c>
      <c r="F1853" t="s">
        <v>61</v>
      </c>
      <c r="G1853" t="s">
        <v>62</v>
      </c>
      <c r="H1853" t="s">
        <v>63</v>
      </c>
    </row>
    <row r="1854" spans="1:8" x14ac:dyDescent="0.3">
      <c r="A1854" s="22" t="s">
        <v>64</v>
      </c>
      <c r="B1854" t="s">
        <v>67</v>
      </c>
      <c r="C1854" s="25">
        <v>4.3780487804878048</v>
      </c>
      <c r="D1854">
        <v>4</v>
      </c>
      <c r="E1854">
        <v>1</v>
      </c>
      <c r="F1854">
        <v>12</v>
      </c>
      <c r="G1854">
        <v>82</v>
      </c>
      <c r="H1854">
        <v>97</v>
      </c>
    </row>
    <row r="1855" spans="1:8" x14ac:dyDescent="0.3">
      <c r="A1855" s="22" t="s">
        <v>64</v>
      </c>
      <c r="B1855" t="s">
        <v>68</v>
      </c>
      <c r="C1855" s="25">
        <v>4</v>
      </c>
      <c r="D1855">
        <v>4</v>
      </c>
      <c r="E1855">
        <v>1</v>
      </c>
      <c r="F1855">
        <v>12</v>
      </c>
      <c r="G1855">
        <v>15</v>
      </c>
      <c r="H1855">
        <v>97</v>
      </c>
    </row>
    <row r="1856" spans="1:8" x14ac:dyDescent="0.3">
      <c r="C1856" s="25"/>
    </row>
    <row r="1857" spans="1:8" ht="43.2" x14ac:dyDescent="0.3">
      <c r="A1857" s="27" t="s">
        <v>505</v>
      </c>
      <c r="C1857" s="25"/>
    </row>
    <row r="1858" spans="1:8" x14ac:dyDescent="0.3">
      <c r="A1858" s="22" t="s">
        <v>57</v>
      </c>
      <c r="B1858" t="s">
        <v>66</v>
      </c>
      <c r="C1858" s="25" t="s">
        <v>58</v>
      </c>
      <c r="D1858" t="s">
        <v>59</v>
      </c>
      <c r="E1858" t="s">
        <v>60</v>
      </c>
      <c r="F1858" t="s">
        <v>61</v>
      </c>
      <c r="G1858" t="s">
        <v>62</v>
      </c>
      <c r="H1858" t="s">
        <v>63</v>
      </c>
    </row>
    <row r="1859" spans="1:8" x14ac:dyDescent="0.3">
      <c r="A1859" s="22" t="s">
        <v>64</v>
      </c>
      <c r="B1859" t="s">
        <v>81</v>
      </c>
      <c r="C1859" s="25">
        <v>4.2941176470588234</v>
      </c>
      <c r="D1859">
        <v>4</v>
      </c>
      <c r="E1859">
        <v>1</v>
      </c>
      <c r="F1859">
        <v>12</v>
      </c>
      <c r="G1859">
        <v>17</v>
      </c>
      <c r="H1859">
        <v>97</v>
      </c>
    </row>
    <row r="1860" spans="1:8" x14ac:dyDescent="0.3">
      <c r="A1860" s="22" t="s">
        <v>64</v>
      </c>
      <c r="B1860" t="s">
        <v>82</v>
      </c>
      <c r="C1860" s="25">
        <v>5.0714285714285712</v>
      </c>
      <c r="D1860">
        <v>4</v>
      </c>
      <c r="E1860">
        <v>1</v>
      </c>
      <c r="F1860">
        <v>12</v>
      </c>
      <c r="G1860">
        <v>28</v>
      </c>
      <c r="H1860">
        <v>97</v>
      </c>
    </row>
    <row r="1861" spans="1:8" x14ac:dyDescent="0.3">
      <c r="A1861" s="22" t="s">
        <v>64</v>
      </c>
      <c r="B1861" t="s">
        <v>83</v>
      </c>
      <c r="C1861" s="25">
        <v>3.6785714285714279</v>
      </c>
      <c r="D1861">
        <v>3</v>
      </c>
      <c r="E1861">
        <v>1</v>
      </c>
      <c r="F1861">
        <v>12</v>
      </c>
      <c r="G1861">
        <v>28</v>
      </c>
      <c r="H1861">
        <v>97</v>
      </c>
    </row>
    <row r="1862" spans="1:8" x14ac:dyDescent="0.3">
      <c r="A1862" s="22" t="s">
        <v>64</v>
      </c>
      <c r="B1862" t="s">
        <v>84</v>
      </c>
      <c r="C1862" s="25">
        <v>4.208333333333333</v>
      </c>
      <c r="D1862">
        <v>4</v>
      </c>
      <c r="E1862">
        <v>1</v>
      </c>
      <c r="F1862">
        <v>12</v>
      </c>
      <c r="G1862">
        <v>24</v>
      </c>
      <c r="H1862">
        <v>97</v>
      </c>
    </row>
    <row r="1863" spans="1:8" x14ac:dyDescent="0.3">
      <c r="C1863" s="25"/>
    </row>
    <row r="1864" spans="1:8" ht="28.8" x14ac:dyDescent="0.3">
      <c r="A1864" s="27" t="s">
        <v>506</v>
      </c>
      <c r="C1864" s="25"/>
    </row>
    <row r="1865" spans="1:8" x14ac:dyDescent="0.3">
      <c r="A1865" s="22" t="s">
        <v>57</v>
      </c>
      <c r="B1865" t="s">
        <v>58</v>
      </c>
      <c r="C1865" s="25" t="s">
        <v>59</v>
      </c>
      <c r="D1865" t="s">
        <v>60</v>
      </c>
      <c r="E1865" t="s">
        <v>61</v>
      </c>
      <c r="F1865" t="s">
        <v>62</v>
      </c>
      <c r="G1865" t="s">
        <v>63</v>
      </c>
    </row>
    <row r="1866" spans="1:8" x14ac:dyDescent="0.3">
      <c r="A1866" s="22" t="s">
        <v>64</v>
      </c>
      <c r="B1866" s="25">
        <v>90.961538461538467</v>
      </c>
      <c r="C1866" s="25">
        <v>100</v>
      </c>
      <c r="D1866">
        <v>0</v>
      </c>
      <c r="E1866">
        <v>100</v>
      </c>
      <c r="F1866">
        <v>130</v>
      </c>
      <c r="G1866">
        <v>130</v>
      </c>
    </row>
    <row r="1867" spans="1:8" x14ac:dyDescent="0.3">
      <c r="C1867" s="25"/>
    </row>
    <row r="1868" spans="1:8" ht="57.6" x14ac:dyDescent="0.3">
      <c r="A1868" s="22" t="s">
        <v>507</v>
      </c>
      <c r="C1868" s="25"/>
    </row>
    <row r="1869" spans="1:8" x14ac:dyDescent="0.3">
      <c r="A1869" s="22" t="s">
        <v>57</v>
      </c>
      <c r="B1869" t="s">
        <v>66</v>
      </c>
      <c r="C1869" s="25" t="s">
        <v>58</v>
      </c>
      <c r="D1869" t="s">
        <v>59</v>
      </c>
      <c r="E1869" t="s">
        <v>60</v>
      </c>
      <c r="F1869" t="s">
        <v>61</v>
      </c>
      <c r="G1869" t="s">
        <v>62</v>
      </c>
      <c r="H1869" t="s">
        <v>63</v>
      </c>
    </row>
    <row r="1870" spans="1:8" x14ac:dyDescent="0.3">
      <c r="A1870" s="22" t="s">
        <v>64</v>
      </c>
      <c r="B1870" t="s">
        <v>67</v>
      </c>
      <c r="C1870" s="25">
        <v>91.260162601626021</v>
      </c>
      <c r="D1870">
        <v>100</v>
      </c>
      <c r="E1870">
        <v>0</v>
      </c>
      <c r="F1870">
        <v>100</v>
      </c>
      <c r="G1870">
        <v>123</v>
      </c>
      <c r="H1870">
        <v>130</v>
      </c>
    </row>
    <row r="1871" spans="1:8" x14ac:dyDescent="0.3">
      <c r="A1871" s="22" t="s">
        <v>64</v>
      </c>
      <c r="B1871" t="s">
        <v>68</v>
      </c>
      <c r="C1871" s="25">
        <v>85.714285714285708</v>
      </c>
      <c r="D1871">
        <v>100</v>
      </c>
      <c r="E1871">
        <v>60</v>
      </c>
      <c r="F1871">
        <v>100</v>
      </c>
      <c r="G1871">
        <v>7</v>
      </c>
      <c r="H1871">
        <v>130</v>
      </c>
    </row>
    <row r="1872" spans="1:8" x14ac:dyDescent="0.3">
      <c r="C1872" s="25"/>
    </row>
    <row r="1873" spans="1:8" x14ac:dyDescent="0.3">
      <c r="A1873"/>
      <c r="C1873" s="25"/>
    </row>
    <row r="1874" spans="1:8" x14ac:dyDescent="0.3">
      <c r="A1874"/>
      <c r="C1874" s="25"/>
    </row>
    <row r="1875" spans="1:8" x14ac:dyDescent="0.3">
      <c r="A1875"/>
      <c r="C1875" s="25"/>
    </row>
    <row r="1876" spans="1:8" x14ac:dyDescent="0.3">
      <c r="C1876" s="25"/>
    </row>
    <row r="1877" spans="1:8" ht="43.2" x14ac:dyDescent="0.3">
      <c r="A1877" s="22" t="s">
        <v>508</v>
      </c>
      <c r="C1877" s="25"/>
    </row>
    <row r="1878" spans="1:8" x14ac:dyDescent="0.3">
      <c r="A1878" s="22" t="s">
        <v>57</v>
      </c>
      <c r="B1878" t="s">
        <v>66</v>
      </c>
      <c r="C1878" s="25" t="s">
        <v>58</v>
      </c>
      <c r="D1878" t="s">
        <v>59</v>
      </c>
      <c r="E1878" t="s">
        <v>60</v>
      </c>
      <c r="F1878" t="s">
        <v>61</v>
      </c>
      <c r="G1878" t="s">
        <v>62</v>
      </c>
      <c r="H1878" t="s">
        <v>63</v>
      </c>
    </row>
    <row r="1879" spans="1:8" x14ac:dyDescent="0.3">
      <c r="A1879" s="22" t="s">
        <v>64</v>
      </c>
      <c r="B1879" t="s">
        <v>67</v>
      </c>
      <c r="C1879" s="25">
        <v>90.927419354838705</v>
      </c>
      <c r="D1879">
        <v>100</v>
      </c>
      <c r="E1879">
        <v>0</v>
      </c>
      <c r="F1879">
        <v>100</v>
      </c>
      <c r="G1879">
        <v>124</v>
      </c>
      <c r="H1879">
        <v>130</v>
      </c>
    </row>
    <row r="1880" spans="1:8" x14ac:dyDescent="0.3">
      <c r="A1880" s="22" t="s">
        <v>64</v>
      </c>
      <c r="B1880" t="s">
        <v>68</v>
      </c>
      <c r="C1880" s="25">
        <v>91.666666666666671</v>
      </c>
      <c r="D1880">
        <v>100</v>
      </c>
      <c r="E1880">
        <v>50</v>
      </c>
      <c r="F1880">
        <v>100</v>
      </c>
      <c r="G1880">
        <v>6</v>
      </c>
      <c r="H1880">
        <v>130</v>
      </c>
    </row>
    <row r="1881" spans="1:8" x14ac:dyDescent="0.3">
      <c r="C1881" s="25"/>
    </row>
    <row r="1882" spans="1:8" ht="43.2" x14ac:dyDescent="0.3">
      <c r="A1882" s="22" t="s">
        <v>509</v>
      </c>
      <c r="C1882" s="25"/>
    </row>
    <row r="1883" spans="1:8" x14ac:dyDescent="0.3">
      <c r="A1883" s="22" t="s">
        <v>57</v>
      </c>
      <c r="B1883" t="s">
        <v>66</v>
      </c>
      <c r="C1883" s="25" t="s">
        <v>58</v>
      </c>
      <c r="D1883" t="s">
        <v>59</v>
      </c>
      <c r="E1883" t="s">
        <v>60</v>
      </c>
      <c r="F1883" t="s">
        <v>61</v>
      </c>
      <c r="G1883" t="s">
        <v>62</v>
      </c>
      <c r="H1883" t="s">
        <v>63</v>
      </c>
    </row>
    <row r="1884" spans="1:8" x14ac:dyDescent="0.3">
      <c r="A1884" s="22" t="s">
        <v>64</v>
      </c>
      <c r="B1884" t="s">
        <v>67</v>
      </c>
      <c r="C1884" s="25">
        <v>90.891472868217051</v>
      </c>
      <c r="D1884">
        <v>100</v>
      </c>
      <c r="E1884">
        <v>0</v>
      </c>
      <c r="F1884">
        <v>100</v>
      </c>
      <c r="G1884">
        <v>129</v>
      </c>
      <c r="H1884">
        <v>130</v>
      </c>
    </row>
    <row r="1885" spans="1:8" x14ac:dyDescent="0.3">
      <c r="A1885" s="22" t="s">
        <v>64</v>
      </c>
      <c r="B1885" t="s">
        <v>68</v>
      </c>
      <c r="C1885" s="25">
        <v>100</v>
      </c>
      <c r="D1885">
        <v>100</v>
      </c>
      <c r="E1885">
        <v>100</v>
      </c>
      <c r="F1885">
        <v>100</v>
      </c>
      <c r="G1885">
        <v>1</v>
      </c>
      <c r="H1885">
        <v>130</v>
      </c>
    </row>
    <row r="1886" spans="1:8" x14ac:dyDescent="0.3">
      <c r="C1886" s="25"/>
    </row>
    <row r="1887" spans="1:8" ht="57.6" x14ac:dyDescent="0.3">
      <c r="A1887" s="22" t="s">
        <v>510</v>
      </c>
      <c r="C1887" s="25"/>
    </row>
    <row r="1888" spans="1:8" x14ac:dyDescent="0.3">
      <c r="A1888" s="22" t="s">
        <v>57</v>
      </c>
      <c r="B1888" t="s">
        <v>66</v>
      </c>
      <c r="C1888" s="25" t="s">
        <v>58</v>
      </c>
      <c r="D1888" t="s">
        <v>59</v>
      </c>
      <c r="E1888" t="s">
        <v>60</v>
      </c>
      <c r="F1888" t="s">
        <v>61</v>
      </c>
      <c r="G1888" t="s">
        <v>62</v>
      </c>
      <c r="H1888" t="s">
        <v>63</v>
      </c>
    </row>
    <row r="1889" spans="1:8" x14ac:dyDescent="0.3">
      <c r="A1889" s="22" t="s">
        <v>64</v>
      </c>
      <c r="B1889" t="s">
        <v>67</v>
      </c>
      <c r="C1889" s="25">
        <v>91.208333333333329</v>
      </c>
      <c r="D1889">
        <v>100</v>
      </c>
      <c r="E1889">
        <v>0</v>
      </c>
      <c r="F1889">
        <v>100</v>
      </c>
      <c r="G1889">
        <v>120</v>
      </c>
      <c r="H1889">
        <v>130</v>
      </c>
    </row>
    <row r="1890" spans="1:8" x14ac:dyDescent="0.3">
      <c r="A1890" s="22" t="s">
        <v>64</v>
      </c>
      <c r="B1890" t="s">
        <v>68</v>
      </c>
      <c r="C1890" s="25">
        <v>88</v>
      </c>
      <c r="D1890">
        <v>100</v>
      </c>
      <c r="E1890">
        <v>50</v>
      </c>
      <c r="F1890">
        <v>100</v>
      </c>
      <c r="G1890">
        <v>10</v>
      </c>
      <c r="H1890">
        <v>130</v>
      </c>
    </row>
    <row r="1891" spans="1:8" x14ac:dyDescent="0.3">
      <c r="C1891" s="25"/>
    </row>
    <row r="1892" spans="1:8" ht="57.6" x14ac:dyDescent="0.3">
      <c r="A1892" s="22" t="s">
        <v>511</v>
      </c>
      <c r="C1892" s="25"/>
    </row>
    <row r="1893" spans="1:8" x14ac:dyDescent="0.3">
      <c r="A1893" s="22" t="s">
        <v>57</v>
      </c>
      <c r="B1893" t="s">
        <v>66</v>
      </c>
      <c r="C1893" s="25" t="s">
        <v>58</v>
      </c>
      <c r="D1893" t="s">
        <v>59</v>
      </c>
      <c r="E1893" t="s">
        <v>60</v>
      </c>
      <c r="F1893" t="s">
        <v>61</v>
      </c>
      <c r="G1893" t="s">
        <v>62</v>
      </c>
      <c r="H1893" t="s">
        <v>63</v>
      </c>
    </row>
    <row r="1894" spans="1:8" x14ac:dyDescent="0.3">
      <c r="A1894" s="22" t="s">
        <v>64</v>
      </c>
      <c r="B1894" t="s">
        <v>67</v>
      </c>
      <c r="C1894" s="25">
        <v>92</v>
      </c>
      <c r="D1894">
        <v>100</v>
      </c>
      <c r="E1894">
        <v>80</v>
      </c>
      <c r="F1894">
        <v>100</v>
      </c>
      <c r="G1894">
        <v>5</v>
      </c>
      <c r="H1894">
        <v>130</v>
      </c>
    </row>
    <row r="1895" spans="1:8" x14ac:dyDescent="0.3">
      <c r="A1895" s="22" t="s">
        <v>64</v>
      </c>
      <c r="B1895" t="s">
        <v>68</v>
      </c>
      <c r="C1895" s="25">
        <v>90.92</v>
      </c>
      <c r="D1895">
        <v>100</v>
      </c>
      <c r="E1895">
        <v>0</v>
      </c>
      <c r="F1895">
        <v>100</v>
      </c>
      <c r="G1895">
        <v>125</v>
      </c>
      <c r="H1895">
        <v>130</v>
      </c>
    </row>
    <row r="1896" spans="1:8" x14ac:dyDescent="0.3">
      <c r="C1896" s="25"/>
    </row>
    <row r="1897" spans="1:8" ht="43.2" x14ac:dyDescent="0.3">
      <c r="A1897" s="22" t="s">
        <v>512</v>
      </c>
      <c r="C1897" s="25"/>
    </row>
    <row r="1898" spans="1:8" x14ac:dyDescent="0.3">
      <c r="A1898" s="22" t="s">
        <v>57</v>
      </c>
      <c r="B1898" t="s">
        <v>66</v>
      </c>
      <c r="C1898" s="25" t="s">
        <v>58</v>
      </c>
      <c r="D1898" t="s">
        <v>59</v>
      </c>
      <c r="E1898" t="s">
        <v>60</v>
      </c>
      <c r="F1898" t="s">
        <v>61</v>
      </c>
      <c r="G1898" t="s">
        <v>62</v>
      </c>
      <c r="H1898" t="s">
        <v>63</v>
      </c>
    </row>
    <row r="1899" spans="1:8" x14ac:dyDescent="0.3">
      <c r="A1899" s="22" t="s">
        <v>64</v>
      </c>
      <c r="B1899" t="s">
        <v>67</v>
      </c>
      <c r="C1899" s="25">
        <v>90.471698113207552</v>
      </c>
      <c r="D1899">
        <v>100</v>
      </c>
      <c r="E1899">
        <v>0</v>
      </c>
      <c r="F1899">
        <v>100</v>
      </c>
      <c r="G1899">
        <v>106</v>
      </c>
      <c r="H1899">
        <v>130</v>
      </c>
    </row>
    <row r="1900" spans="1:8" x14ac:dyDescent="0.3">
      <c r="A1900" s="22" t="s">
        <v>64</v>
      </c>
      <c r="B1900" t="s">
        <v>68</v>
      </c>
      <c r="C1900" s="25">
        <v>93.125</v>
      </c>
      <c r="D1900">
        <v>100</v>
      </c>
      <c r="E1900">
        <v>60</v>
      </c>
      <c r="F1900">
        <v>100</v>
      </c>
      <c r="G1900">
        <v>24</v>
      </c>
      <c r="H1900">
        <v>130</v>
      </c>
    </row>
    <row r="1901" spans="1:8" x14ac:dyDescent="0.3">
      <c r="C1901" s="25"/>
    </row>
    <row r="1902" spans="1:8" ht="43.2" x14ac:dyDescent="0.3">
      <c r="A1902" s="22" t="s">
        <v>513</v>
      </c>
      <c r="C1902" s="25"/>
    </row>
    <row r="1903" spans="1:8" x14ac:dyDescent="0.3">
      <c r="A1903" s="22" t="s">
        <v>57</v>
      </c>
      <c r="B1903" t="s">
        <v>66</v>
      </c>
      <c r="C1903" s="25" t="s">
        <v>58</v>
      </c>
      <c r="D1903" t="s">
        <v>59</v>
      </c>
      <c r="E1903" t="s">
        <v>60</v>
      </c>
      <c r="F1903" t="s">
        <v>61</v>
      </c>
      <c r="G1903" t="s">
        <v>62</v>
      </c>
      <c r="H1903" t="s">
        <v>63</v>
      </c>
    </row>
    <row r="1904" spans="1:8" x14ac:dyDescent="0.3">
      <c r="A1904" s="22" t="s">
        <v>64</v>
      </c>
      <c r="B1904" t="s">
        <v>67</v>
      </c>
      <c r="C1904" s="25">
        <v>92.475247524752476</v>
      </c>
      <c r="D1904">
        <v>100</v>
      </c>
      <c r="E1904">
        <v>50</v>
      </c>
      <c r="F1904">
        <v>100</v>
      </c>
      <c r="G1904">
        <v>101</v>
      </c>
      <c r="H1904">
        <v>130</v>
      </c>
    </row>
    <row r="1905" spans="1:8" x14ac:dyDescent="0.3">
      <c r="A1905" s="22" t="s">
        <v>64</v>
      </c>
      <c r="B1905" t="s">
        <v>68</v>
      </c>
      <c r="C1905" s="25">
        <v>85.689655172413794</v>
      </c>
      <c r="D1905">
        <v>100</v>
      </c>
      <c r="E1905">
        <v>0</v>
      </c>
      <c r="F1905">
        <v>100</v>
      </c>
      <c r="G1905">
        <v>29</v>
      </c>
      <c r="H1905">
        <v>130</v>
      </c>
    </row>
    <row r="1906" spans="1:8" x14ac:dyDescent="0.3">
      <c r="C1906" s="25"/>
    </row>
    <row r="1907" spans="1:8" ht="57.6" x14ac:dyDescent="0.3">
      <c r="A1907" s="22" t="s">
        <v>514</v>
      </c>
      <c r="C1907" s="25"/>
    </row>
    <row r="1908" spans="1:8" x14ac:dyDescent="0.3">
      <c r="A1908" s="22" t="s">
        <v>57</v>
      </c>
      <c r="B1908" t="s">
        <v>66</v>
      </c>
      <c r="C1908" s="25" t="s">
        <v>58</v>
      </c>
      <c r="D1908" t="s">
        <v>59</v>
      </c>
      <c r="E1908" t="s">
        <v>60</v>
      </c>
      <c r="F1908" t="s">
        <v>61</v>
      </c>
      <c r="G1908" t="s">
        <v>62</v>
      </c>
      <c r="H1908" t="s">
        <v>63</v>
      </c>
    </row>
    <row r="1909" spans="1:8" x14ac:dyDescent="0.3">
      <c r="A1909" s="22" t="s">
        <v>64</v>
      </c>
      <c r="B1909" t="s">
        <v>67</v>
      </c>
      <c r="C1909" s="25">
        <v>91.938775510204081</v>
      </c>
      <c r="D1909">
        <v>100</v>
      </c>
      <c r="E1909">
        <v>50</v>
      </c>
      <c r="F1909">
        <v>100</v>
      </c>
      <c r="G1909">
        <v>98</v>
      </c>
      <c r="H1909">
        <v>130</v>
      </c>
    </row>
    <row r="1910" spans="1:8" x14ac:dyDescent="0.3">
      <c r="A1910" s="22" t="s">
        <v>64</v>
      </c>
      <c r="B1910" t="s">
        <v>68</v>
      </c>
      <c r="C1910" s="25">
        <v>87.96875</v>
      </c>
      <c r="D1910">
        <v>100</v>
      </c>
      <c r="E1910">
        <v>0</v>
      </c>
      <c r="F1910">
        <v>100</v>
      </c>
      <c r="G1910">
        <v>32</v>
      </c>
      <c r="H1910">
        <v>130</v>
      </c>
    </row>
    <row r="1911" spans="1:8" x14ac:dyDescent="0.3">
      <c r="C1911" s="25"/>
    </row>
    <row r="1912" spans="1:8" ht="57.6" x14ac:dyDescent="0.3">
      <c r="A1912" s="22" t="s">
        <v>515</v>
      </c>
      <c r="C1912" s="25"/>
    </row>
    <row r="1913" spans="1:8" x14ac:dyDescent="0.3">
      <c r="A1913" s="22" t="s">
        <v>57</v>
      </c>
      <c r="B1913" t="s">
        <v>66</v>
      </c>
      <c r="C1913" s="25" t="s">
        <v>58</v>
      </c>
      <c r="D1913" t="s">
        <v>59</v>
      </c>
      <c r="E1913" t="s">
        <v>60</v>
      </c>
      <c r="F1913" t="s">
        <v>61</v>
      </c>
      <c r="G1913" t="s">
        <v>62</v>
      </c>
      <c r="H1913" t="s">
        <v>63</v>
      </c>
    </row>
    <row r="1914" spans="1:8" x14ac:dyDescent="0.3">
      <c r="A1914" s="22" t="s">
        <v>64</v>
      </c>
      <c r="B1914" t="s">
        <v>67</v>
      </c>
      <c r="C1914" s="25">
        <v>91.398305084745758</v>
      </c>
      <c r="D1914">
        <v>100</v>
      </c>
      <c r="E1914">
        <v>0</v>
      </c>
      <c r="F1914">
        <v>100</v>
      </c>
      <c r="G1914">
        <v>118</v>
      </c>
      <c r="H1914">
        <v>130</v>
      </c>
    </row>
    <row r="1915" spans="1:8" x14ac:dyDescent="0.3">
      <c r="A1915" s="22" t="s">
        <v>64</v>
      </c>
      <c r="B1915" t="s">
        <v>68</v>
      </c>
      <c r="C1915" s="25">
        <v>86.666666666666671</v>
      </c>
      <c r="D1915">
        <v>100</v>
      </c>
      <c r="E1915">
        <v>50</v>
      </c>
      <c r="F1915">
        <v>100</v>
      </c>
      <c r="G1915">
        <v>12</v>
      </c>
      <c r="H1915">
        <v>130</v>
      </c>
    </row>
    <row r="1916" spans="1:8" x14ac:dyDescent="0.3">
      <c r="C1916" s="25"/>
    </row>
    <row r="1917" spans="1:8" ht="57.6" x14ac:dyDescent="0.3">
      <c r="A1917" s="22" t="s">
        <v>516</v>
      </c>
      <c r="C1917" s="25"/>
    </row>
    <row r="1918" spans="1:8" x14ac:dyDescent="0.3">
      <c r="A1918" s="22" t="s">
        <v>57</v>
      </c>
      <c r="B1918" t="s">
        <v>66</v>
      </c>
      <c r="C1918" s="25" t="s">
        <v>58</v>
      </c>
      <c r="D1918" t="s">
        <v>59</v>
      </c>
      <c r="E1918" t="s">
        <v>60</v>
      </c>
      <c r="F1918" t="s">
        <v>61</v>
      </c>
      <c r="G1918" t="s">
        <v>62</v>
      </c>
      <c r="H1918" t="s">
        <v>63</v>
      </c>
    </row>
    <row r="1919" spans="1:8" x14ac:dyDescent="0.3">
      <c r="A1919" s="22" t="s">
        <v>64</v>
      </c>
      <c r="B1919" t="s">
        <v>67</v>
      </c>
      <c r="C1919" s="25">
        <v>90.961538461538467</v>
      </c>
      <c r="D1919">
        <v>100</v>
      </c>
      <c r="E1919">
        <v>0</v>
      </c>
      <c r="F1919">
        <v>100</v>
      </c>
      <c r="G1919">
        <v>130</v>
      </c>
      <c r="H1919">
        <v>130</v>
      </c>
    </row>
    <row r="1920" spans="1:8" x14ac:dyDescent="0.3">
      <c r="C1920" s="25"/>
    </row>
    <row r="1921" spans="1:8" ht="43.2" x14ac:dyDescent="0.3">
      <c r="A1921" s="22" t="s">
        <v>517</v>
      </c>
      <c r="C1921" s="25"/>
    </row>
    <row r="1922" spans="1:8" x14ac:dyDescent="0.3">
      <c r="A1922" s="22" t="s">
        <v>57</v>
      </c>
      <c r="B1922" t="s">
        <v>66</v>
      </c>
      <c r="C1922" s="25" t="s">
        <v>58</v>
      </c>
      <c r="D1922" t="s">
        <v>59</v>
      </c>
      <c r="E1922" t="s">
        <v>60</v>
      </c>
      <c r="F1922" t="s">
        <v>61</v>
      </c>
      <c r="G1922" t="s">
        <v>62</v>
      </c>
      <c r="H1922" t="s">
        <v>63</v>
      </c>
    </row>
    <row r="1923" spans="1:8" x14ac:dyDescent="0.3">
      <c r="A1923" s="22" t="s">
        <v>64</v>
      </c>
      <c r="B1923" t="s">
        <v>67</v>
      </c>
      <c r="C1923" s="25">
        <v>90.389610389610397</v>
      </c>
      <c r="D1923">
        <v>100</v>
      </c>
      <c r="E1923">
        <v>0</v>
      </c>
      <c r="F1923">
        <v>100</v>
      </c>
      <c r="G1923">
        <v>77</v>
      </c>
      <c r="H1923">
        <v>130</v>
      </c>
    </row>
    <row r="1924" spans="1:8" x14ac:dyDescent="0.3">
      <c r="A1924" s="22" t="s">
        <v>64</v>
      </c>
      <c r="B1924" t="s">
        <v>68</v>
      </c>
      <c r="C1924" s="25">
        <v>91.79245283018868</v>
      </c>
      <c r="D1924">
        <v>100</v>
      </c>
      <c r="E1924">
        <v>50</v>
      </c>
      <c r="F1924">
        <v>100</v>
      </c>
      <c r="G1924">
        <v>53</v>
      </c>
      <c r="H1924">
        <v>130</v>
      </c>
    </row>
    <row r="1925" spans="1:8" x14ac:dyDescent="0.3">
      <c r="C1925" s="25"/>
    </row>
    <row r="1926" spans="1:8" ht="57.6" x14ac:dyDescent="0.3">
      <c r="A1926" s="22" t="s">
        <v>518</v>
      </c>
      <c r="C1926" s="25"/>
    </row>
    <row r="1927" spans="1:8" x14ac:dyDescent="0.3">
      <c r="A1927" s="22" t="s">
        <v>57</v>
      </c>
      <c r="B1927" t="s">
        <v>66</v>
      </c>
      <c r="C1927" s="25" t="s">
        <v>58</v>
      </c>
      <c r="D1927" t="s">
        <v>59</v>
      </c>
      <c r="E1927" t="s">
        <v>60</v>
      </c>
      <c r="F1927" t="s">
        <v>61</v>
      </c>
      <c r="G1927" t="s">
        <v>62</v>
      </c>
      <c r="H1927" t="s">
        <v>63</v>
      </c>
    </row>
    <row r="1928" spans="1:8" x14ac:dyDescent="0.3">
      <c r="A1928" s="22" t="s">
        <v>64</v>
      </c>
      <c r="B1928" t="s">
        <v>67</v>
      </c>
      <c r="C1928" s="25">
        <v>89.780701754385959</v>
      </c>
      <c r="D1928">
        <v>100</v>
      </c>
      <c r="E1928">
        <v>0</v>
      </c>
      <c r="F1928">
        <v>100</v>
      </c>
      <c r="G1928">
        <v>114</v>
      </c>
      <c r="H1928">
        <v>130</v>
      </c>
    </row>
    <row r="1929" spans="1:8" x14ac:dyDescent="0.3">
      <c r="A1929" s="22" t="s">
        <v>64</v>
      </c>
      <c r="B1929" t="s">
        <v>68</v>
      </c>
      <c r="C1929" s="25">
        <v>99.375</v>
      </c>
      <c r="D1929">
        <v>100</v>
      </c>
      <c r="E1929">
        <v>90</v>
      </c>
      <c r="F1929">
        <v>100</v>
      </c>
      <c r="G1929">
        <v>16</v>
      </c>
      <c r="H1929">
        <v>130</v>
      </c>
    </row>
    <row r="1930" spans="1:8" x14ac:dyDescent="0.3">
      <c r="C1930" s="25"/>
    </row>
    <row r="1931" spans="1:8" ht="43.2" x14ac:dyDescent="0.3">
      <c r="A1931" s="27" t="s">
        <v>519</v>
      </c>
      <c r="C1931" s="25"/>
    </row>
    <row r="1932" spans="1:8" x14ac:dyDescent="0.3">
      <c r="A1932" s="22" t="s">
        <v>57</v>
      </c>
      <c r="B1932" t="s">
        <v>66</v>
      </c>
      <c r="C1932" t="s">
        <v>58</v>
      </c>
      <c r="D1932" t="s">
        <v>59</v>
      </c>
      <c r="E1932" t="s">
        <v>60</v>
      </c>
      <c r="F1932" t="s">
        <v>61</v>
      </c>
      <c r="G1932" t="s">
        <v>62</v>
      </c>
      <c r="H1932" t="s">
        <v>63</v>
      </c>
    </row>
    <row r="1933" spans="1:8" x14ac:dyDescent="0.3">
      <c r="A1933" s="22" t="s">
        <v>64</v>
      </c>
      <c r="B1933" t="s">
        <v>81</v>
      </c>
      <c r="C1933" s="25">
        <v>83.125</v>
      </c>
      <c r="D1933">
        <v>100</v>
      </c>
      <c r="E1933">
        <v>0</v>
      </c>
      <c r="F1933">
        <v>100</v>
      </c>
      <c r="G1933">
        <v>32</v>
      </c>
      <c r="H1933">
        <v>130</v>
      </c>
    </row>
    <row r="1934" spans="1:8" x14ac:dyDescent="0.3">
      <c r="A1934" s="22" t="s">
        <v>64</v>
      </c>
      <c r="B1934" t="s">
        <v>82</v>
      </c>
      <c r="C1934" s="25">
        <v>93.529411764705884</v>
      </c>
      <c r="D1934">
        <v>100</v>
      </c>
      <c r="E1934">
        <v>50</v>
      </c>
      <c r="F1934">
        <v>100</v>
      </c>
      <c r="G1934">
        <v>34</v>
      </c>
      <c r="H1934">
        <v>130</v>
      </c>
    </row>
    <row r="1935" spans="1:8" x14ac:dyDescent="0.3">
      <c r="A1935" s="22" t="s">
        <v>64</v>
      </c>
      <c r="B1935" t="s">
        <v>83</v>
      </c>
      <c r="C1935" s="25">
        <v>94.545454545454547</v>
      </c>
      <c r="D1935">
        <v>100</v>
      </c>
      <c r="E1935">
        <v>50</v>
      </c>
      <c r="F1935">
        <v>100</v>
      </c>
      <c r="G1935">
        <v>33</v>
      </c>
      <c r="H1935">
        <v>130</v>
      </c>
    </row>
    <row r="1936" spans="1:8" x14ac:dyDescent="0.3">
      <c r="A1936" s="22" t="s">
        <v>64</v>
      </c>
      <c r="B1936" t="s">
        <v>84</v>
      </c>
      <c r="C1936" s="25">
        <v>92.41935483870968</v>
      </c>
      <c r="D1936">
        <v>100</v>
      </c>
      <c r="E1936">
        <v>50</v>
      </c>
      <c r="F1936">
        <v>100</v>
      </c>
      <c r="G1936">
        <v>31</v>
      </c>
      <c r="H1936">
        <v>130</v>
      </c>
    </row>
    <row r="1938" spans="1:7" ht="43.2" x14ac:dyDescent="0.3">
      <c r="A1938" s="22" t="s">
        <v>520</v>
      </c>
    </row>
    <row r="1939" spans="1:7" x14ac:dyDescent="0.3">
      <c r="A1939" s="22" t="s">
        <v>62</v>
      </c>
      <c r="B1939" t="s">
        <v>57</v>
      </c>
      <c r="C1939" t="s">
        <v>63</v>
      </c>
      <c r="D1939" t="s">
        <v>154</v>
      </c>
      <c r="E1939" t="s">
        <v>411</v>
      </c>
      <c r="F1939" t="s">
        <v>413</v>
      </c>
    </row>
    <row r="1940" spans="1:7" x14ac:dyDescent="0.3">
      <c r="A1940" s="22">
        <v>130</v>
      </c>
      <c r="B1940" t="s">
        <v>64</v>
      </c>
      <c r="C1940">
        <v>130</v>
      </c>
      <c r="D1940" s="8">
        <v>2.3099999999999999E-2</v>
      </c>
      <c r="E1940" s="8">
        <v>0.5615</v>
      </c>
      <c r="F1940" s="8">
        <v>0.41539999999999999</v>
      </c>
    </row>
    <row r="1942" spans="1:7" ht="57.6" x14ac:dyDescent="0.3">
      <c r="A1942" s="22" t="s">
        <v>521</v>
      </c>
    </row>
    <row r="1943" spans="1:7" x14ac:dyDescent="0.3">
      <c r="A1943" s="22" t="s">
        <v>66</v>
      </c>
      <c r="B1943" t="s">
        <v>62</v>
      </c>
      <c r="C1943" t="s">
        <v>57</v>
      </c>
      <c r="D1943" t="s">
        <v>63</v>
      </c>
      <c r="E1943" t="s">
        <v>154</v>
      </c>
      <c r="F1943" t="s">
        <v>411</v>
      </c>
      <c r="G1943" t="s">
        <v>413</v>
      </c>
    </row>
    <row r="1944" spans="1:7" x14ac:dyDescent="0.3">
      <c r="A1944" s="22" t="s">
        <v>67</v>
      </c>
      <c r="B1944">
        <v>123</v>
      </c>
      <c r="C1944" t="s">
        <v>64</v>
      </c>
      <c r="D1944">
        <v>130</v>
      </c>
      <c r="E1944" s="8">
        <v>2.4400000000000002E-2</v>
      </c>
      <c r="F1944" s="8">
        <v>0.56910000000000005</v>
      </c>
      <c r="G1944" s="8">
        <v>0.40649999999999997</v>
      </c>
    </row>
    <row r="1945" spans="1:7" x14ac:dyDescent="0.3">
      <c r="A1945" s="22" t="s">
        <v>68</v>
      </c>
      <c r="B1945">
        <v>7</v>
      </c>
      <c r="C1945" t="s">
        <v>64</v>
      </c>
      <c r="D1945">
        <v>130</v>
      </c>
      <c r="F1945" s="8">
        <v>0.42859999999999998</v>
      </c>
      <c r="G1945" s="8">
        <v>0.57140000000000002</v>
      </c>
    </row>
    <row r="1947" spans="1:7" x14ac:dyDescent="0.3">
      <c r="A1947"/>
    </row>
    <row r="1948" spans="1:7" x14ac:dyDescent="0.3">
      <c r="A1948"/>
    </row>
    <row r="1949" spans="1:7" x14ac:dyDescent="0.3">
      <c r="A1949"/>
    </row>
    <row r="1951" spans="1:7" ht="57.6" x14ac:dyDescent="0.3">
      <c r="A1951" s="22" t="s">
        <v>522</v>
      </c>
    </row>
    <row r="1952" spans="1:7" x14ac:dyDescent="0.3">
      <c r="A1952" s="22" t="s">
        <v>66</v>
      </c>
      <c r="B1952" t="s">
        <v>62</v>
      </c>
      <c r="C1952" t="s">
        <v>57</v>
      </c>
      <c r="D1952" t="s">
        <v>63</v>
      </c>
      <c r="E1952" t="s">
        <v>154</v>
      </c>
      <c r="F1952" t="s">
        <v>411</v>
      </c>
      <c r="G1952" t="s">
        <v>413</v>
      </c>
    </row>
    <row r="1953" spans="1:7" x14ac:dyDescent="0.3">
      <c r="A1953" s="22" t="s">
        <v>67</v>
      </c>
      <c r="B1953">
        <v>124</v>
      </c>
      <c r="C1953" t="s">
        <v>64</v>
      </c>
      <c r="D1953">
        <v>130</v>
      </c>
      <c r="E1953" s="8">
        <v>1.61E-2</v>
      </c>
      <c r="F1953" s="8">
        <v>0.5726</v>
      </c>
      <c r="G1953" s="8">
        <v>0.4113</v>
      </c>
    </row>
    <row r="1954" spans="1:7" x14ac:dyDescent="0.3">
      <c r="A1954" s="22" t="s">
        <v>68</v>
      </c>
      <c r="B1954">
        <v>6</v>
      </c>
      <c r="C1954" t="s">
        <v>64</v>
      </c>
      <c r="D1954">
        <v>130</v>
      </c>
      <c r="E1954" s="8">
        <v>0.16669999999999999</v>
      </c>
      <c r="F1954" s="8">
        <v>0.33329999999999999</v>
      </c>
      <c r="G1954" s="8">
        <v>0.5</v>
      </c>
    </row>
    <row r="1956" spans="1:7" ht="57.6" x14ac:dyDescent="0.3">
      <c r="A1956" s="22" t="s">
        <v>523</v>
      </c>
    </row>
    <row r="1957" spans="1:7" x14ac:dyDescent="0.3">
      <c r="A1957" s="22" t="s">
        <v>66</v>
      </c>
      <c r="B1957" t="s">
        <v>62</v>
      </c>
      <c r="C1957" t="s">
        <v>57</v>
      </c>
      <c r="D1957" t="s">
        <v>63</v>
      </c>
      <c r="E1957" t="s">
        <v>154</v>
      </c>
      <c r="F1957" t="s">
        <v>411</v>
      </c>
      <c r="G1957" t="s">
        <v>413</v>
      </c>
    </row>
    <row r="1958" spans="1:7" x14ac:dyDescent="0.3">
      <c r="A1958" s="22" t="s">
        <v>67</v>
      </c>
      <c r="B1958">
        <v>129</v>
      </c>
      <c r="C1958" t="s">
        <v>64</v>
      </c>
      <c r="D1958">
        <v>130</v>
      </c>
      <c r="E1958" s="8">
        <v>2.3300000000000001E-2</v>
      </c>
      <c r="F1958" s="8">
        <v>0.56589999999999996</v>
      </c>
      <c r="G1958" s="8">
        <v>0.41089999999999999</v>
      </c>
    </row>
    <row r="1959" spans="1:7" x14ac:dyDescent="0.3">
      <c r="A1959" s="22" t="s">
        <v>68</v>
      </c>
      <c r="B1959">
        <v>1</v>
      </c>
      <c r="C1959" t="s">
        <v>64</v>
      </c>
      <c r="D1959">
        <v>130</v>
      </c>
      <c r="G1959" s="8">
        <v>1</v>
      </c>
    </row>
    <row r="1961" spans="1:7" ht="57.6" x14ac:dyDescent="0.3">
      <c r="A1961" s="22" t="s">
        <v>524</v>
      </c>
    </row>
    <row r="1962" spans="1:7" x14ac:dyDescent="0.3">
      <c r="A1962" s="22" t="s">
        <v>66</v>
      </c>
      <c r="B1962" t="s">
        <v>62</v>
      </c>
      <c r="C1962" t="s">
        <v>57</v>
      </c>
      <c r="D1962" t="s">
        <v>63</v>
      </c>
      <c r="E1962" t="s">
        <v>154</v>
      </c>
      <c r="F1962" t="s">
        <v>411</v>
      </c>
      <c r="G1962" t="s">
        <v>413</v>
      </c>
    </row>
    <row r="1963" spans="1:7" x14ac:dyDescent="0.3">
      <c r="A1963" s="22" t="s">
        <v>67</v>
      </c>
      <c r="B1963">
        <v>120</v>
      </c>
      <c r="C1963" t="s">
        <v>64</v>
      </c>
      <c r="D1963">
        <v>130</v>
      </c>
      <c r="E1963" s="8">
        <v>2.5000000000000001E-2</v>
      </c>
      <c r="F1963" s="8">
        <v>0.56669999999999998</v>
      </c>
      <c r="G1963" s="8">
        <v>0.4083</v>
      </c>
    </row>
    <row r="1964" spans="1:7" x14ac:dyDescent="0.3">
      <c r="A1964" s="22" t="s">
        <v>68</v>
      </c>
      <c r="B1964">
        <v>10</v>
      </c>
      <c r="C1964" t="s">
        <v>64</v>
      </c>
      <c r="D1964">
        <v>130</v>
      </c>
      <c r="F1964" s="8">
        <v>0.5</v>
      </c>
      <c r="G1964" s="8">
        <v>0.5</v>
      </c>
    </row>
    <row r="1966" spans="1:7" ht="57.6" x14ac:dyDescent="0.3">
      <c r="A1966" s="22" t="s">
        <v>525</v>
      </c>
    </row>
    <row r="1967" spans="1:7" x14ac:dyDescent="0.3">
      <c r="A1967" s="22" t="s">
        <v>66</v>
      </c>
      <c r="B1967" t="s">
        <v>62</v>
      </c>
      <c r="C1967" t="s">
        <v>57</v>
      </c>
      <c r="D1967" t="s">
        <v>63</v>
      </c>
      <c r="E1967" t="s">
        <v>154</v>
      </c>
      <c r="F1967" t="s">
        <v>411</v>
      </c>
      <c r="G1967" t="s">
        <v>413</v>
      </c>
    </row>
    <row r="1968" spans="1:7" x14ac:dyDescent="0.3">
      <c r="A1968" s="22" t="s">
        <v>67</v>
      </c>
      <c r="B1968">
        <v>5</v>
      </c>
      <c r="C1968" t="s">
        <v>64</v>
      </c>
      <c r="D1968">
        <v>130</v>
      </c>
      <c r="F1968" s="8">
        <v>0.2</v>
      </c>
      <c r="G1968" s="8">
        <v>0.8</v>
      </c>
    </row>
    <row r="1969" spans="1:7" x14ac:dyDescent="0.3">
      <c r="A1969" s="22" t="s">
        <v>68</v>
      </c>
      <c r="B1969">
        <v>125</v>
      </c>
      <c r="C1969" t="s">
        <v>64</v>
      </c>
      <c r="D1969">
        <v>130</v>
      </c>
      <c r="E1969" s="8">
        <v>2.4E-2</v>
      </c>
      <c r="F1969" s="8">
        <v>0.57599999999999996</v>
      </c>
      <c r="G1969" s="8">
        <v>0.4</v>
      </c>
    </row>
    <row r="1971" spans="1:7" ht="57.6" x14ac:dyDescent="0.3">
      <c r="A1971" s="22" t="s">
        <v>526</v>
      </c>
    </row>
    <row r="1972" spans="1:7" x14ac:dyDescent="0.3">
      <c r="A1972" s="22" t="s">
        <v>66</v>
      </c>
      <c r="B1972" t="s">
        <v>62</v>
      </c>
      <c r="C1972" t="s">
        <v>57</v>
      </c>
      <c r="D1972" t="s">
        <v>63</v>
      </c>
      <c r="E1972" t="s">
        <v>154</v>
      </c>
      <c r="F1972" t="s">
        <v>411</v>
      </c>
      <c r="G1972" t="s">
        <v>413</v>
      </c>
    </row>
    <row r="1973" spans="1:7" x14ac:dyDescent="0.3">
      <c r="A1973" s="22" t="s">
        <v>67</v>
      </c>
      <c r="B1973">
        <v>106</v>
      </c>
      <c r="C1973" t="s">
        <v>64</v>
      </c>
      <c r="D1973">
        <v>130</v>
      </c>
      <c r="E1973" s="8">
        <v>2.8299999999999999E-2</v>
      </c>
      <c r="F1973" s="8">
        <v>0.55659999999999998</v>
      </c>
      <c r="G1973" s="8">
        <v>0.41510000000000002</v>
      </c>
    </row>
    <row r="1974" spans="1:7" x14ac:dyDescent="0.3">
      <c r="A1974" s="22" t="s">
        <v>68</v>
      </c>
      <c r="B1974">
        <v>24</v>
      </c>
      <c r="C1974" t="s">
        <v>64</v>
      </c>
      <c r="D1974">
        <v>130</v>
      </c>
      <c r="F1974" s="8">
        <v>0.58330000000000004</v>
      </c>
      <c r="G1974" s="8">
        <v>0.41670000000000001</v>
      </c>
    </row>
    <row r="1976" spans="1:7" ht="57.6" x14ac:dyDescent="0.3">
      <c r="A1976" s="22" t="s">
        <v>527</v>
      </c>
    </row>
    <row r="1977" spans="1:7" x14ac:dyDescent="0.3">
      <c r="A1977" s="22" t="s">
        <v>66</v>
      </c>
      <c r="B1977" t="s">
        <v>62</v>
      </c>
      <c r="C1977" t="s">
        <v>57</v>
      </c>
      <c r="D1977" t="s">
        <v>63</v>
      </c>
      <c r="E1977" t="s">
        <v>154</v>
      </c>
      <c r="F1977" t="s">
        <v>411</v>
      </c>
      <c r="G1977" t="s">
        <v>413</v>
      </c>
    </row>
    <row r="1978" spans="1:7" x14ac:dyDescent="0.3">
      <c r="A1978" s="22" t="s">
        <v>67</v>
      </c>
      <c r="B1978">
        <v>101</v>
      </c>
      <c r="C1978" t="s">
        <v>64</v>
      </c>
      <c r="D1978">
        <v>130</v>
      </c>
      <c r="E1978" s="8">
        <v>1.9800000000000002E-2</v>
      </c>
      <c r="F1978" s="8">
        <v>0.57430000000000003</v>
      </c>
      <c r="G1978" s="8">
        <v>0.40589999999999998</v>
      </c>
    </row>
    <row r="1979" spans="1:7" x14ac:dyDescent="0.3">
      <c r="A1979" s="22" t="s">
        <v>68</v>
      </c>
      <c r="B1979">
        <v>29</v>
      </c>
      <c r="C1979" t="s">
        <v>64</v>
      </c>
      <c r="D1979">
        <v>130</v>
      </c>
      <c r="E1979" s="8">
        <v>3.4500000000000003E-2</v>
      </c>
      <c r="F1979" s="8">
        <v>0.51719999999999999</v>
      </c>
      <c r="G1979" s="8">
        <v>0.44829999999999998</v>
      </c>
    </row>
    <row r="1981" spans="1:7" ht="72" x14ac:dyDescent="0.3">
      <c r="A1981" s="22" t="s">
        <v>528</v>
      </c>
    </row>
    <row r="1982" spans="1:7" x14ac:dyDescent="0.3">
      <c r="A1982" s="22" t="s">
        <v>66</v>
      </c>
      <c r="B1982" t="s">
        <v>62</v>
      </c>
      <c r="C1982" t="s">
        <v>57</v>
      </c>
      <c r="D1982" t="s">
        <v>63</v>
      </c>
      <c r="E1982" t="s">
        <v>154</v>
      </c>
      <c r="F1982" t="s">
        <v>411</v>
      </c>
      <c r="G1982" t="s">
        <v>413</v>
      </c>
    </row>
    <row r="1983" spans="1:7" x14ac:dyDescent="0.3">
      <c r="A1983" s="22" t="s">
        <v>67</v>
      </c>
      <c r="B1983">
        <v>98</v>
      </c>
      <c r="C1983" t="s">
        <v>64</v>
      </c>
      <c r="D1983">
        <v>130</v>
      </c>
      <c r="E1983" s="8">
        <v>3.0599999999999999E-2</v>
      </c>
      <c r="F1983" s="8">
        <v>0.58160000000000001</v>
      </c>
      <c r="G1983" s="8">
        <v>0.38779999999999998</v>
      </c>
    </row>
    <row r="1984" spans="1:7" x14ac:dyDescent="0.3">
      <c r="A1984" s="22" t="s">
        <v>68</v>
      </c>
      <c r="B1984">
        <v>32</v>
      </c>
      <c r="C1984" t="s">
        <v>64</v>
      </c>
      <c r="D1984">
        <v>130</v>
      </c>
      <c r="F1984" s="8">
        <v>0.5</v>
      </c>
      <c r="G1984" s="8">
        <v>0.5</v>
      </c>
    </row>
    <row r="1986" spans="1:7" ht="72" x14ac:dyDescent="0.3">
      <c r="A1986" s="22" t="s">
        <v>529</v>
      </c>
    </row>
    <row r="1987" spans="1:7" x14ac:dyDescent="0.3">
      <c r="A1987" s="22" t="s">
        <v>66</v>
      </c>
      <c r="B1987" t="s">
        <v>62</v>
      </c>
      <c r="C1987" t="s">
        <v>57</v>
      </c>
      <c r="D1987" t="s">
        <v>63</v>
      </c>
      <c r="E1987" t="s">
        <v>154</v>
      </c>
      <c r="F1987" t="s">
        <v>411</v>
      </c>
      <c r="G1987" t="s">
        <v>413</v>
      </c>
    </row>
    <row r="1988" spans="1:7" x14ac:dyDescent="0.3">
      <c r="A1988" s="22" t="s">
        <v>67</v>
      </c>
      <c r="B1988">
        <v>118</v>
      </c>
      <c r="C1988" t="s">
        <v>64</v>
      </c>
      <c r="D1988">
        <v>130</v>
      </c>
      <c r="E1988" s="8">
        <v>2.5399999999999999E-2</v>
      </c>
      <c r="F1988" s="8">
        <v>0.54239999999999999</v>
      </c>
      <c r="G1988" s="8">
        <v>0.43219999999999997</v>
      </c>
    </row>
    <row r="1989" spans="1:7" x14ac:dyDescent="0.3">
      <c r="A1989" s="22" t="s">
        <v>68</v>
      </c>
      <c r="B1989">
        <v>12</v>
      </c>
      <c r="C1989" t="s">
        <v>64</v>
      </c>
      <c r="D1989">
        <v>130</v>
      </c>
      <c r="F1989" s="8">
        <v>0.75</v>
      </c>
      <c r="G1989" s="8">
        <v>0.25</v>
      </c>
    </row>
    <row r="1991" spans="1:7" ht="72" x14ac:dyDescent="0.3">
      <c r="A1991" s="22" t="s">
        <v>530</v>
      </c>
    </row>
    <row r="1992" spans="1:7" x14ac:dyDescent="0.3">
      <c r="A1992" s="22" t="s">
        <v>66</v>
      </c>
      <c r="B1992" t="s">
        <v>62</v>
      </c>
      <c r="C1992" t="s">
        <v>57</v>
      </c>
      <c r="D1992" t="s">
        <v>63</v>
      </c>
      <c r="E1992" t="s">
        <v>154</v>
      </c>
      <c r="F1992" t="s">
        <v>411</v>
      </c>
      <c r="G1992" t="s">
        <v>413</v>
      </c>
    </row>
    <row r="1993" spans="1:7" x14ac:dyDescent="0.3">
      <c r="A1993" s="22" t="s">
        <v>67</v>
      </c>
      <c r="B1993">
        <v>130</v>
      </c>
      <c r="C1993" t="s">
        <v>64</v>
      </c>
      <c r="D1993">
        <v>130</v>
      </c>
      <c r="E1993" s="8">
        <v>2.3099999999999999E-2</v>
      </c>
      <c r="F1993" s="8">
        <v>0.5615</v>
      </c>
      <c r="G1993" s="8">
        <v>0.41539999999999999</v>
      </c>
    </row>
    <row r="1995" spans="1:7" ht="57.6" x14ac:dyDescent="0.3">
      <c r="A1995" s="22" t="s">
        <v>531</v>
      </c>
    </row>
    <row r="1996" spans="1:7" x14ac:dyDescent="0.3">
      <c r="A1996" s="22" t="s">
        <v>66</v>
      </c>
      <c r="B1996" t="s">
        <v>62</v>
      </c>
      <c r="C1996" t="s">
        <v>57</v>
      </c>
      <c r="D1996" t="s">
        <v>63</v>
      </c>
      <c r="E1996" t="s">
        <v>154</v>
      </c>
      <c r="F1996" t="s">
        <v>411</v>
      </c>
      <c r="G1996" t="s">
        <v>413</v>
      </c>
    </row>
    <row r="1997" spans="1:7" x14ac:dyDescent="0.3">
      <c r="A1997" s="22" t="s">
        <v>67</v>
      </c>
      <c r="B1997">
        <v>77</v>
      </c>
      <c r="C1997" t="s">
        <v>64</v>
      </c>
      <c r="D1997">
        <v>130</v>
      </c>
      <c r="E1997" s="8">
        <v>2.5999999999999999E-2</v>
      </c>
      <c r="F1997" s="8">
        <v>0.48049999999999998</v>
      </c>
      <c r="G1997" s="8">
        <v>0.49349999999999999</v>
      </c>
    </row>
    <row r="1998" spans="1:7" x14ac:dyDescent="0.3">
      <c r="A1998" s="22" t="s">
        <v>68</v>
      </c>
      <c r="B1998">
        <v>53</v>
      </c>
      <c r="C1998" t="s">
        <v>64</v>
      </c>
      <c r="D1998">
        <v>130</v>
      </c>
      <c r="E1998" s="8">
        <v>1.89E-2</v>
      </c>
      <c r="F1998" s="8">
        <v>0.67920000000000003</v>
      </c>
      <c r="G1998" s="8">
        <v>0.3019</v>
      </c>
    </row>
    <row r="2000" spans="1:7" ht="72" x14ac:dyDescent="0.3">
      <c r="A2000" s="22" t="s">
        <v>532</v>
      </c>
    </row>
    <row r="2001" spans="1:7" x14ac:dyDescent="0.3">
      <c r="A2001" s="22" t="s">
        <v>66</v>
      </c>
      <c r="B2001" t="s">
        <v>62</v>
      </c>
      <c r="C2001" t="s">
        <v>57</v>
      </c>
      <c r="D2001" t="s">
        <v>63</v>
      </c>
      <c r="E2001" t="s">
        <v>154</v>
      </c>
      <c r="F2001" t="s">
        <v>411</v>
      </c>
      <c r="G2001" t="s">
        <v>413</v>
      </c>
    </row>
    <row r="2002" spans="1:7" x14ac:dyDescent="0.3">
      <c r="A2002" s="22" t="s">
        <v>67</v>
      </c>
      <c r="B2002">
        <v>114</v>
      </c>
      <c r="C2002" t="s">
        <v>64</v>
      </c>
      <c r="D2002">
        <v>130</v>
      </c>
      <c r="E2002" s="8">
        <v>2.63E-2</v>
      </c>
      <c r="F2002" s="8">
        <v>0.57889999999999997</v>
      </c>
      <c r="G2002" s="8">
        <v>0.3947</v>
      </c>
    </row>
    <row r="2003" spans="1:7" x14ac:dyDescent="0.3">
      <c r="A2003" s="22" t="s">
        <v>68</v>
      </c>
      <c r="B2003">
        <v>16</v>
      </c>
      <c r="C2003" t="s">
        <v>64</v>
      </c>
      <c r="D2003">
        <v>130</v>
      </c>
      <c r="F2003" s="8">
        <v>0.4375</v>
      </c>
      <c r="G2003" s="8">
        <v>0.5625</v>
      </c>
    </row>
    <row r="2005" spans="1:7" ht="57.6" x14ac:dyDescent="0.3">
      <c r="A2005" s="22" t="s">
        <v>533</v>
      </c>
    </row>
    <row r="2006" spans="1:7" x14ac:dyDescent="0.3">
      <c r="A2006" s="22" t="s">
        <v>66</v>
      </c>
      <c r="B2006" t="s">
        <v>62</v>
      </c>
      <c r="C2006" t="s">
        <v>57</v>
      </c>
      <c r="D2006" t="s">
        <v>63</v>
      </c>
      <c r="E2006" t="s">
        <v>154</v>
      </c>
      <c r="F2006" t="s">
        <v>411</v>
      </c>
      <c r="G2006" t="s">
        <v>413</v>
      </c>
    </row>
    <row r="2007" spans="1:7" x14ac:dyDescent="0.3">
      <c r="A2007" s="22" t="s">
        <v>81</v>
      </c>
      <c r="B2007">
        <v>32</v>
      </c>
      <c r="C2007" t="s">
        <v>64</v>
      </c>
      <c r="D2007">
        <v>130</v>
      </c>
      <c r="E2007" s="8">
        <v>3.1199999999999999E-2</v>
      </c>
      <c r="F2007" s="8">
        <v>0.59379999999999999</v>
      </c>
      <c r="G2007" s="8">
        <v>0.375</v>
      </c>
    </row>
    <row r="2008" spans="1:7" x14ac:dyDescent="0.3">
      <c r="A2008" s="22" t="s">
        <v>82</v>
      </c>
      <c r="B2008">
        <v>34</v>
      </c>
      <c r="C2008" t="s">
        <v>64</v>
      </c>
      <c r="D2008">
        <v>130</v>
      </c>
      <c r="E2008" s="8">
        <v>5.8799999999999998E-2</v>
      </c>
      <c r="F2008" s="8">
        <v>0.5</v>
      </c>
      <c r="G2008" s="8">
        <v>0.44119999999999998</v>
      </c>
    </row>
    <row r="2009" spans="1:7" x14ac:dyDescent="0.3">
      <c r="A2009" s="22" t="s">
        <v>83</v>
      </c>
      <c r="B2009">
        <v>33</v>
      </c>
      <c r="C2009" t="s">
        <v>64</v>
      </c>
      <c r="D2009">
        <v>130</v>
      </c>
      <c r="F2009" s="8">
        <v>0.51519999999999999</v>
      </c>
      <c r="G2009" s="8">
        <v>0.48480000000000001</v>
      </c>
    </row>
    <row r="2010" spans="1:7" x14ac:dyDescent="0.3">
      <c r="A2010" s="22" t="s">
        <v>84</v>
      </c>
      <c r="B2010">
        <v>31</v>
      </c>
      <c r="C2010" t="s">
        <v>64</v>
      </c>
      <c r="D2010">
        <v>130</v>
      </c>
      <c r="F2010" s="8">
        <v>0.6452</v>
      </c>
      <c r="G2010" s="8">
        <v>0.3548</v>
      </c>
    </row>
    <row r="2012" spans="1:7" ht="28.8" x14ac:dyDescent="0.3">
      <c r="A2012" s="27" t="s">
        <v>534</v>
      </c>
    </row>
    <row r="2013" spans="1:7" x14ac:dyDescent="0.3">
      <c r="A2013" s="22" t="s">
        <v>57</v>
      </c>
      <c r="B2013" t="s">
        <v>58</v>
      </c>
      <c r="C2013" t="s">
        <v>59</v>
      </c>
      <c r="D2013" t="s">
        <v>60</v>
      </c>
      <c r="E2013" t="s">
        <v>61</v>
      </c>
      <c r="F2013" t="s">
        <v>62</v>
      </c>
      <c r="G2013" t="s">
        <v>63</v>
      </c>
    </row>
    <row r="2014" spans="1:7" x14ac:dyDescent="0.3">
      <c r="A2014" s="22" t="s">
        <v>64</v>
      </c>
      <c r="B2014" s="25">
        <v>75.354330708661422</v>
      </c>
      <c r="C2014" s="25">
        <v>75</v>
      </c>
      <c r="D2014">
        <v>10</v>
      </c>
      <c r="E2014">
        <v>100</v>
      </c>
      <c r="F2014">
        <v>127</v>
      </c>
      <c r="G2014">
        <v>127</v>
      </c>
    </row>
    <row r="2015" spans="1:7" x14ac:dyDescent="0.3">
      <c r="C2015" s="25"/>
    </row>
    <row r="2016" spans="1:7" ht="57.6" x14ac:dyDescent="0.3">
      <c r="A2016" s="22" t="s">
        <v>535</v>
      </c>
      <c r="C2016" s="25"/>
    </row>
    <row r="2017" spans="1:8" x14ac:dyDescent="0.3">
      <c r="A2017" s="22" t="s">
        <v>57</v>
      </c>
      <c r="B2017" t="s">
        <v>66</v>
      </c>
      <c r="C2017" s="25" t="s">
        <v>58</v>
      </c>
      <c r="D2017" t="s">
        <v>59</v>
      </c>
      <c r="E2017" t="s">
        <v>60</v>
      </c>
      <c r="F2017" t="s">
        <v>61</v>
      </c>
      <c r="G2017" t="s">
        <v>62</v>
      </c>
      <c r="H2017" t="s">
        <v>63</v>
      </c>
    </row>
    <row r="2018" spans="1:8" x14ac:dyDescent="0.3">
      <c r="A2018" s="22" t="s">
        <v>64</v>
      </c>
      <c r="B2018" t="s">
        <v>67</v>
      </c>
      <c r="C2018" s="25">
        <v>74.625</v>
      </c>
      <c r="D2018">
        <v>70</v>
      </c>
      <c r="E2018">
        <v>10</v>
      </c>
      <c r="F2018">
        <v>100</v>
      </c>
      <c r="G2018">
        <v>120</v>
      </c>
      <c r="H2018">
        <v>127</v>
      </c>
    </row>
    <row r="2019" spans="1:8" x14ac:dyDescent="0.3">
      <c r="A2019" s="22" t="s">
        <v>64</v>
      </c>
      <c r="B2019" t="s">
        <v>68</v>
      </c>
      <c r="C2019" s="25">
        <v>87.857142857142861</v>
      </c>
      <c r="D2019">
        <v>100</v>
      </c>
      <c r="E2019">
        <v>50</v>
      </c>
      <c r="F2019">
        <v>100</v>
      </c>
      <c r="G2019">
        <v>7</v>
      </c>
      <c r="H2019">
        <v>127</v>
      </c>
    </row>
    <row r="2020" spans="1:8" x14ac:dyDescent="0.3">
      <c r="C2020" s="25"/>
    </row>
    <row r="2021" spans="1:8" x14ac:dyDescent="0.3">
      <c r="A2021"/>
      <c r="C2021" s="25"/>
    </row>
    <row r="2022" spans="1:8" x14ac:dyDescent="0.3">
      <c r="A2022"/>
      <c r="C2022" s="25"/>
    </row>
    <row r="2023" spans="1:8" x14ac:dyDescent="0.3">
      <c r="A2023"/>
      <c r="C2023" s="25"/>
    </row>
    <row r="2024" spans="1:8" x14ac:dyDescent="0.3">
      <c r="C2024" s="25"/>
    </row>
    <row r="2025" spans="1:8" ht="43.2" x14ac:dyDescent="0.3">
      <c r="A2025" s="22" t="s">
        <v>536</v>
      </c>
      <c r="C2025" s="25"/>
    </row>
    <row r="2026" spans="1:8" x14ac:dyDescent="0.3">
      <c r="A2026" s="22" t="s">
        <v>57</v>
      </c>
      <c r="B2026" t="s">
        <v>66</v>
      </c>
      <c r="C2026" s="25" t="s">
        <v>58</v>
      </c>
      <c r="D2026" t="s">
        <v>59</v>
      </c>
      <c r="E2026" t="s">
        <v>60</v>
      </c>
      <c r="F2026" t="s">
        <v>61</v>
      </c>
      <c r="G2026" t="s">
        <v>62</v>
      </c>
      <c r="H2026" t="s">
        <v>63</v>
      </c>
    </row>
    <row r="2027" spans="1:8" x14ac:dyDescent="0.3">
      <c r="A2027" s="22" t="s">
        <v>64</v>
      </c>
      <c r="B2027" t="s">
        <v>67</v>
      </c>
      <c r="C2027" s="25">
        <v>74.959016393442624</v>
      </c>
      <c r="D2027">
        <v>75</v>
      </c>
      <c r="E2027">
        <v>10</v>
      </c>
      <c r="F2027">
        <v>100</v>
      </c>
      <c r="G2027">
        <v>122</v>
      </c>
      <c r="H2027">
        <v>127</v>
      </c>
    </row>
    <row r="2028" spans="1:8" x14ac:dyDescent="0.3">
      <c r="A2028" s="22" t="s">
        <v>64</v>
      </c>
      <c r="B2028" t="s">
        <v>68</v>
      </c>
      <c r="C2028" s="25">
        <v>85</v>
      </c>
      <c r="D2028">
        <v>100</v>
      </c>
      <c r="E2028">
        <v>50</v>
      </c>
      <c r="F2028">
        <v>100</v>
      </c>
      <c r="G2028">
        <v>5</v>
      </c>
      <c r="H2028">
        <v>127</v>
      </c>
    </row>
    <row r="2029" spans="1:8" x14ac:dyDescent="0.3">
      <c r="C2029" s="25"/>
    </row>
    <row r="2030" spans="1:8" ht="43.2" x14ac:dyDescent="0.3">
      <c r="A2030" s="22" t="s">
        <v>537</v>
      </c>
      <c r="C2030" s="25"/>
    </row>
    <row r="2031" spans="1:8" x14ac:dyDescent="0.3">
      <c r="A2031" s="22" t="s">
        <v>57</v>
      </c>
      <c r="B2031" t="s">
        <v>66</v>
      </c>
      <c r="C2031" s="25" t="s">
        <v>58</v>
      </c>
      <c r="D2031" t="s">
        <v>59</v>
      </c>
      <c r="E2031" t="s">
        <v>60</v>
      </c>
      <c r="F2031" t="s">
        <v>61</v>
      </c>
      <c r="G2031" t="s">
        <v>62</v>
      </c>
      <c r="H2031" t="s">
        <v>63</v>
      </c>
    </row>
    <row r="2032" spans="1:8" x14ac:dyDescent="0.3">
      <c r="A2032" s="22" t="s">
        <v>64</v>
      </c>
      <c r="B2032" t="s">
        <v>67</v>
      </c>
      <c r="C2032" s="25">
        <v>75.158730158730165</v>
      </c>
      <c r="D2032">
        <v>75</v>
      </c>
      <c r="E2032">
        <v>10</v>
      </c>
      <c r="F2032">
        <v>100</v>
      </c>
      <c r="G2032">
        <v>126</v>
      </c>
      <c r="H2032">
        <v>127</v>
      </c>
    </row>
    <row r="2033" spans="1:8" x14ac:dyDescent="0.3">
      <c r="A2033" s="22" t="s">
        <v>64</v>
      </c>
      <c r="B2033" t="s">
        <v>68</v>
      </c>
      <c r="C2033" s="25">
        <v>100</v>
      </c>
      <c r="D2033">
        <v>100</v>
      </c>
      <c r="E2033">
        <v>100</v>
      </c>
      <c r="F2033">
        <v>100</v>
      </c>
      <c r="G2033">
        <v>1</v>
      </c>
      <c r="H2033">
        <v>127</v>
      </c>
    </row>
    <row r="2034" spans="1:8" x14ac:dyDescent="0.3">
      <c r="C2034" s="25"/>
    </row>
    <row r="2035" spans="1:8" ht="57.6" x14ac:dyDescent="0.3">
      <c r="A2035" s="22" t="s">
        <v>538</v>
      </c>
      <c r="C2035" s="25"/>
    </row>
    <row r="2036" spans="1:8" x14ac:dyDescent="0.3">
      <c r="A2036" s="22" t="s">
        <v>57</v>
      </c>
      <c r="B2036" t="s">
        <v>66</v>
      </c>
      <c r="C2036" s="25" t="s">
        <v>58</v>
      </c>
      <c r="D2036" t="s">
        <v>59</v>
      </c>
      <c r="E2036" t="s">
        <v>60</v>
      </c>
      <c r="F2036" t="s">
        <v>61</v>
      </c>
      <c r="G2036" t="s">
        <v>62</v>
      </c>
      <c r="H2036" t="s">
        <v>63</v>
      </c>
    </row>
    <row r="2037" spans="1:8" x14ac:dyDescent="0.3">
      <c r="A2037" s="22" t="s">
        <v>64</v>
      </c>
      <c r="B2037" t="s">
        <v>67</v>
      </c>
      <c r="C2037" s="25">
        <v>75.384615384615387</v>
      </c>
      <c r="D2037">
        <v>75</v>
      </c>
      <c r="E2037">
        <v>10</v>
      </c>
      <c r="F2037">
        <v>100</v>
      </c>
      <c r="G2037">
        <v>117</v>
      </c>
      <c r="H2037">
        <v>127</v>
      </c>
    </row>
    <row r="2038" spans="1:8" x14ac:dyDescent="0.3">
      <c r="A2038" s="22" t="s">
        <v>64</v>
      </c>
      <c r="B2038" t="s">
        <v>68</v>
      </c>
      <c r="C2038" s="25">
        <v>75</v>
      </c>
      <c r="D2038">
        <v>75</v>
      </c>
      <c r="E2038">
        <v>25</v>
      </c>
      <c r="F2038">
        <v>100</v>
      </c>
      <c r="G2038">
        <v>10</v>
      </c>
      <c r="H2038">
        <v>127</v>
      </c>
    </row>
    <row r="2039" spans="1:8" x14ac:dyDescent="0.3">
      <c r="C2039" s="25"/>
    </row>
    <row r="2040" spans="1:8" ht="57.6" x14ac:dyDescent="0.3">
      <c r="A2040" s="22" t="s">
        <v>539</v>
      </c>
      <c r="C2040" s="25"/>
    </row>
    <row r="2041" spans="1:8" x14ac:dyDescent="0.3">
      <c r="A2041" s="22" t="s">
        <v>57</v>
      </c>
      <c r="B2041" t="s">
        <v>66</v>
      </c>
      <c r="C2041" s="25" t="s">
        <v>58</v>
      </c>
      <c r="D2041" t="s">
        <v>59</v>
      </c>
      <c r="E2041" t="s">
        <v>60</v>
      </c>
      <c r="F2041" t="s">
        <v>61</v>
      </c>
      <c r="G2041" t="s">
        <v>62</v>
      </c>
      <c r="H2041" t="s">
        <v>63</v>
      </c>
    </row>
    <row r="2042" spans="1:8" x14ac:dyDescent="0.3">
      <c r="A2042" s="22" t="s">
        <v>64</v>
      </c>
      <c r="B2042" t="s">
        <v>67</v>
      </c>
      <c r="C2042" s="25">
        <v>85</v>
      </c>
      <c r="D2042">
        <v>100</v>
      </c>
      <c r="E2042">
        <v>25</v>
      </c>
      <c r="F2042">
        <v>100</v>
      </c>
      <c r="G2042">
        <v>5</v>
      </c>
      <c r="H2042">
        <v>127</v>
      </c>
    </row>
    <row r="2043" spans="1:8" x14ac:dyDescent="0.3">
      <c r="A2043" s="22" t="s">
        <v>64</v>
      </c>
      <c r="B2043" t="s">
        <v>68</v>
      </c>
      <c r="C2043" s="25">
        <v>74.959016393442624</v>
      </c>
      <c r="D2043">
        <v>75</v>
      </c>
      <c r="E2043">
        <v>10</v>
      </c>
      <c r="F2043">
        <v>100</v>
      </c>
      <c r="G2043">
        <v>122</v>
      </c>
      <c r="H2043">
        <v>127</v>
      </c>
    </row>
    <row r="2044" spans="1:8" x14ac:dyDescent="0.3">
      <c r="C2044" s="25"/>
    </row>
    <row r="2045" spans="1:8" ht="57.6" x14ac:dyDescent="0.3">
      <c r="A2045" s="22" t="s">
        <v>540</v>
      </c>
      <c r="C2045" s="25"/>
    </row>
    <row r="2046" spans="1:8" x14ac:dyDescent="0.3">
      <c r="A2046" s="22" t="s">
        <v>57</v>
      </c>
      <c r="B2046" t="s">
        <v>66</v>
      </c>
      <c r="C2046" s="25" t="s">
        <v>58</v>
      </c>
      <c r="D2046" t="s">
        <v>59</v>
      </c>
      <c r="E2046" t="s">
        <v>60</v>
      </c>
      <c r="F2046" t="s">
        <v>61</v>
      </c>
      <c r="G2046" t="s">
        <v>62</v>
      </c>
      <c r="H2046" t="s">
        <v>63</v>
      </c>
    </row>
    <row r="2047" spans="1:8" x14ac:dyDescent="0.3">
      <c r="A2047" s="22" t="s">
        <v>64</v>
      </c>
      <c r="B2047" t="s">
        <v>67</v>
      </c>
      <c r="C2047" s="25">
        <v>75.242718446601941</v>
      </c>
      <c r="D2047">
        <v>75</v>
      </c>
      <c r="E2047">
        <v>25</v>
      </c>
      <c r="F2047">
        <v>100</v>
      </c>
      <c r="G2047">
        <v>103</v>
      </c>
      <c r="H2047">
        <v>127</v>
      </c>
    </row>
    <row r="2048" spans="1:8" x14ac:dyDescent="0.3">
      <c r="A2048" s="22" t="s">
        <v>64</v>
      </c>
      <c r="B2048" t="s">
        <v>68</v>
      </c>
      <c r="C2048" s="25">
        <v>75.833333333333329</v>
      </c>
      <c r="D2048">
        <v>75</v>
      </c>
      <c r="E2048">
        <v>10</v>
      </c>
      <c r="F2048">
        <v>100</v>
      </c>
      <c r="G2048">
        <v>24</v>
      </c>
      <c r="H2048">
        <v>127</v>
      </c>
    </row>
    <row r="2049" spans="1:8" x14ac:dyDescent="0.3">
      <c r="C2049" s="25"/>
    </row>
    <row r="2050" spans="1:8" ht="43.2" x14ac:dyDescent="0.3">
      <c r="A2050" s="22" t="s">
        <v>541</v>
      </c>
      <c r="C2050" s="25"/>
    </row>
    <row r="2051" spans="1:8" x14ac:dyDescent="0.3">
      <c r="A2051" s="22" t="s">
        <v>57</v>
      </c>
      <c r="B2051" t="s">
        <v>66</v>
      </c>
      <c r="C2051" s="25" t="s">
        <v>58</v>
      </c>
      <c r="D2051" t="s">
        <v>59</v>
      </c>
      <c r="E2051" t="s">
        <v>60</v>
      </c>
      <c r="F2051" t="s">
        <v>61</v>
      </c>
      <c r="G2051" t="s">
        <v>62</v>
      </c>
      <c r="H2051" t="s">
        <v>63</v>
      </c>
    </row>
    <row r="2052" spans="1:8" x14ac:dyDescent="0.3">
      <c r="A2052" s="22" t="s">
        <v>64</v>
      </c>
      <c r="B2052" t="s">
        <v>67</v>
      </c>
      <c r="C2052" s="25">
        <v>76.01010101010101</v>
      </c>
      <c r="D2052">
        <v>75</v>
      </c>
      <c r="E2052">
        <v>25</v>
      </c>
      <c r="F2052">
        <v>100</v>
      </c>
      <c r="G2052">
        <v>99</v>
      </c>
      <c r="H2052">
        <v>127</v>
      </c>
    </row>
    <row r="2053" spans="1:8" x14ac:dyDescent="0.3">
      <c r="A2053" s="22" t="s">
        <v>64</v>
      </c>
      <c r="B2053" t="s">
        <v>68</v>
      </c>
      <c r="C2053" s="25">
        <v>73.035714285714292</v>
      </c>
      <c r="D2053">
        <v>70</v>
      </c>
      <c r="E2053">
        <v>10</v>
      </c>
      <c r="F2053">
        <v>100</v>
      </c>
      <c r="G2053">
        <v>28</v>
      </c>
      <c r="H2053">
        <v>127</v>
      </c>
    </row>
    <row r="2054" spans="1:8" x14ac:dyDescent="0.3">
      <c r="C2054" s="25"/>
    </row>
    <row r="2055" spans="1:8" ht="57.6" x14ac:dyDescent="0.3">
      <c r="A2055" s="22" t="s">
        <v>542</v>
      </c>
      <c r="C2055" s="25"/>
    </row>
    <row r="2056" spans="1:8" x14ac:dyDescent="0.3">
      <c r="A2056" s="22" t="s">
        <v>57</v>
      </c>
      <c r="B2056" t="s">
        <v>66</v>
      </c>
      <c r="C2056" s="25" t="s">
        <v>58</v>
      </c>
      <c r="D2056" t="s">
        <v>59</v>
      </c>
      <c r="E2056" t="s">
        <v>60</v>
      </c>
      <c r="F2056" t="s">
        <v>61</v>
      </c>
      <c r="G2056" t="s">
        <v>62</v>
      </c>
      <c r="H2056" t="s">
        <v>63</v>
      </c>
    </row>
    <row r="2057" spans="1:8" x14ac:dyDescent="0.3">
      <c r="A2057" s="22" t="s">
        <v>64</v>
      </c>
      <c r="B2057" t="s">
        <v>67</v>
      </c>
      <c r="C2057" s="25">
        <v>74.578947368421055</v>
      </c>
      <c r="D2057">
        <v>75</v>
      </c>
      <c r="E2057">
        <v>10</v>
      </c>
      <c r="F2057">
        <v>100</v>
      </c>
      <c r="G2057">
        <v>95</v>
      </c>
      <c r="H2057">
        <v>127</v>
      </c>
    </row>
    <row r="2058" spans="1:8" x14ac:dyDescent="0.3">
      <c r="A2058" s="22" t="s">
        <v>64</v>
      </c>
      <c r="B2058" t="s">
        <v>68</v>
      </c>
      <c r="C2058" s="25">
        <v>77.65625</v>
      </c>
      <c r="D2058">
        <v>80</v>
      </c>
      <c r="E2058">
        <v>25</v>
      </c>
      <c r="F2058">
        <v>100</v>
      </c>
      <c r="G2058">
        <v>32</v>
      </c>
      <c r="H2058">
        <v>127</v>
      </c>
    </row>
    <row r="2059" spans="1:8" x14ac:dyDescent="0.3">
      <c r="C2059" s="25"/>
    </row>
    <row r="2060" spans="1:8" ht="57.6" x14ac:dyDescent="0.3">
      <c r="A2060" s="22" t="s">
        <v>543</v>
      </c>
      <c r="C2060" s="25"/>
    </row>
    <row r="2061" spans="1:8" x14ac:dyDescent="0.3">
      <c r="A2061" s="22" t="s">
        <v>57</v>
      </c>
      <c r="B2061" t="s">
        <v>66</v>
      </c>
      <c r="C2061" s="25" t="s">
        <v>58</v>
      </c>
      <c r="D2061" t="s">
        <v>59</v>
      </c>
      <c r="E2061" t="s">
        <v>60</v>
      </c>
      <c r="F2061" t="s">
        <v>61</v>
      </c>
      <c r="G2061" t="s">
        <v>62</v>
      </c>
      <c r="H2061" t="s">
        <v>63</v>
      </c>
    </row>
    <row r="2062" spans="1:8" x14ac:dyDescent="0.3">
      <c r="A2062" s="22" t="s">
        <v>64</v>
      </c>
      <c r="B2062" t="s">
        <v>67</v>
      </c>
      <c r="C2062" s="25">
        <v>76.086956521739125</v>
      </c>
      <c r="D2062">
        <v>80</v>
      </c>
      <c r="E2062">
        <v>10</v>
      </c>
      <c r="F2062">
        <v>100</v>
      </c>
      <c r="G2062">
        <v>115</v>
      </c>
      <c r="H2062">
        <v>127</v>
      </c>
    </row>
    <row r="2063" spans="1:8" x14ac:dyDescent="0.3">
      <c r="A2063" s="22" t="s">
        <v>64</v>
      </c>
      <c r="B2063" t="s">
        <v>68</v>
      </c>
      <c r="C2063" s="25">
        <v>68.333333333333329</v>
      </c>
      <c r="D2063">
        <v>70</v>
      </c>
      <c r="E2063">
        <v>25</v>
      </c>
      <c r="F2063">
        <v>100</v>
      </c>
      <c r="G2063">
        <v>12</v>
      </c>
      <c r="H2063">
        <v>127</v>
      </c>
    </row>
    <row r="2064" spans="1:8" x14ac:dyDescent="0.3">
      <c r="C2064" s="25"/>
    </row>
    <row r="2065" spans="1:8" ht="57.6" x14ac:dyDescent="0.3">
      <c r="A2065" s="22" t="s">
        <v>544</v>
      </c>
      <c r="C2065" s="25"/>
    </row>
    <row r="2066" spans="1:8" x14ac:dyDescent="0.3">
      <c r="A2066" s="22" t="s">
        <v>57</v>
      </c>
      <c r="B2066" t="s">
        <v>66</v>
      </c>
      <c r="C2066" s="25" t="s">
        <v>58</v>
      </c>
      <c r="D2066" t="s">
        <v>59</v>
      </c>
      <c r="E2066" t="s">
        <v>60</v>
      </c>
      <c r="F2066" t="s">
        <v>61</v>
      </c>
      <c r="G2066" t="s">
        <v>62</v>
      </c>
      <c r="H2066" t="s">
        <v>63</v>
      </c>
    </row>
    <row r="2067" spans="1:8" x14ac:dyDescent="0.3">
      <c r="A2067" s="22" t="s">
        <v>64</v>
      </c>
      <c r="B2067" t="s">
        <v>67</v>
      </c>
      <c r="C2067" s="25">
        <v>75.354330708661422</v>
      </c>
      <c r="D2067">
        <v>75</v>
      </c>
      <c r="E2067">
        <v>10</v>
      </c>
      <c r="F2067">
        <v>100</v>
      </c>
      <c r="G2067">
        <v>127</v>
      </c>
      <c r="H2067">
        <v>127</v>
      </c>
    </row>
    <row r="2068" spans="1:8" x14ac:dyDescent="0.3">
      <c r="C2068" s="25"/>
    </row>
    <row r="2069" spans="1:8" ht="43.2" x14ac:dyDescent="0.3">
      <c r="A2069" s="22" t="s">
        <v>545</v>
      </c>
      <c r="C2069" s="25"/>
    </row>
    <row r="2070" spans="1:8" x14ac:dyDescent="0.3">
      <c r="A2070" s="22" t="s">
        <v>57</v>
      </c>
      <c r="B2070" t="s">
        <v>66</v>
      </c>
      <c r="C2070" s="25" t="s">
        <v>58</v>
      </c>
      <c r="D2070" t="s">
        <v>59</v>
      </c>
      <c r="E2070" t="s">
        <v>60</v>
      </c>
      <c r="F2070" t="s">
        <v>61</v>
      </c>
      <c r="G2070" t="s">
        <v>62</v>
      </c>
      <c r="H2070" t="s">
        <v>63</v>
      </c>
    </row>
    <row r="2071" spans="1:8" x14ac:dyDescent="0.3">
      <c r="A2071" s="22" t="s">
        <v>64</v>
      </c>
      <c r="B2071" t="s">
        <v>67</v>
      </c>
      <c r="C2071" s="25">
        <v>79.533333333333331</v>
      </c>
      <c r="D2071">
        <v>100</v>
      </c>
      <c r="E2071">
        <v>40</v>
      </c>
      <c r="F2071">
        <v>100</v>
      </c>
      <c r="G2071">
        <v>75</v>
      </c>
      <c r="H2071">
        <v>127</v>
      </c>
    </row>
    <row r="2072" spans="1:8" x14ac:dyDescent="0.3">
      <c r="A2072" s="22" t="s">
        <v>64</v>
      </c>
      <c r="B2072" t="s">
        <v>68</v>
      </c>
      <c r="C2072" s="25">
        <v>69.32692307692308</v>
      </c>
      <c r="D2072">
        <v>70</v>
      </c>
      <c r="E2072">
        <v>10</v>
      </c>
      <c r="F2072">
        <v>100</v>
      </c>
      <c r="G2072">
        <v>52</v>
      </c>
      <c r="H2072">
        <v>127</v>
      </c>
    </row>
    <row r="2073" spans="1:8" x14ac:dyDescent="0.3">
      <c r="C2073" s="25"/>
    </row>
    <row r="2074" spans="1:8" ht="57.6" x14ac:dyDescent="0.3">
      <c r="A2074" s="22" t="s">
        <v>546</v>
      </c>
      <c r="C2074" s="25"/>
    </row>
    <row r="2075" spans="1:8" x14ac:dyDescent="0.3">
      <c r="A2075" s="22" t="s">
        <v>57</v>
      </c>
      <c r="B2075" t="s">
        <v>66</v>
      </c>
      <c r="C2075" s="25" t="s">
        <v>58</v>
      </c>
      <c r="D2075" t="s">
        <v>59</v>
      </c>
      <c r="E2075" t="s">
        <v>60</v>
      </c>
      <c r="F2075" t="s">
        <v>61</v>
      </c>
      <c r="G2075" t="s">
        <v>62</v>
      </c>
      <c r="H2075" t="s">
        <v>63</v>
      </c>
    </row>
    <row r="2076" spans="1:8" x14ac:dyDescent="0.3">
      <c r="A2076" s="22" t="s">
        <v>64</v>
      </c>
      <c r="B2076" t="s">
        <v>67</v>
      </c>
      <c r="C2076" s="25">
        <v>74.594594594594597</v>
      </c>
      <c r="D2076">
        <v>75</v>
      </c>
      <c r="E2076">
        <v>10</v>
      </c>
      <c r="F2076">
        <v>100</v>
      </c>
      <c r="G2076">
        <v>111</v>
      </c>
      <c r="H2076">
        <v>127</v>
      </c>
    </row>
    <row r="2077" spans="1:8" x14ac:dyDescent="0.3">
      <c r="A2077" s="22" t="s">
        <v>64</v>
      </c>
      <c r="B2077" t="s">
        <v>68</v>
      </c>
      <c r="C2077" s="25">
        <v>80.625</v>
      </c>
      <c r="D2077">
        <v>100</v>
      </c>
      <c r="E2077">
        <v>40</v>
      </c>
      <c r="F2077">
        <v>100</v>
      </c>
      <c r="G2077">
        <v>16</v>
      </c>
      <c r="H2077">
        <v>127</v>
      </c>
    </row>
    <row r="2078" spans="1:8" x14ac:dyDescent="0.3">
      <c r="C2078" s="25"/>
    </row>
    <row r="2079" spans="1:8" ht="43.2" x14ac:dyDescent="0.3">
      <c r="A2079" s="27" t="s">
        <v>547</v>
      </c>
      <c r="C2079" s="25"/>
    </row>
    <row r="2080" spans="1:8" x14ac:dyDescent="0.3">
      <c r="A2080" s="22" t="s">
        <v>57</v>
      </c>
      <c r="B2080" t="s">
        <v>66</v>
      </c>
      <c r="C2080" s="25" t="s">
        <v>58</v>
      </c>
      <c r="D2080" t="s">
        <v>59</v>
      </c>
      <c r="E2080" t="s">
        <v>60</v>
      </c>
      <c r="F2080" t="s">
        <v>61</v>
      </c>
      <c r="G2080" t="s">
        <v>62</v>
      </c>
      <c r="H2080" t="s">
        <v>63</v>
      </c>
    </row>
    <row r="2081" spans="1:23" x14ac:dyDescent="0.3">
      <c r="A2081" s="22" t="s">
        <v>64</v>
      </c>
      <c r="B2081" t="s">
        <v>81</v>
      </c>
      <c r="C2081" s="25">
        <v>75.322580645161295</v>
      </c>
      <c r="D2081">
        <v>70</v>
      </c>
      <c r="E2081">
        <v>50</v>
      </c>
      <c r="F2081">
        <v>100</v>
      </c>
      <c r="G2081">
        <v>31</v>
      </c>
      <c r="H2081">
        <v>127</v>
      </c>
    </row>
    <row r="2082" spans="1:23" x14ac:dyDescent="0.3">
      <c r="A2082" s="22" t="s">
        <v>64</v>
      </c>
      <c r="B2082" t="s">
        <v>82</v>
      </c>
      <c r="C2082" s="25">
        <v>78.59375</v>
      </c>
      <c r="D2082">
        <v>80</v>
      </c>
      <c r="E2082">
        <v>40</v>
      </c>
      <c r="F2082">
        <v>100</v>
      </c>
      <c r="G2082">
        <v>32</v>
      </c>
      <c r="H2082">
        <v>127</v>
      </c>
    </row>
    <row r="2083" spans="1:23" x14ac:dyDescent="0.3">
      <c r="A2083" s="22" t="s">
        <v>64</v>
      </c>
      <c r="B2083" t="s">
        <v>83</v>
      </c>
      <c r="C2083" s="25">
        <v>76.060606060606062</v>
      </c>
      <c r="D2083">
        <v>100</v>
      </c>
      <c r="E2083">
        <v>10</v>
      </c>
      <c r="F2083">
        <v>100</v>
      </c>
      <c r="G2083">
        <v>33</v>
      </c>
      <c r="H2083">
        <v>127</v>
      </c>
    </row>
    <row r="2084" spans="1:23" x14ac:dyDescent="0.3">
      <c r="A2084" s="22" t="s">
        <v>64</v>
      </c>
      <c r="B2084" t="s">
        <v>84</v>
      </c>
      <c r="C2084" s="25">
        <v>71.290322580645167</v>
      </c>
      <c r="D2084">
        <v>75</v>
      </c>
      <c r="E2084">
        <v>25</v>
      </c>
      <c r="F2084">
        <v>100</v>
      </c>
      <c r="G2084">
        <v>31</v>
      </c>
      <c r="H2084">
        <v>127</v>
      </c>
    </row>
    <row r="2085" spans="1:23" x14ac:dyDescent="0.3">
      <c r="C2085" s="25"/>
    </row>
    <row r="2086" spans="1:23" ht="43.2" x14ac:dyDescent="0.3">
      <c r="A2086" s="27" t="s">
        <v>548</v>
      </c>
    </row>
    <row r="2087" spans="1:23" x14ac:dyDescent="0.3">
      <c r="A2087" s="22" t="s">
        <v>62</v>
      </c>
      <c r="B2087" t="s">
        <v>57</v>
      </c>
      <c r="C2087" t="s">
        <v>63</v>
      </c>
      <c r="D2087" t="s">
        <v>226</v>
      </c>
      <c r="E2087" t="s">
        <v>228</v>
      </c>
      <c r="F2087" t="s">
        <v>229</v>
      </c>
      <c r="G2087" t="s">
        <v>154</v>
      </c>
      <c r="H2087" t="s">
        <v>230</v>
      </c>
      <c r="I2087" t="s">
        <v>231</v>
      </c>
      <c r="J2087" t="s">
        <v>232</v>
      </c>
      <c r="K2087" t="s">
        <v>233</v>
      </c>
      <c r="L2087" t="s">
        <v>234</v>
      </c>
      <c r="M2087" t="s">
        <v>235</v>
      </c>
      <c r="N2087" t="s">
        <v>236</v>
      </c>
      <c r="O2087" t="s">
        <v>237</v>
      </c>
      <c r="P2087" t="s">
        <v>136</v>
      </c>
      <c r="Q2087" t="s">
        <v>238</v>
      </c>
      <c r="R2087" t="s">
        <v>239</v>
      </c>
      <c r="S2087" t="s">
        <v>240</v>
      </c>
      <c r="T2087" t="s">
        <v>243</v>
      </c>
      <c r="U2087" t="s">
        <v>244</v>
      </c>
      <c r="V2087" t="s">
        <v>245</v>
      </c>
    </row>
    <row r="2088" spans="1:23" x14ac:dyDescent="0.3">
      <c r="A2088" s="22">
        <v>195</v>
      </c>
      <c r="B2088" t="s">
        <v>64</v>
      </c>
      <c r="C2088">
        <v>195</v>
      </c>
      <c r="D2088" s="8">
        <v>3.0800000000000001E-2</v>
      </c>
      <c r="E2088" s="8">
        <v>0.1231</v>
      </c>
      <c r="F2088" s="8">
        <v>0.32819999999999999</v>
      </c>
      <c r="G2088" s="8">
        <v>3.0800000000000001E-2</v>
      </c>
      <c r="H2088" s="8">
        <v>2.0500000000000001E-2</v>
      </c>
      <c r="I2088" s="8">
        <v>5.1000000000000004E-3</v>
      </c>
      <c r="J2088" s="8">
        <v>5.1299999999999998E-2</v>
      </c>
      <c r="K2088" s="8">
        <v>0.35899999999999999</v>
      </c>
      <c r="L2088" s="8">
        <v>0.38969999999999999</v>
      </c>
      <c r="M2088" s="8">
        <v>1.54E-2</v>
      </c>
      <c r="N2088" s="8">
        <v>0.50260000000000005</v>
      </c>
      <c r="O2088" s="8">
        <v>1.03E-2</v>
      </c>
      <c r="P2088" s="8">
        <v>0.2</v>
      </c>
      <c r="Q2088" s="8">
        <v>0.1026</v>
      </c>
      <c r="R2088" s="8">
        <v>1.54E-2</v>
      </c>
      <c r="S2088" s="8">
        <v>2.5600000000000001E-2</v>
      </c>
      <c r="T2088" s="8">
        <v>1.54E-2</v>
      </c>
      <c r="U2088" s="8">
        <v>0.48720000000000002</v>
      </c>
      <c r="V2088" s="8">
        <v>5.1000000000000004E-3</v>
      </c>
    </row>
    <row r="2090" spans="1:23" ht="57.6" x14ac:dyDescent="0.3">
      <c r="A2090" s="22" t="s">
        <v>549</v>
      </c>
    </row>
    <row r="2091" spans="1:23" x14ac:dyDescent="0.3">
      <c r="A2091" s="22" t="s">
        <v>66</v>
      </c>
      <c r="B2091" t="s">
        <v>62</v>
      </c>
      <c r="C2091" t="s">
        <v>57</v>
      </c>
      <c r="D2091" t="s">
        <v>63</v>
      </c>
      <c r="E2091" t="s">
        <v>226</v>
      </c>
      <c r="F2091" t="s">
        <v>228</v>
      </c>
      <c r="G2091" t="s">
        <v>229</v>
      </c>
      <c r="H2091" t="s">
        <v>154</v>
      </c>
      <c r="I2091" t="s">
        <v>230</v>
      </c>
      <c r="J2091" t="s">
        <v>231</v>
      </c>
      <c r="K2091" t="s">
        <v>232</v>
      </c>
      <c r="L2091" t="s">
        <v>233</v>
      </c>
      <c r="M2091" t="s">
        <v>234</v>
      </c>
      <c r="N2091" t="s">
        <v>235</v>
      </c>
      <c r="O2091" t="s">
        <v>236</v>
      </c>
      <c r="P2091" t="s">
        <v>237</v>
      </c>
      <c r="Q2091" t="s">
        <v>136</v>
      </c>
      <c r="R2091" t="s">
        <v>238</v>
      </c>
      <c r="S2091" t="s">
        <v>239</v>
      </c>
      <c r="T2091" t="s">
        <v>240</v>
      </c>
      <c r="U2091" t="s">
        <v>243</v>
      </c>
      <c r="V2091" t="s">
        <v>244</v>
      </c>
      <c r="W2091" t="s">
        <v>245</v>
      </c>
    </row>
    <row r="2092" spans="1:23" x14ac:dyDescent="0.3">
      <c r="A2092" s="22" t="s">
        <v>67</v>
      </c>
      <c r="B2092">
        <v>186</v>
      </c>
      <c r="C2092" t="s">
        <v>64</v>
      </c>
      <c r="D2092">
        <v>195</v>
      </c>
      <c r="E2092" s="8">
        <v>3.2300000000000002E-2</v>
      </c>
      <c r="F2092" s="8">
        <v>0.1183</v>
      </c>
      <c r="G2092" s="8">
        <v>0.30649999999999999</v>
      </c>
      <c r="H2092" s="8">
        <v>3.2300000000000002E-2</v>
      </c>
      <c r="I2092" s="8">
        <v>2.1499999999999998E-2</v>
      </c>
      <c r="J2092" s="8">
        <v>5.4000000000000003E-3</v>
      </c>
      <c r="K2092" s="8">
        <v>5.3800000000000001E-2</v>
      </c>
      <c r="L2092" s="8">
        <v>0.34410000000000002</v>
      </c>
      <c r="M2092" s="8">
        <v>0.3871</v>
      </c>
      <c r="N2092" s="8">
        <v>1.61E-2</v>
      </c>
      <c r="O2092" s="8">
        <v>0.5161</v>
      </c>
      <c r="P2092" s="8">
        <v>1.0800000000000001E-2</v>
      </c>
      <c r="Q2092" s="8">
        <v>0.20430000000000001</v>
      </c>
      <c r="R2092" s="8">
        <v>0.1022</v>
      </c>
      <c r="S2092" s="8">
        <v>1.61E-2</v>
      </c>
      <c r="T2092" s="8">
        <v>2.69E-2</v>
      </c>
      <c r="U2092" s="8">
        <v>1.61E-2</v>
      </c>
      <c r="V2092" s="8">
        <v>0.47849999999999998</v>
      </c>
      <c r="W2092" s="8">
        <v>5.4000000000000003E-3</v>
      </c>
    </row>
    <row r="2093" spans="1:23" x14ac:dyDescent="0.3">
      <c r="A2093" s="22" t="s">
        <v>68</v>
      </c>
      <c r="B2093">
        <v>9</v>
      </c>
      <c r="C2093" t="s">
        <v>64</v>
      </c>
      <c r="D2093">
        <v>195</v>
      </c>
      <c r="F2093" s="8">
        <v>0.22220000000000001</v>
      </c>
      <c r="G2093" s="8">
        <v>0.77780000000000005</v>
      </c>
      <c r="L2093" s="8">
        <v>0.66669999999999996</v>
      </c>
      <c r="M2093" s="8">
        <v>0.44440000000000002</v>
      </c>
      <c r="O2093" s="8">
        <v>0.22220000000000001</v>
      </c>
      <c r="Q2093" s="8">
        <v>0.1111</v>
      </c>
      <c r="R2093" s="8">
        <v>0.1111</v>
      </c>
      <c r="V2093" s="8">
        <v>0.66669999999999996</v>
      </c>
    </row>
    <row r="2095" spans="1:23" x14ac:dyDescent="0.3">
      <c r="A2095"/>
    </row>
    <row r="2096" spans="1:23" x14ac:dyDescent="0.3">
      <c r="A2096"/>
    </row>
    <row r="2097" spans="1:23" x14ac:dyDescent="0.3">
      <c r="A2097"/>
    </row>
    <row r="2099" spans="1:23" ht="57.6" x14ac:dyDescent="0.3">
      <c r="A2099" s="22" t="s">
        <v>550</v>
      </c>
    </row>
    <row r="2100" spans="1:23" x14ac:dyDescent="0.3">
      <c r="A2100" s="22" t="s">
        <v>66</v>
      </c>
      <c r="B2100" t="s">
        <v>62</v>
      </c>
      <c r="C2100" t="s">
        <v>57</v>
      </c>
      <c r="D2100" t="s">
        <v>63</v>
      </c>
      <c r="E2100" t="s">
        <v>226</v>
      </c>
      <c r="F2100" t="s">
        <v>228</v>
      </c>
      <c r="G2100" t="s">
        <v>229</v>
      </c>
      <c r="H2100" t="s">
        <v>154</v>
      </c>
      <c r="I2100" t="s">
        <v>230</v>
      </c>
      <c r="J2100" t="s">
        <v>231</v>
      </c>
      <c r="K2100" t="s">
        <v>232</v>
      </c>
      <c r="L2100" t="s">
        <v>233</v>
      </c>
      <c r="M2100" t="s">
        <v>234</v>
      </c>
      <c r="N2100" t="s">
        <v>235</v>
      </c>
      <c r="O2100" t="s">
        <v>236</v>
      </c>
      <c r="P2100" t="s">
        <v>237</v>
      </c>
      <c r="Q2100" t="s">
        <v>136</v>
      </c>
      <c r="R2100" t="s">
        <v>238</v>
      </c>
      <c r="S2100" t="s">
        <v>239</v>
      </c>
      <c r="T2100" t="s">
        <v>240</v>
      </c>
      <c r="U2100" t="s">
        <v>243</v>
      </c>
      <c r="V2100" t="s">
        <v>244</v>
      </c>
      <c r="W2100" t="s">
        <v>245</v>
      </c>
    </row>
    <row r="2101" spans="1:23" x14ac:dyDescent="0.3">
      <c r="A2101" s="22" t="s">
        <v>67</v>
      </c>
      <c r="B2101">
        <v>186</v>
      </c>
      <c r="C2101" t="s">
        <v>64</v>
      </c>
      <c r="D2101">
        <v>195</v>
      </c>
      <c r="E2101" s="8">
        <v>3.2300000000000002E-2</v>
      </c>
      <c r="F2101" s="8">
        <v>0.129</v>
      </c>
      <c r="G2101" s="8">
        <v>0.33329999999999999</v>
      </c>
      <c r="H2101" s="8">
        <v>3.2300000000000002E-2</v>
      </c>
      <c r="I2101" s="8">
        <v>2.1499999999999998E-2</v>
      </c>
      <c r="J2101" s="8">
        <v>5.4000000000000003E-3</v>
      </c>
      <c r="K2101" s="8">
        <v>4.2999999999999997E-2</v>
      </c>
      <c r="L2101" s="8">
        <v>0.36559999999999998</v>
      </c>
      <c r="M2101" s="8">
        <v>0.3871</v>
      </c>
      <c r="N2101" s="8">
        <v>1.61E-2</v>
      </c>
      <c r="O2101" s="8">
        <v>0.5161</v>
      </c>
      <c r="P2101" s="8">
        <v>1.0800000000000001E-2</v>
      </c>
      <c r="Q2101" s="8">
        <v>0.19889999999999999</v>
      </c>
      <c r="R2101" s="8">
        <v>9.1399999999999995E-2</v>
      </c>
      <c r="S2101" s="8">
        <v>1.61E-2</v>
      </c>
      <c r="T2101" s="8">
        <v>2.69E-2</v>
      </c>
      <c r="U2101" s="8">
        <v>5.4000000000000003E-3</v>
      </c>
      <c r="V2101" s="8">
        <v>0.4839</v>
      </c>
      <c r="W2101" s="8">
        <v>5.4000000000000003E-3</v>
      </c>
    </row>
    <row r="2102" spans="1:23" x14ac:dyDescent="0.3">
      <c r="A2102" s="22" t="s">
        <v>68</v>
      </c>
      <c r="B2102">
        <v>9</v>
      </c>
      <c r="C2102" t="s">
        <v>64</v>
      </c>
      <c r="D2102">
        <v>195</v>
      </c>
      <c r="G2102" s="8">
        <v>0.22220000000000001</v>
      </c>
      <c r="K2102" s="8">
        <v>0.22220000000000001</v>
      </c>
      <c r="L2102" s="8">
        <v>0.22220000000000001</v>
      </c>
      <c r="M2102" s="8">
        <v>0.44440000000000002</v>
      </c>
      <c r="O2102" s="8">
        <v>0.22220000000000001</v>
      </c>
      <c r="Q2102" s="8">
        <v>0.22220000000000001</v>
      </c>
      <c r="R2102" s="8">
        <v>0.33329999999999999</v>
      </c>
      <c r="U2102" s="8">
        <v>0.22220000000000001</v>
      </c>
      <c r="V2102" s="8">
        <v>0.55559999999999998</v>
      </c>
    </row>
    <row r="2104" spans="1:23" ht="57.6" x14ac:dyDescent="0.3">
      <c r="A2104" s="22" t="s">
        <v>551</v>
      </c>
    </row>
    <row r="2105" spans="1:23" x14ac:dyDescent="0.3">
      <c r="A2105" s="22" t="s">
        <v>66</v>
      </c>
      <c r="B2105" t="s">
        <v>62</v>
      </c>
      <c r="C2105" t="s">
        <v>57</v>
      </c>
      <c r="D2105" t="s">
        <v>63</v>
      </c>
      <c r="E2105" t="s">
        <v>226</v>
      </c>
      <c r="F2105" t="s">
        <v>228</v>
      </c>
      <c r="G2105" t="s">
        <v>229</v>
      </c>
      <c r="H2105" t="s">
        <v>154</v>
      </c>
      <c r="I2105" t="s">
        <v>230</v>
      </c>
      <c r="J2105" t="s">
        <v>231</v>
      </c>
      <c r="K2105" t="s">
        <v>232</v>
      </c>
      <c r="L2105" t="s">
        <v>233</v>
      </c>
      <c r="M2105" t="s">
        <v>234</v>
      </c>
      <c r="N2105" t="s">
        <v>235</v>
      </c>
      <c r="O2105" t="s">
        <v>236</v>
      </c>
      <c r="P2105" t="s">
        <v>237</v>
      </c>
      <c r="Q2105" t="s">
        <v>136</v>
      </c>
      <c r="R2105" t="s">
        <v>238</v>
      </c>
      <c r="S2105" t="s">
        <v>239</v>
      </c>
      <c r="T2105" t="s">
        <v>240</v>
      </c>
      <c r="U2105" t="s">
        <v>243</v>
      </c>
      <c r="V2105" t="s">
        <v>244</v>
      </c>
      <c r="W2105" t="s">
        <v>245</v>
      </c>
    </row>
    <row r="2106" spans="1:23" x14ac:dyDescent="0.3">
      <c r="A2106" s="22" t="s">
        <v>67</v>
      </c>
      <c r="B2106">
        <v>194</v>
      </c>
      <c r="C2106" t="s">
        <v>64</v>
      </c>
      <c r="D2106">
        <v>195</v>
      </c>
      <c r="E2106" s="8">
        <v>3.09E-2</v>
      </c>
      <c r="F2106" s="8">
        <v>0.1237</v>
      </c>
      <c r="G2106" s="8">
        <v>0.32990000000000003</v>
      </c>
      <c r="H2106" s="8">
        <v>3.09E-2</v>
      </c>
      <c r="I2106" s="8">
        <v>2.06E-2</v>
      </c>
      <c r="J2106" s="8">
        <v>5.1999999999999998E-3</v>
      </c>
      <c r="K2106" s="8">
        <v>5.1499999999999997E-2</v>
      </c>
      <c r="L2106" s="8">
        <v>0.35570000000000002</v>
      </c>
      <c r="M2106" s="8">
        <v>0.39179999999999998</v>
      </c>
      <c r="N2106" s="8">
        <v>1.55E-2</v>
      </c>
      <c r="O2106" s="8">
        <v>0.5</v>
      </c>
      <c r="P2106" s="8">
        <v>1.03E-2</v>
      </c>
      <c r="Q2106" s="8">
        <v>0.20100000000000001</v>
      </c>
      <c r="R2106" s="8">
        <v>0.1031</v>
      </c>
      <c r="S2106" s="8">
        <v>1.55E-2</v>
      </c>
      <c r="T2106" s="8">
        <v>2.58E-2</v>
      </c>
      <c r="U2106" s="8">
        <v>1.55E-2</v>
      </c>
      <c r="V2106" s="8">
        <v>0.48449999999999999</v>
      </c>
      <c r="W2106" s="8">
        <v>5.1999999999999998E-3</v>
      </c>
    </row>
    <row r="2107" spans="1:23" x14ac:dyDescent="0.3">
      <c r="A2107" s="22" t="s">
        <v>68</v>
      </c>
      <c r="B2107">
        <v>1</v>
      </c>
      <c r="C2107" t="s">
        <v>64</v>
      </c>
      <c r="D2107">
        <v>195</v>
      </c>
      <c r="L2107" s="8">
        <v>1</v>
      </c>
      <c r="O2107" s="8">
        <v>1</v>
      </c>
      <c r="V2107" s="8">
        <v>1</v>
      </c>
    </row>
    <row r="2109" spans="1:23" ht="57.6" x14ac:dyDescent="0.3">
      <c r="A2109" s="22" t="s">
        <v>552</v>
      </c>
    </row>
    <row r="2110" spans="1:23" x14ac:dyDescent="0.3">
      <c r="A2110" s="22" t="s">
        <v>66</v>
      </c>
      <c r="B2110" t="s">
        <v>62</v>
      </c>
      <c r="C2110" t="s">
        <v>57</v>
      </c>
      <c r="D2110" t="s">
        <v>63</v>
      </c>
      <c r="E2110" t="s">
        <v>226</v>
      </c>
      <c r="F2110" t="s">
        <v>228</v>
      </c>
      <c r="G2110" t="s">
        <v>229</v>
      </c>
      <c r="H2110" t="s">
        <v>154</v>
      </c>
      <c r="I2110" t="s">
        <v>230</v>
      </c>
      <c r="J2110" t="s">
        <v>231</v>
      </c>
      <c r="K2110" t="s">
        <v>232</v>
      </c>
      <c r="L2110" t="s">
        <v>233</v>
      </c>
      <c r="M2110" t="s">
        <v>234</v>
      </c>
      <c r="N2110" t="s">
        <v>235</v>
      </c>
      <c r="O2110" t="s">
        <v>236</v>
      </c>
      <c r="P2110" t="s">
        <v>237</v>
      </c>
      <c r="Q2110" t="s">
        <v>136</v>
      </c>
      <c r="R2110" t="s">
        <v>238</v>
      </c>
      <c r="S2110" t="s">
        <v>239</v>
      </c>
      <c r="T2110" t="s">
        <v>240</v>
      </c>
      <c r="U2110" t="s">
        <v>243</v>
      </c>
      <c r="V2110" t="s">
        <v>244</v>
      </c>
      <c r="W2110" t="s">
        <v>245</v>
      </c>
    </row>
    <row r="2111" spans="1:23" x14ac:dyDescent="0.3">
      <c r="A2111" s="22" t="s">
        <v>67</v>
      </c>
      <c r="B2111">
        <v>182</v>
      </c>
      <c r="C2111" t="s">
        <v>64</v>
      </c>
      <c r="D2111">
        <v>195</v>
      </c>
      <c r="E2111" s="8">
        <v>2.75E-2</v>
      </c>
      <c r="F2111" s="8">
        <v>0.1099</v>
      </c>
      <c r="G2111" s="8">
        <v>0.31869999999999998</v>
      </c>
      <c r="H2111" s="8">
        <v>3.3000000000000002E-2</v>
      </c>
      <c r="I2111" s="8">
        <v>2.1999999999999999E-2</v>
      </c>
      <c r="J2111" s="8">
        <v>5.4999999999999997E-3</v>
      </c>
      <c r="K2111" s="8">
        <v>5.4899999999999997E-2</v>
      </c>
      <c r="L2111" s="8">
        <v>0.35160000000000002</v>
      </c>
      <c r="M2111" s="8">
        <v>0.39560000000000001</v>
      </c>
      <c r="N2111" s="8">
        <v>1.0999999999999999E-2</v>
      </c>
      <c r="O2111" s="8">
        <v>0.48349999999999999</v>
      </c>
      <c r="P2111" s="8">
        <v>1.0999999999999999E-2</v>
      </c>
      <c r="Q2111" s="8">
        <v>0.20330000000000001</v>
      </c>
      <c r="R2111" s="8">
        <v>9.8900000000000002E-2</v>
      </c>
      <c r="S2111" s="8">
        <v>1.6500000000000001E-2</v>
      </c>
      <c r="T2111" s="8">
        <v>2.75E-2</v>
      </c>
      <c r="U2111" s="8">
        <v>1.6500000000000001E-2</v>
      </c>
      <c r="V2111" s="8">
        <v>0.48349999999999999</v>
      </c>
    </row>
    <row r="2112" spans="1:23" x14ac:dyDescent="0.3">
      <c r="A2112" s="22" t="s">
        <v>68</v>
      </c>
      <c r="B2112">
        <v>13</v>
      </c>
      <c r="C2112" t="s">
        <v>64</v>
      </c>
      <c r="D2112">
        <v>195</v>
      </c>
      <c r="E2112" s="8">
        <v>7.6899999999999996E-2</v>
      </c>
      <c r="F2112" s="8">
        <v>0.30769999999999997</v>
      </c>
      <c r="G2112" s="8">
        <v>0.46150000000000002</v>
      </c>
      <c r="L2112" s="8">
        <v>0.46150000000000002</v>
      </c>
      <c r="M2112" s="8">
        <v>0.30769999999999997</v>
      </c>
      <c r="N2112" s="8">
        <v>7.6899999999999996E-2</v>
      </c>
      <c r="O2112" s="8">
        <v>0.76919999999999999</v>
      </c>
      <c r="Q2112" s="8">
        <v>0.15379999999999999</v>
      </c>
      <c r="R2112" s="8">
        <v>0.15379999999999999</v>
      </c>
      <c r="V2112" s="8">
        <v>0.53849999999999998</v>
      </c>
      <c r="W2112" s="8">
        <v>7.6899999999999996E-2</v>
      </c>
    </row>
    <row r="2114" spans="1:23" ht="57.6" x14ac:dyDescent="0.3">
      <c r="A2114" s="22" t="s">
        <v>553</v>
      </c>
    </row>
    <row r="2115" spans="1:23" x14ac:dyDescent="0.3">
      <c r="A2115" s="22" t="s">
        <v>66</v>
      </c>
      <c r="B2115" t="s">
        <v>62</v>
      </c>
      <c r="C2115" t="s">
        <v>57</v>
      </c>
      <c r="D2115" t="s">
        <v>63</v>
      </c>
      <c r="E2115" t="s">
        <v>226</v>
      </c>
      <c r="F2115" t="s">
        <v>228</v>
      </c>
      <c r="G2115" t="s">
        <v>229</v>
      </c>
      <c r="H2115" t="s">
        <v>154</v>
      </c>
      <c r="I2115" t="s">
        <v>230</v>
      </c>
      <c r="J2115" t="s">
        <v>231</v>
      </c>
      <c r="K2115" t="s">
        <v>232</v>
      </c>
      <c r="L2115" t="s">
        <v>233</v>
      </c>
      <c r="M2115" t="s">
        <v>234</v>
      </c>
      <c r="N2115" t="s">
        <v>235</v>
      </c>
      <c r="O2115" t="s">
        <v>236</v>
      </c>
      <c r="P2115" t="s">
        <v>237</v>
      </c>
      <c r="Q2115" t="s">
        <v>136</v>
      </c>
      <c r="R2115" t="s">
        <v>238</v>
      </c>
      <c r="S2115" t="s">
        <v>239</v>
      </c>
      <c r="T2115" t="s">
        <v>240</v>
      </c>
      <c r="U2115" t="s">
        <v>243</v>
      </c>
      <c r="V2115" t="s">
        <v>244</v>
      </c>
      <c r="W2115" t="s">
        <v>245</v>
      </c>
    </row>
    <row r="2116" spans="1:23" x14ac:dyDescent="0.3">
      <c r="A2116" s="22" t="s">
        <v>67</v>
      </c>
      <c r="B2116">
        <v>5</v>
      </c>
      <c r="C2116" t="s">
        <v>64</v>
      </c>
      <c r="D2116">
        <v>195</v>
      </c>
      <c r="G2116" s="8">
        <v>0.8</v>
      </c>
      <c r="H2116" s="8">
        <v>0.2</v>
      </c>
      <c r="L2116" s="8">
        <v>0.6</v>
      </c>
      <c r="M2116" s="8">
        <v>0.6</v>
      </c>
      <c r="O2116" s="8">
        <v>0.2</v>
      </c>
      <c r="R2116" s="8">
        <v>0.2</v>
      </c>
      <c r="V2116" s="8">
        <v>0.6</v>
      </c>
    </row>
    <row r="2117" spans="1:23" x14ac:dyDescent="0.3">
      <c r="A2117" s="22" t="s">
        <v>68</v>
      </c>
      <c r="B2117">
        <v>190</v>
      </c>
      <c r="C2117" t="s">
        <v>64</v>
      </c>
      <c r="D2117">
        <v>195</v>
      </c>
      <c r="E2117" s="8">
        <v>3.1600000000000003E-2</v>
      </c>
      <c r="F2117" s="8">
        <v>0.1263</v>
      </c>
      <c r="G2117" s="8">
        <v>0.31580000000000003</v>
      </c>
      <c r="H2117" s="8">
        <v>2.63E-2</v>
      </c>
      <c r="I2117" s="8">
        <v>2.1100000000000001E-2</v>
      </c>
      <c r="J2117" s="8">
        <v>5.3E-3</v>
      </c>
      <c r="K2117" s="8">
        <v>5.2600000000000001E-2</v>
      </c>
      <c r="L2117" s="8">
        <v>0.35260000000000002</v>
      </c>
      <c r="M2117" s="8">
        <v>0.38419999999999999</v>
      </c>
      <c r="N2117" s="8">
        <v>1.5800000000000002E-2</v>
      </c>
      <c r="O2117" s="8">
        <v>0.51049999999999995</v>
      </c>
      <c r="P2117" s="8">
        <v>1.0500000000000001E-2</v>
      </c>
      <c r="Q2117" s="8">
        <v>0.20530000000000001</v>
      </c>
      <c r="R2117" s="8">
        <v>0.1</v>
      </c>
      <c r="S2117" s="8">
        <v>1.5800000000000002E-2</v>
      </c>
      <c r="T2117" s="8">
        <v>2.63E-2</v>
      </c>
      <c r="U2117" s="8">
        <v>1.5800000000000002E-2</v>
      </c>
      <c r="V2117" s="8">
        <v>0.48420000000000002</v>
      </c>
      <c r="W2117" s="8">
        <v>5.3E-3</v>
      </c>
    </row>
    <row r="2119" spans="1:23" ht="57.6" x14ac:dyDescent="0.3">
      <c r="A2119" s="22" t="s">
        <v>554</v>
      </c>
    </row>
    <row r="2120" spans="1:23" x14ac:dyDescent="0.3">
      <c r="A2120" s="22" t="s">
        <v>66</v>
      </c>
      <c r="B2120" t="s">
        <v>62</v>
      </c>
      <c r="C2120" t="s">
        <v>57</v>
      </c>
      <c r="D2120" t="s">
        <v>63</v>
      </c>
      <c r="E2120" t="s">
        <v>226</v>
      </c>
      <c r="F2120" t="s">
        <v>228</v>
      </c>
      <c r="G2120" t="s">
        <v>229</v>
      </c>
      <c r="H2120" t="s">
        <v>154</v>
      </c>
      <c r="I2120" t="s">
        <v>230</v>
      </c>
      <c r="J2120" t="s">
        <v>231</v>
      </c>
      <c r="K2120" t="s">
        <v>232</v>
      </c>
      <c r="L2120" t="s">
        <v>233</v>
      </c>
      <c r="M2120" t="s">
        <v>234</v>
      </c>
      <c r="N2120" t="s">
        <v>235</v>
      </c>
      <c r="O2120" t="s">
        <v>236</v>
      </c>
      <c r="P2120" t="s">
        <v>237</v>
      </c>
      <c r="Q2120" t="s">
        <v>136</v>
      </c>
      <c r="R2120" t="s">
        <v>238</v>
      </c>
      <c r="S2120" t="s">
        <v>239</v>
      </c>
      <c r="T2120" t="s">
        <v>240</v>
      </c>
      <c r="U2120" t="s">
        <v>243</v>
      </c>
      <c r="V2120" t="s">
        <v>244</v>
      </c>
      <c r="W2120" t="s">
        <v>245</v>
      </c>
    </row>
    <row r="2121" spans="1:23" x14ac:dyDescent="0.3">
      <c r="A2121" s="22" t="s">
        <v>67</v>
      </c>
      <c r="B2121">
        <v>155</v>
      </c>
      <c r="C2121" t="s">
        <v>64</v>
      </c>
      <c r="D2121">
        <v>195</v>
      </c>
      <c r="E2121" s="8">
        <v>3.2300000000000002E-2</v>
      </c>
      <c r="F2121" s="8">
        <v>0.1032</v>
      </c>
      <c r="G2121" s="8">
        <v>0.37419999999999998</v>
      </c>
      <c r="H2121" s="8">
        <v>2.58E-2</v>
      </c>
      <c r="I2121" s="8">
        <v>2.58E-2</v>
      </c>
      <c r="J2121" s="8">
        <v>6.4999999999999997E-3</v>
      </c>
      <c r="K2121" s="8">
        <v>5.8099999999999999E-2</v>
      </c>
      <c r="L2121" s="8">
        <v>0.36770000000000003</v>
      </c>
      <c r="M2121" s="8">
        <v>0.4</v>
      </c>
      <c r="N2121" s="8">
        <v>1.9400000000000001E-2</v>
      </c>
      <c r="O2121" s="8">
        <v>0.49030000000000001</v>
      </c>
      <c r="P2121" s="8">
        <v>1.29E-2</v>
      </c>
      <c r="Q2121" s="8">
        <v>0.19350000000000001</v>
      </c>
      <c r="R2121" s="8">
        <v>0.129</v>
      </c>
      <c r="S2121" s="8">
        <v>1.9400000000000001E-2</v>
      </c>
      <c r="T2121" s="8">
        <v>3.2300000000000002E-2</v>
      </c>
      <c r="U2121" s="8">
        <v>1.9400000000000001E-2</v>
      </c>
      <c r="V2121" s="8">
        <v>0.52900000000000003</v>
      </c>
    </row>
    <row r="2122" spans="1:23" x14ac:dyDescent="0.3">
      <c r="A2122" s="22" t="s">
        <v>68</v>
      </c>
      <c r="B2122">
        <v>40</v>
      </c>
      <c r="C2122" t="s">
        <v>64</v>
      </c>
      <c r="D2122">
        <v>195</v>
      </c>
      <c r="E2122" s="8">
        <v>2.5000000000000001E-2</v>
      </c>
      <c r="F2122" s="8">
        <v>0.2</v>
      </c>
      <c r="G2122" s="8">
        <v>0.15</v>
      </c>
      <c r="H2122" s="8">
        <v>0.05</v>
      </c>
      <c r="K2122" s="8">
        <v>2.5000000000000001E-2</v>
      </c>
      <c r="L2122" s="8">
        <v>0.32500000000000001</v>
      </c>
      <c r="M2122" s="8">
        <v>0.35</v>
      </c>
      <c r="O2122" s="8">
        <v>0.55000000000000004</v>
      </c>
      <c r="Q2122" s="8">
        <v>0.22500000000000001</v>
      </c>
      <c r="V2122" s="8">
        <v>0.32500000000000001</v>
      </c>
      <c r="W2122" s="8">
        <v>2.5000000000000001E-2</v>
      </c>
    </row>
    <row r="2124" spans="1:23" ht="57.6" x14ac:dyDescent="0.3">
      <c r="A2124" s="22" t="s">
        <v>555</v>
      </c>
    </row>
    <row r="2125" spans="1:23" x14ac:dyDescent="0.3">
      <c r="A2125" s="22" t="s">
        <v>66</v>
      </c>
      <c r="B2125" t="s">
        <v>62</v>
      </c>
      <c r="C2125" t="s">
        <v>57</v>
      </c>
      <c r="D2125" t="s">
        <v>63</v>
      </c>
      <c r="E2125" t="s">
        <v>226</v>
      </c>
      <c r="F2125" t="s">
        <v>228</v>
      </c>
      <c r="G2125" t="s">
        <v>229</v>
      </c>
      <c r="H2125" t="s">
        <v>154</v>
      </c>
      <c r="I2125" t="s">
        <v>230</v>
      </c>
      <c r="J2125" t="s">
        <v>231</v>
      </c>
      <c r="K2125" t="s">
        <v>232</v>
      </c>
      <c r="L2125" t="s">
        <v>233</v>
      </c>
      <c r="M2125" t="s">
        <v>234</v>
      </c>
      <c r="N2125" t="s">
        <v>235</v>
      </c>
      <c r="O2125" t="s">
        <v>236</v>
      </c>
      <c r="P2125" t="s">
        <v>237</v>
      </c>
      <c r="Q2125" t="s">
        <v>136</v>
      </c>
      <c r="R2125" t="s">
        <v>238</v>
      </c>
      <c r="S2125" t="s">
        <v>239</v>
      </c>
      <c r="T2125" t="s">
        <v>240</v>
      </c>
      <c r="U2125" t="s">
        <v>243</v>
      </c>
      <c r="V2125" t="s">
        <v>244</v>
      </c>
      <c r="W2125" t="s">
        <v>245</v>
      </c>
    </row>
    <row r="2126" spans="1:23" x14ac:dyDescent="0.3">
      <c r="A2126" s="22" t="s">
        <v>67</v>
      </c>
      <c r="B2126">
        <v>152</v>
      </c>
      <c r="C2126" t="s">
        <v>64</v>
      </c>
      <c r="D2126">
        <v>195</v>
      </c>
      <c r="E2126" s="8">
        <v>3.2899999999999999E-2</v>
      </c>
      <c r="F2126" s="8">
        <v>0.11840000000000001</v>
      </c>
      <c r="G2126" s="8">
        <v>0.29609999999999997</v>
      </c>
      <c r="H2126" s="8">
        <v>3.2899999999999999E-2</v>
      </c>
      <c r="I2126" s="8">
        <v>1.9699999999999999E-2</v>
      </c>
      <c r="J2126" s="8">
        <v>6.6E-3</v>
      </c>
      <c r="K2126" s="8">
        <v>3.95E-2</v>
      </c>
      <c r="L2126" s="8">
        <v>0.34210000000000002</v>
      </c>
      <c r="M2126" s="8">
        <v>0.38819999999999999</v>
      </c>
      <c r="N2126" s="8">
        <v>1.9699999999999999E-2</v>
      </c>
      <c r="O2126" s="8">
        <v>0.49340000000000001</v>
      </c>
      <c r="P2126" s="8">
        <v>1.32E-2</v>
      </c>
      <c r="Q2126" s="8">
        <v>0.1908</v>
      </c>
      <c r="R2126" s="8">
        <v>0.11840000000000001</v>
      </c>
      <c r="S2126" s="8">
        <v>1.9699999999999999E-2</v>
      </c>
      <c r="T2126" s="8">
        <v>2.63E-2</v>
      </c>
      <c r="U2126" s="8">
        <v>1.9699999999999999E-2</v>
      </c>
      <c r="V2126" s="8">
        <v>0.5</v>
      </c>
      <c r="W2126" s="8">
        <v>6.6E-3</v>
      </c>
    </row>
    <row r="2127" spans="1:23" x14ac:dyDescent="0.3">
      <c r="A2127" s="22" t="s">
        <v>68</v>
      </c>
      <c r="B2127">
        <v>43</v>
      </c>
      <c r="C2127" t="s">
        <v>64</v>
      </c>
      <c r="D2127">
        <v>195</v>
      </c>
      <c r="E2127" s="8">
        <v>2.3300000000000001E-2</v>
      </c>
      <c r="F2127" s="8">
        <v>0.13950000000000001</v>
      </c>
      <c r="G2127" s="8">
        <v>0.44190000000000002</v>
      </c>
      <c r="H2127" s="8">
        <v>2.3300000000000001E-2</v>
      </c>
      <c r="I2127" s="8">
        <v>2.3300000000000001E-2</v>
      </c>
      <c r="K2127" s="8">
        <v>9.2999999999999999E-2</v>
      </c>
      <c r="L2127" s="8">
        <v>0.41860000000000003</v>
      </c>
      <c r="M2127" s="8">
        <v>0.39529999999999998</v>
      </c>
      <c r="O2127" s="8">
        <v>0.53490000000000004</v>
      </c>
      <c r="Q2127" s="8">
        <v>0.2326</v>
      </c>
      <c r="R2127" s="8">
        <v>4.65E-2</v>
      </c>
      <c r="T2127" s="8">
        <v>2.3300000000000001E-2</v>
      </c>
      <c r="V2127" s="8">
        <v>0.44190000000000002</v>
      </c>
    </row>
    <row r="2129" spans="1:23" ht="57.6" x14ac:dyDescent="0.3">
      <c r="A2129" s="22" t="s">
        <v>556</v>
      </c>
    </row>
    <row r="2130" spans="1:23" x14ac:dyDescent="0.3">
      <c r="A2130" s="22" t="s">
        <v>66</v>
      </c>
      <c r="B2130" t="s">
        <v>62</v>
      </c>
      <c r="C2130" t="s">
        <v>57</v>
      </c>
      <c r="D2130" t="s">
        <v>63</v>
      </c>
      <c r="E2130" t="s">
        <v>226</v>
      </c>
      <c r="F2130" t="s">
        <v>228</v>
      </c>
      <c r="G2130" t="s">
        <v>229</v>
      </c>
      <c r="H2130" t="s">
        <v>154</v>
      </c>
      <c r="I2130" t="s">
        <v>230</v>
      </c>
      <c r="J2130" t="s">
        <v>231</v>
      </c>
      <c r="K2130" t="s">
        <v>232</v>
      </c>
      <c r="L2130" t="s">
        <v>233</v>
      </c>
      <c r="M2130" t="s">
        <v>234</v>
      </c>
      <c r="N2130" t="s">
        <v>235</v>
      </c>
      <c r="O2130" t="s">
        <v>236</v>
      </c>
      <c r="P2130" t="s">
        <v>237</v>
      </c>
      <c r="Q2130" t="s">
        <v>136</v>
      </c>
      <c r="R2130" t="s">
        <v>238</v>
      </c>
      <c r="S2130" t="s">
        <v>239</v>
      </c>
      <c r="T2130" t="s">
        <v>240</v>
      </c>
      <c r="U2130" t="s">
        <v>243</v>
      </c>
      <c r="V2130" t="s">
        <v>244</v>
      </c>
      <c r="W2130" t="s">
        <v>245</v>
      </c>
    </row>
    <row r="2131" spans="1:23" x14ac:dyDescent="0.3">
      <c r="A2131" s="22" t="s">
        <v>67</v>
      </c>
      <c r="B2131">
        <v>147</v>
      </c>
      <c r="C2131" t="s">
        <v>64</v>
      </c>
      <c r="D2131">
        <v>195</v>
      </c>
      <c r="E2131" s="8">
        <v>2.0400000000000001E-2</v>
      </c>
      <c r="F2131" s="8">
        <v>0.11559999999999999</v>
      </c>
      <c r="G2131" s="8">
        <v>0.27889999999999998</v>
      </c>
      <c r="H2131" s="8">
        <v>2.0400000000000001E-2</v>
      </c>
      <c r="I2131" s="8">
        <v>1.3599999999999999E-2</v>
      </c>
      <c r="J2131" s="8">
        <v>6.7999999999999996E-3</v>
      </c>
      <c r="K2131" s="8">
        <v>4.0800000000000003E-2</v>
      </c>
      <c r="L2131" s="8">
        <v>0.34010000000000001</v>
      </c>
      <c r="M2131" s="8">
        <v>0.40139999999999998</v>
      </c>
      <c r="N2131" s="8">
        <v>1.3599999999999999E-2</v>
      </c>
      <c r="O2131" s="8">
        <v>0.48299999999999998</v>
      </c>
      <c r="P2131" s="8">
        <v>1.3599999999999999E-2</v>
      </c>
      <c r="Q2131" s="8">
        <v>0.2109</v>
      </c>
      <c r="R2131" s="8">
        <v>0.1293</v>
      </c>
      <c r="S2131" s="8">
        <v>6.7999999999999996E-3</v>
      </c>
      <c r="T2131" s="8">
        <v>2.7199999999999998E-2</v>
      </c>
      <c r="U2131" s="8">
        <v>1.3599999999999999E-2</v>
      </c>
      <c r="V2131" s="8">
        <v>0.46939999999999998</v>
      </c>
      <c r="W2131" s="8">
        <v>6.7999999999999996E-3</v>
      </c>
    </row>
    <row r="2132" spans="1:23" x14ac:dyDescent="0.3">
      <c r="A2132" s="22" t="s">
        <v>68</v>
      </c>
      <c r="B2132">
        <v>48</v>
      </c>
      <c r="C2132" t="s">
        <v>64</v>
      </c>
      <c r="D2132">
        <v>195</v>
      </c>
      <c r="E2132" s="8">
        <v>6.25E-2</v>
      </c>
      <c r="F2132" s="8">
        <v>0.14580000000000001</v>
      </c>
      <c r="G2132" s="8">
        <v>0.47920000000000001</v>
      </c>
      <c r="H2132" s="8">
        <v>6.25E-2</v>
      </c>
      <c r="I2132" s="8">
        <v>4.1700000000000001E-2</v>
      </c>
      <c r="K2132" s="8">
        <v>8.3299999999999999E-2</v>
      </c>
      <c r="L2132" s="8">
        <v>0.41670000000000001</v>
      </c>
      <c r="M2132" s="8">
        <v>0.35420000000000001</v>
      </c>
      <c r="N2132" s="8">
        <v>2.0799999999999999E-2</v>
      </c>
      <c r="O2132" s="8">
        <v>0.5625</v>
      </c>
      <c r="Q2132" s="8">
        <v>0.16669999999999999</v>
      </c>
      <c r="R2132" s="8">
        <v>2.0799999999999999E-2</v>
      </c>
      <c r="S2132" s="8">
        <v>4.1700000000000001E-2</v>
      </c>
      <c r="T2132" s="8">
        <v>2.0799999999999999E-2</v>
      </c>
      <c r="U2132" s="8">
        <v>2.0799999999999999E-2</v>
      </c>
      <c r="V2132" s="8">
        <v>0.54169999999999996</v>
      </c>
    </row>
    <row r="2134" spans="1:23" ht="72" x14ac:dyDescent="0.3">
      <c r="A2134" s="22" t="s">
        <v>557</v>
      </c>
    </row>
    <row r="2135" spans="1:23" x14ac:dyDescent="0.3">
      <c r="A2135" s="22" t="s">
        <v>66</v>
      </c>
      <c r="B2135" t="s">
        <v>62</v>
      </c>
      <c r="C2135" t="s">
        <v>57</v>
      </c>
      <c r="D2135" t="s">
        <v>63</v>
      </c>
      <c r="E2135" t="s">
        <v>226</v>
      </c>
      <c r="F2135" t="s">
        <v>228</v>
      </c>
      <c r="G2135" t="s">
        <v>229</v>
      </c>
      <c r="H2135" t="s">
        <v>154</v>
      </c>
      <c r="I2135" t="s">
        <v>230</v>
      </c>
      <c r="J2135" t="s">
        <v>231</v>
      </c>
      <c r="K2135" t="s">
        <v>232</v>
      </c>
      <c r="L2135" t="s">
        <v>233</v>
      </c>
      <c r="M2135" t="s">
        <v>234</v>
      </c>
      <c r="N2135" t="s">
        <v>235</v>
      </c>
      <c r="O2135" t="s">
        <v>236</v>
      </c>
      <c r="P2135" t="s">
        <v>237</v>
      </c>
      <c r="Q2135" t="s">
        <v>136</v>
      </c>
      <c r="R2135" t="s">
        <v>238</v>
      </c>
      <c r="S2135" t="s">
        <v>239</v>
      </c>
      <c r="T2135" t="s">
        <v>240</v>
      </c>
      <c r="U2135" t="s">
        <v>243</v>
      </c>
      <c r="V2135" t="s">
        <v>244</v>
      </c>
      <c r="W2135" t="s">
        <v>245</v>
      </c>
    </row>
    <row r="2136" spans="1:23" x14ac:dyDescent="0.3">
      <c r="A2136" s="22" t="s">
        <v>67</v>
      </c>
      <c r="B2136">
        <v>182</v>
      </c>
      <c r="C2136" t="s">
        <v>64</v>
      </c>
      <c r="D2136">
        <v>195</v>
      </c>
      <c r="E2136" s="8">
        <v>3.3000000000000002E-2</v>
      </c>
      <c r="F2136" s="8">
        <v>0.13189999999999999</v>
      </c>
      <c r="G2136" s="8">
        <v>0.31319999999999998</v>
      </c>
      <c r="H2136" s="8">
        <v>3.3000000000000002E-2</v>
      </c>
      <c r="I2136" s="8">
        <v>2.1999999999999999E-2</v>
      </c>
      <c r="J2136" s="8">
        <v>5.4999999999999997E-3</v>
      </c>
      <c r="K2136" s="8">
        <v>5.4899999999999997E-2</v>
      </c>
      <c r="L2136" s="8">
        <v>0.34620000000000001</v>
      </c>
      <c r="M2136" s="8">
        <v>0.3901</v>
      </c>
      <c r="N2136" s="8">
        <v>1.0999999999999999E-2</v>
      </c>
      <c r="O2136" s="8">
        <v>0.4945</v>
      </c>
      <c r="P2136" s="8">
        <v>1.0999999999999999E-2</v>
      </c>
      <c r="Q2136" s="8">
        <v>0.1978</v>
      </c>
      <c r="R2136" s="8">
        <v>9.3399999999999997E-2</v>
      </c>
      <c r="S2136" s="8">
        <v>1.6500000000000001E-2</v>
      </c>
      <c r="T2136" s="8">
        <v>1.0999999999999999E-2</v>
      </c>
      <c r="U2136" s="8">
        <v>1.6500000000000001E-2</v>
      </c>
      <c r="V2136" s="8">
        <v>0.47799999999999998</v>
      </c>
      <c r="W2136" s="8">
        <v>5.4999999999999997E-3</v>
      </c>
    </row>
    <row r="2137" spans="1:23" x14ac:dyDescent="0.3">
      <c r="A2137" s="22" t="s">
        <v>68</v>
      </c>
      <c r="B2137">
        <v>13</v>
      </c>
      <c r="C2137" t="s">
        <v>64</v>
      </c>
      <c r="D2137">
        <v>195</v>
      </c>
      <c r="G2137" s="8">
        <v>0.53849999999999998</v>
      </c>
      <c r="L2137" s="8">
        <v>0.53849999999999998</v>
      </c>
      <c r="M2137" s="8">
        <v>0.3846</v>
      </c>
      <c r="N2137" s="8">
        <v>7.6899999999999996E-2</v>
      </c>
      <c r="O2137" s="8">
        <v>0.61539999999999995</v>
      </c>
      <c r="Q2137" s="8">
        <v>0.23080000000000001</v>
      </c>
      <c r="R2137" s="8">
        <v>0.23080000000000001</v>
      </c>
      <c r="T2137" s="8">
        <v>0.23080000000000001</v>
      </c>
      <c r="V2137" s="8">
        <v>0.61539999999999995</v>
      </c>
    </row>
    <row r="2139" spans="1:23" ht="72" x14ac:dyDescent="0.3">
      <c r="A2139" s="22" t="s">
        <v>558</v>
      </c>
    </row>
    <row r="2140" spans="1:23" x14ac:dyDescent="0.3">
      <c r="A2140" s="22" t="s">
        <v>66</v>
      </c>
      <c r="B2140" t="s">
        <v>62</v>
      </c>
      <c r="C2140" t="s">
        <v>57</v>
      </c>
      <c r="D2140" t="s">
        <v>63</v>
      </c>
      <c r="E2140" t="s">
        <v>226</v>
      </c>
      <c r="F2140" t="s">
        <v>228</v>
      </c>
      <c r="G2140" t="s">
        <v>229</v>
      </c>
      <c r="H2140" t="s">
        <v>154</v>
      </c>
      <c r="I2140" t="s">
        <v>230</v>
      </c>
      <c r="J2140" t="s">
        <v>231</v>
      </c>
      <c r="K2140" t="s">
        <v>232</v>
      </c>
      <c r="L2140" t="s">
        <v>233</v>
      </c>
      <c r="M2140" t="s">
        <v>234</v>
      </c>
      <c r="N2140" t="s">
        <v>235</v>
      </c>
      <c r="O2140" t="s">
        <v>236</v>
      </c>
      <c r="P2140" t="s">
        <v>237</v>
      </c>
      <c r="Q2140" t="s">
        <v>136</v>
      </c>
      <c r="R2140" t="s">
        <v>238</v>
      </c>
      <c r="S2140" t="s">
        <v>239</v>
      </c>
      <c r="T2140" t="s">
        <v>240</v>
      </c>
      <c r="U2140" t="s">
        <v>243</v>
      </c>
      <c r="V2140" t="s">
        <v>244</v>
      </c>
      <c r="W2140" t="s">
        <v>245</v>
      </c>
    </row>
    <row r="2141" spans="1:23" x14ac:dyDescent="0.3">
      <c r="A2141" s="22" t="s">
        <v>67</v>
      </c>
      <c r="B2141">
        <v>195</v>
      </c>
      <c r="C2141" t="s">
        <v>64</v>
      </c>
      <c r="D2141">
        <v>195</v>
      </c>
      <c r="E2141" s="8">
        <v>3.0800000000000001E-2</v>
      </c>
      <c r="F2141" s="8">
        <v>0.1231</v>
      </c>
      <c r="G2141" s="8">
        <v>0.32819999999999999</v>
      </c>
      <c r="H2141" s="8">
        <v>3.0800000000000001E-2</v>
      </c>
      <c r="I2141" s="8">
        <v>2.0500000000000001E-2</v>
      </c>
      <c r="J2141" s="8">
        <v>5.1000000000000004E-3</v>
      </c>
      <c r="K2141" s="8">
        <v>5.1299999999999998E-2</v>
      </c>
      <c r="L2141" s="8">
        <v>0.35899999999999999</v>
      </c>
      <c r="M2141" s="8">
        <v>0.38969999999999999</v>
      </c>
      <c r="N2141" s="8">
        <v>1.54E-2</v>
      </c>
      <c r="O2141" s="8">
        <v>0.50260000000000005</v>
      </c>
      <c r="P2141" s="8">
        <v>1.03E-2</v>
      </c>
      <c r="Q2141" s="8">
        <v>0.2</v>
      </c>
      <c r="R2141" s="8">
        <v>0.1026</v>
      </c>
      <c r="S2141" s="8">
        <v>1.54E-2</v>
      </c>
      <c r="T2141" s="8">
        <v>2.5600000000000001E-2</v>
      </c>
      <c r="U2141" s="8">
        <v>1.54E-2</v>
      </c>
      <c r="V2141" s="8">
        <v>0.48720000000000002</v>
      </c>
      <c r="W2141" s="8">
        <v>5.1000000000000004E-3</v>
      </c>
    </row>
    <row r="2143" spans="1:23" ht="57.6" x14ac:dyDescent="0.3">
      <c r="A2143" s="22" t="s">
        <v>559</v>
      </c>
    </row>
    <row r="2144" spans="1:23" x14ac:dyDescent="0.3">
      <c r="A2144" s="22" t="s">
        <v>66</v>
      </c>
      <c r="B2144" t="s">
        <v>62</v>
      </c>
      <c r="C2144" t="s">
        <v>57</v>
      </c>
      <c r="D2144" t="s">
        <v>63</v>
      </c>
      <c r="E2144" t="s">
        <v>226</v>
      </c>
      <c r="F2144" t="s">
        <v>228</v>
      </c>
      <c r="G2144" t="s">
        <v>229</v>
      </c>
      <c r="H2144" t="s">
        <v>154</v>
      </c>
      <c r="I2144" t="s">
        <v>230</v>
      </c>
      <c r="J2144" t="s">
        <v>231</v>
      </c>
      <c r="K2144" t="s">
        <v>232</v>
      </c>
      <c r="L2144" t="s">
        <v>233</v>
      </c>
      <c r="M2144" t="s">
        <v>234</v>
      </c>
      <c r="N2144" t="s">
        <v>235</v>
      </c>
      <c r="O2144" t="s">
        <v>236</v>
      </c>
      <c r="P2144" t="s">
        <v>237</v>
      </c>
      <c r="Q2144" t="s">
        <v>136</v>
      </c>
      <c r="R2144" t="s">
        <v>238</v>
      </c>
      <c r="S2144" t="s">
        <v>239</v>
      </c>
      <c r="T2144" t="s">
        <v>240</v>
      </c>
      <c r="U2144" t="s">
        <v>243</v>
      </c>
      <c r="V2144" t="s">
        <v>244</v>
      </c>
      <c r="W2144" t="s">
        <v>245</v>
      </c>
    </row>
    <row r="2145" spans="1:23" x14ac:dyDescent="0.3">
      <c r="A2145" s="22" t="s">
        <v>67</v>
      </c>
      <c r="B2145">
        <v>123</v>
      </c>
      <c r="C2145" t="s">
        <v>64</v>
      </c>
      <c r="D2145">
        <v>195</v>
      </c>
      <c r="E2145" s="8">
        <v>4.07E-2</v>
      </c>
      <c r="F2145" s="8">
        <v>0.1138</v>
      </c>
      <c r="G2145" s="8">
        <v>0.33329999999999999</v>
      </c>
      <c r="H2145" s="8">
        <v>4.07E-2</v>
      </c>
      <c r="I2145" s="8">
        <v>3.2500000000000001E-2</v>
      </c>
      <c r="K2145" s="8">
        <v>4.8800000000000003E-2</v>
      </c>
      <c r="L2145" s="8">
        <v>0.3659</v>
      </c>
      <c r="M2145" s="8">
        <v>0.41460000000000002</v>
      </c>
      <c r="N2145" s="8">
        <v>8.0999999999999996E-3</v>
      </c>
      <c r="O2145" s="8">
        <v>0.52029999999999998</v>
      </c>
      <c r="P2145" s="8">
        <v>1.6299999999999999E-2</v>
      </c>
      <c r="Q2145" s="8">
        <v>0.20330000000000001</v>
      </c>
      <c r="R2145" s="8">
        <v>6.5000000000000002E-2</v>
      </c>
      <c r="S2145" s="8">
        <v>2.4400000000000002E-2</v>
      </c>
      <c r="T2145" s="8">
        <v>1.6299999999999999E-2</v>
      </c>
      <c r="U2145" s="8">
        <v>1.6299999999999999E-2</v>
      </c>
      <c r="V2145" s="8">
        <v>0.439</v>
      </c>
      <c r="W2145" s="8">
        <v>8.0999999999999996E-3</v>
      </c>
    </row>
    <row r="2146" spans="1:23" x14ac:dyDescent="0.3">
      <c r="A2146" s="22" t="s">
        <v>68</v>
      </c>
      <c r="B2146">
        <v>72</v>
      </c>
      <c r="C2146" t="s">
        <v>64</v>
      </c>
      <c r="D2146">
        <v>195</v>
      </c>
      <c r="E2146" s="8">
        <v>1.3899999999999999E-2</v>
      </c>
      <c r="F2146" s="8">
        <v>0.1389</v>
      </c>
      <c r="G2146" s="8">
        <v>0.31940000000000002</v>
      </c>
      <c r="H2146" s="8">
        <v>1.3899999999999999E-2</v>
      </c>
      <c r="J2146" s="8">
        <v>1.3899999999999999E-2</v>
      </c>
      <c r="K2146" s="8">
        <v>5.5599999999999997E-2</v>
      </c>
      <c r="L2146" s="8">
        <v>0.34720000000000001</v>
      </c>
      <c r="M2146" s="8">
        <v>0.34720000000000001</v>
      </c>
      <c r="N2146" s="8">
        <v>2.7799999999999998E-2</v>
      </c>
      <c r="O2146" s="8">
        <v>0.47220000000000001</v>
      </c>
      <c r="Q2146" s="8">
        <v>0.19439999999999999</v>
      </c>
      <c r="R2146" s="8">
        <v>0.16669999999999999</v>
      </c>
      <c r="T2146" s="8">
        <v>4.1700000000000001E-2</v>
      </c>
      <c r="U2146" s="8">
        <v>1.3899999999999999E-2</v>
      </c>
      <c r="V2146" s="8">
        <v>0.56940000000000002</v>
      </c>
    </row>
    <row r="2148" spans="1:23" ht="57.6" x14ac:dyDescent="0.3">
      <c r="A2148" s="22" t="s">
        <v>560</v>
      </c>
    </row>
    <row r="2149" spans="1:23" x14ac:dyDescent="0.3">
      <c r="A2149" s="22" t="s">
        <v>66</v>
      </c>
      <c r="B2149" t="s">
        <v>62</v>
      </c>
      <c r="C2149" t="s">
        <v>57</v>
      </c>
      <c r="D2149" t="s">
        <v>63</v>
      </c>
      <c r="E2149" t="s">
        <v>226</v>
      </c>
      <c r="F2149" t="s">
        <v>228</v>
      </c>
      <c r="G2149" t="s">
        <v>229</v>
      </c>
      <c r="H2149" t="s">
        <v>154</v>
      </c>
      <c r="I2149" t="s">
        <v>230</v>
      </c>
      <c r="J2149" t="s">
        <v>231</v>
      </c>
      <c r="K2149" t="s">
        <v>232</v>
      </c>
      <c r="L2149" t="s">
        <v>233</v>
      </c>
      <c r="M2149" t="s">
        <v>234</v>
      </c>
      <c r="N2149" t="s">
        <v>235</v>
      </c>
      <c r="O2149" t="s">
        <v>236</v>
      </c>
      <c r="P2149" t="s">
        <v>237</v>
      </c>
      <c r="Q2149" t="s">
        <v>136</v>
      </c>
      <c r="R2149" t="s">
        <v>238</v>
      </c>
      <c r="S2149" t="s">
        <v>239</v>
      </c>
      <c r="T2149" t="s">
        <v>240</v>
      </c>
      <c r="U2149" t="s">
        <v>243</v>
      </c>
      <c r="V2149" t="s">
        <v>244</v>
      </c>
      <c r="W2149" t="s">
        <v>245</v>
      </c>
    </row>
    <row r="2150" spans="1:23" x14ac:dyDescent="0.3">
      <c r="A2150" s="22" t="s">
        <v>67</v>
      </c>
      <c r="B2150">
        <v>176</v>
      </c>
      <c r="C2150" t="s">
        <v>64</v>
      </c>
      <c r="D2150">
        <v>195</v>
      </c>
      <c r="E2150" s="8">
        <v>2.8400000000000002E-2</v>
      </c>
      <c r="F2150" s="8">
        <v>0.13070000000000001</v>
      </c>
      <c r="G2150" s="8">
        <v>0.31819999999999998</v>
      </c>
      <c r="H2150" s="8">
        <v>2.2700000000000001E-2</v>
      </c>
      <c r="I2150" s="8">
        <v>1.7000000000000001E-2</v>
      </c>
      <c r="J2150" s="8">
        <v>5.7000000000000002E-3</v>
      </c>
      <c r="K2150" s="8">
        <v>5.11E-2</v>
      </c>
      <c r="L2150" s="8">
        <v>0.35799999999999998</v>
      </c>
      <c r="M2150" s="8">
        <v>0.38640000000000002</v>
      </c>
      <c r="N2150" s="8">
        <v>1.14E-2</v>
      </c>
      <c r="O2150" s="8">
        <v>0.5</v>
      </c>
      <c r="P2150" s="8">
        <v>1.14E-2</v>
      </c>
      <c r="Q2150" s="8">
        <v>0.19320000000000001</v>
      </c>
      <c r="R2150" s="8">
        <v>0.108</v>
      </c>
      <c r="S2150" s="8">
        <v>1.7000000000000001E-2</v>
      </c>
      <c r="T2150" s="8">
        <v>2.8400000000000002E-2</v>
      </c>
      <c r="U2150" s="8">
        <v>1.7000000000000001E-2</v>
      </c>
      <c r="V2150" s="8">
        <v>0.50570000000000004</v>
      </c>
      <c r="W2150" s="8">
        <v>5.7000000000000002E-3</v>
      </c>
    </row>
    <row r="2151" spans="1:23" x14ac:dyDescent="0.3">
      <c r="A2151" s="22" t="s">
        <v>68</v>
      </c>
      <c r="B2151">
        <v>19</v>
      </c>
      <c r="C2151" t="s">
        <v>64</v>
      </c>
      <c r="D2151">
        <v>195</v>
      </c>
      <c r="E2151" s="8">
        <v>5.2600000000000001E-2</v>
      </c>
      <c r="F2151" s="8">
        <v>5.2600000000000001E-2</v>
      </c>
      <c r="G2151" s="8">
        <v>0.42109999999999997</v>
      </c>
      <c r="H2151" s="8">
        <v>0.1053</v>
      </c>
      <c r="I2151" s="8">
        <v>5.2600000000000001E-2</v>
      </c>
      <c r="K2151" s="8">
        <v>5.2600000000000001E-2</v>
      </c>
      <c r="L2151" s="8">
        <v>0.36840000000000001</v>
      </c>
      <c r="M2151" s="8">
        <v>0.42109999999999997</v>
      </c>
      <c r="N2151" s="8">
        <v>5.2600000000000001E-2</v>
      </c>
      <c r="O2151" s="8">
        <v>0.52629999999999999</v>
      </c>
      <c r="Q2151" s="8">
        <v>0.26319999999999999</v>
      </c>
      <c r="R2151" s="8">
        <v>5.2600000000000001E-2</v>
      </c>
      <c r="V2151" s="8">
        <v>0.31580000000000003</v>
      </c>
    </row>
    <row r="2153" spans="1:23" ht="43.2" x14ac:dyDescent="0.3">
      <c r="A2153" s="27" t="s">
        <v>561</v>
      </c>
    </row>
    <row r="2154" spans="1:23" x14ac:dyDescent="0.3">
      <c r="A2154" s="22" t="s">
        <v>66</v>
      </c>
      <c r="B2154" t="s">
        <v>62</v>
      </c>
      <c r="C2154" t="s">
        <v>57</v>
      </c>
      <c r="D2154" t="s">
        <v>63</v>
      </c>
      <c r="E2154" t="s">
        <v>226</v>
      </c>
      <c r="F2154" t="s">
        <v>228</v>
      </c>
      <c r="G2154" t="s">
        <v>229</v>
      </c>
      <c r="H2154" t="s">
        <v>154</v>
      </c>
      <c r="I2154" t="s">
        <v>230</v>
      </c>
      <c r="J2154" t="s">
        <v>231</v>
      </c>
      <c r="K2154" t="s">
        <v>232</v>
      </c>
      <c r="L2154" t="s">
        <v>233</v>
      </c>
      <c r="M2154" t="s">
        <v>234</v>
      </c>
      <c r="N2154" t="s">
        <v>235</v>
      </c>
      <c r="O2154" t="s">
        <v>236</v>
      </c>
      <c r="P2154" t="s">
        <v>237</v>
      </c>
      <c r="Q2154" t="s">
        <v>136</v>
      </c>
      <c r="R2154" t="s">
        <v>238</v>
      </c>
      <c r="S2154" t="s">
        <v>239</v>
      </c>
      <c r="T2154" t="s">
        <v>240</v>
      </c>
      <c r="U2154" t="s">
        <v>243</v>
      </c>
      <c r="V2154" t="s">
        <v>244</v>
      </c>
      <c r="W2154" t="s">
        <v>245</v>
      </c>
    </row>
    <row r="2155" spans="1:23" x14ac:dyDescent="0.3">
      <c r="A2155" s="22" t="s">
        <v>81</v>
      </c>
      <c r="B2155">
        <v>55</v>
      </c>
      <c r="C2155" t="s">
        <v>64</v>
      </c>
      <c r="D2155">
        <v>195</v>
      </c>
      <c r="F2155" s="8">
        <v>0.14549999999999999</v>
      </c>
      <c r="G2155" s="8">
        <v>0.21820000000000001</v>
      </c>
      <c r="H2155" s="8">
        <v>9.0899999999999995E-2</v>
      </c>
      <c r="I2155" s="8">
        <v>1.8200000000000001E-2</v>
      </c>
      <c r="J2155" s="8">
        <v>1.8200000000000001E-2</v>
      </c>
      <c r="K2155" s="8">
        <v>1.8200000000000001E-2</v>
      </c>
      <c r="L2155" s="8">
        <v>0.43640000000000001</v>
      </c>
      <c r="M2155" s="8">
        <v>0.29089999999999999</v>
      </c>
      <c r="O2155" s="8">
        <v>0.47270000000000001</v>
      </c>
      <c r="Q2155" s="8">
        <v>0.1636</v>
      </c>
      <c r="R2155" s="8">
        <v>5.45E-2</v>
      </c>
      <c r="T2155" s="8">
        <v>1.8200000000000001E-2</v>
      </c>
      <c r="U2155" s="8">
        <v>3.6400000000000002E-2</v>
      </c>
      <c r="V2155" s="8">
        <v>0.43640000000000001</v>
      </c>
      <c r="W2155" s="8">
        <v>1.8200000000000001E-2</v>
      </c>
    </row>
    <row r="2156" spans="1:23" x14ac:dyDescent="0.3">
      <c r="A2156" s="22" t="s">
        <v>82</v>
      </c>
      <c r="B2156">
        <v>47</v>
      </c>
      <c r="C2156" t="s">
        <v>64</v>
      </c>
      <c r="D2156">
        <v>195</v>
      </c>
      <c r="E2156" s="8">
        <v>2.1299999999999999E-2</v>
      </c>
      <c r="F2156" s="8">
        <v>0.17019999999999999</v>
      </c>
      <c r="G2156" s="8">
        <v>0.27660000000000001</v>
      </c>
      <c r="I2156" s="8">
        <v>2.1299999999999999E-2</v>
      </c>
      <c r="K2156" s="8">
        <v>6.3799999999999996E-2</v>
      </c>
      <c r="L2156" s="8">
        <v>0.27660000000000001</v>
      </c>
      <c r="M2156" s="8">
        <v>0.44679999999999997</v>
      </c>
      <c r="O2156" s="8">
        <v>0.61699999999999999</v>
      </c>
      <c r="P2156" s="8">
        <v>2.1299999999999999E-2</v>
      </c>
      <c r="Q2156" s="8">
        <v>0.12770000000000001</v>
      </c>
      <c r="R2156" s="8">
        <v>8.5099999999999995E-2</v>
      </c>
      <c r="S2156" s="8">
        <v>4.2599999999999999E-2</v>
      </c>
      <c r="V2156" s="8">
        <v>0.38300000000000001</v>
      </c>
    </row>
    <row r="2157" spans="1:23" x14ac:dyDescent="0.3">
      <c r="A2157" s="22" t="s">
        <v>83</v>
      </c>
      <c r="B2157">
        <v>48</v>
      </c>
      <c r="C2157" t="s">
        <v>64</v>
      </c>
      <c r="D2157">
        <v>195</v>
      </c>
      <c r="E2157" s="8">
        <v>6.25E-2</v>
      </c>
      <c r="F2157" s="8">
        <v>8.3299999999999999E-2</v>
      </c>
      <c r="G2157" s="8">
        <v>0.47920000000000001</v>
      </c>
      <c r="H2157" s="8">
        <v>2.0799999999999999E-2</v>
      </c>
      <c r="K2157" s="8">
        <v>0.1042</v>
      </c>
      <c r="L2157" s="8">
        <v>0.3125</v>
      </c>
      <c r="M2157" s="8">
        <v>0.52080000000000004</v>
      </c>
      <c r="O2157" s="8">
        <v>0.375</v>
      </c>
      <c r="Q2157" s="8">
        <v>0.25</v>
      </c>
      <c r="R2157" s="8">
        <v>8.3299999999999999E-2</v>
      </c>
      <c r="S2157" s="8">
        <v>2.0799999999999999E-2</v>
      </c>
      <c r="T2157" s="8">
        <v>6.25E-2</v>
      </c>
      <c r="V2157" s="8">
        <v>0.45829999999999999</v>
      </c>
    </row>
    <row r="2158" spans="1:23" x14ac:dyDescent="0.3">
      <c r="A2158" s="22" t="s">
        <v>84</v>
      </c>
      <c r="B2158">
        <v>45</v>
      </c>
      <c r="C2158" t="s">
        <v>64</v>
      </c>
      <c r="D2158">
        <v>195</v>
      </c>
      <c r="E2158" s="8">
        <v>4.4400000000000002E-2</v>
      </c>
      <c r="F2158" s="8">
        <v>8.8900000000000007E-2</v>
      </c>
      <c r="G2158" s="8">
        <v>0.35560000000000003</v>
      </c>
      <c r="I2158" s="8">
        <v>4.4400000000000002E-2</v>
      </c>
      <c r="K2158" s="8">
        <v>2.2200000000000001E-2</v>
      </c>
      <c r="L2158" s="8">
        <v>0.4</v>
      </c>
      <c r="M2158" s="8">
        <v>0.31109999999999999</v>
      </c>
      <c r="N2158" s="8">
        <v>6.6699999999999995E-2</v>
      </c>
      <c r="O2158" s="8">
        <v>0.55559999999999998</v>
      </c>
      <c r="P2158" s="8">
        <v>2.2200000000000001E-2</v>
      </c>
      <c r="Q2158" s="8">
        <v>0.26669999999999999</v>
      </c>
      <c r="R2158" s="8">
        <v>0.2</v>
      </c>
      <c r="T2158" s="8">
        <v>2.2200000000000001E-2</v>
      </c>
      <c r="U2158" s="8">
        <v>2.2200000000000001E-2</v>
      </c>
      <c r="V2158" s="8">
        <v>0.68889999999999996</v>
      </c>
    </row>
    <row r="2160" spans="1:23" ht="43.2" x14ac:dyDescent="0.3">
      <c r="A2160" s="27" t="s">
        <v>562</v>
      </c>
    </row>
    <row r="2161" spans="1:9" x14ac:dyDescent="0.3">
      <c r="A2161" s="22" t="s">
        <v>62</v>
      </c>
      <c r="B2161" t="s">
        <v>57</v>
      </c>
      <c r="C2161" t="s">
        <v>63</v>
      </c>
      <c r="D2161">
        <v>1</v>
      </c>
      <c r="E2161">
        <v>2</v>
      </c>
      <c r="F2161">
        <v>3</v>
      </c>
      <c r="G2161">
        <v>4</v>
      </c>
      <c r="H2161">
        <v>5</v>
      </c>
    </row>
    <row r="2162" spans="1:9" x14ac:dyDescent="0.3">
      <c r="A2162" s="22">
        <v>40</v>
      </c>
      <c r="B2162" t="s">
        <v>64</v>
      </c>
      <c r="C2162">
        <v>40</v>
      </c>
      <c r="D2162" s="8">
        <v>0.42499999999999999</v>
      </c>
      <c r="E2162" s="8">
        <v>0.32500000000000001</v>
      </c>
      <c r="F2162" s="8">
        <v>0.17499999999999999</v>
      </c>
      <c r="G2162" s="8">
        <v>0.05</v>
      </c>
      <c r="H2162" s="8">
        <v>2.5000000000000001E-2</v>
      </c>
    </row>
    <row r="2164" spans="1:9" ht="72" x14ac:dyDescent="0.3">
      <c r="A2164" s="22" t="s">
        <v>563</v>
      </c>
    </row>
    <row r="2165" spans="1:9" x14ac:dyDescent="0.3">
      <c r="A2165" s="22" t="s">
        <v>66</v>
      </c>
      <c r="B2165" t="s">
        <v>62</v>
      </c>
      <c r="C2165" t="s">
        <v>57</v>
      </c>
      <c r="D2165" t="s">
        <v>63</v>
      </c>
      <c r="E2165">
        <v>1</v>
      </c>
      <c r="F2165">
        <v>2</v>
      </c>
      <c r="G2165">
        <v>3</v>
      </c>
      <c r="H2165">
        <v>4</v>
      </c>
      <c r="I2165">
        <v>5</v>
      </c>
    </row>
    <row r="2166" spans="1:9" x14ac:dyDescent="0.3">
      <c r="A2166" s="22" t="s">
        <v>67</v>
      </c>
      <c r="B2166">
        <v>39</v>
      </c>
      <c r="C2166" t="s">
        <v>64</v>
      </c>
      <c r="D2166">
        <v>40</v>
      </c>
      <c r="E2166" s="8">
        <v>0.4103</v>
      </c>
      <c r="F2166" s="8">
        <v>0.33329999999999999</v>
      </c>
      <c r="G2166" s="8">
        <v>0.17949999999999999</v>
      </c>
      <c r="H2166" s="8">
        <v>5.1299999999999998E-2</v>
      </c>
      <c r="I2166" s="8">
        <v>2.5600000000000001E-2</v>
      </c>
    </row>
    <row r="2167" spans="1:9" x14ac:dyDescent="0.3">
      <c r="A2167" s="22" t="s">
        <v>68</v>
      </c>
      <c r="B2167">
        <v>1</v>
      </c>
      <c r="C2167" t="s">
        <v>64</v>
      </c>
      <c r="D2167">
        <v>40</v>
      </c>
      <c r="E2167" s="8">
        <v>1</v>
      </c>
    </row>
    <row r="2169" spans="1:9" x14ac:dyDescent="0.3">
      <c r="A2169"/>
    </row>
    <row r="2170" spans="1:9" x14ac:dyDescent="0.3">
      <c r="A2170"/>
    </row>
    <row r="2171" spans="1:9" x14ac:dyDescent="0.3">
      <c r="A2171"/>
    </row>
    <row r="2172" spans="1:9" x14ac:dyDescent="0.3">
      <c r="A2172"/>
    </row>
    <row r="2173" spans="1:9" ht="72" x14ac:dyDescent="0.3">
      <c r="A2173" s="22" t="s">
        <v>564</v>
      </c>
    </row>
    <row r="2174" spans="1:9" x14ac:dyDescent="0.3">
      <c r="A2174" s="22" t="s">
        <v>66</v>
      </c>
      <c r="B2174" t="s">
        <v>62</v>
      </c>
      <c r="C2174" t="s">
        <v>57</v>
      </c>
      <c r="D2174" t="s">
        <v>63</v>
      </c>
      <c r="E2174">
        <v>1</v>
      </c>
      <c r="F2174">
        <v>2</v>
      </c>
      <c r="G2174">
        <v>3</v>
      </c>
      <c r="H2174">
        <v>4</v>
      </c>
      <c r="I2174">
        <v>5</v>
      </c>
    </row>
    <row r="2175" spans="1:9" x14ac:dyDescent="0.3">
      <c r="A2175" s="22" t="s">
        <v>67</v>
      </c>
      <c r="B2175">
        <v>38</v>
      </c>
      <c r="C2175" t="s">
        <v>64</v>
      </c>
      <c r="D2175">
        <v>40</v>
      </c>
      <c r="E2175" s="8">
        <v>0.42109999999999997</v>
      </c>
      <c r="F2175" s="8">
        <v>0.31580000000000003</v>
      </c>
      <c r="G2175" s="8">
        <v>0.1842</v>
      </c>
      <c r="H2175" s="8">
        <v>5.2600000000000001E-2</v>
      </c>
      <c r="I2175" s="8">
        <v>2.63E-2</v>
      </c>
    </row>
    <row r="2176" spans="1:9" x14ac:dyDescent="0.3">
      <c r="A2176" s="22" t="s">
        <v>68</v>
      </c>
      <c r="B2176">
        <v>2</v>
      </c>
      <c r="C2176" t="s">
        <v>64</v>
      </c>
      <c r="D2176">
        <v>40</v>
      </c>
      <c r="E2176" s="8">
        <v>0.5</v>
      </c>
      <c r="F2176" s="8">
        <v>0.5</v>
      </c>
    </row>
    <row r="2178" spans="1:9" ht="57.6" x14ac:dyDescent="0.3">
      <c r="A2178" s="22" t="s">
        <v>565</v>
      </c>
    </row>
    <row r="2179" spans="1:9" x14ac:dyDescent="0.3">
      <c r="A2179" s="22" t="s">
        <v>66</v>
      </c>
      <c r="B2179" t="s">
        <v>62</v>
      </c>
      <c r="C2179" t="s">
        <v>57</v>
      </c>
      <c r="D2179" t="s">
        <v>63</v>
      </c>
      <c r="E2179">
        <v>1</v>
      </c>
      <c r="F2179">
        <v>2</v>
      </c>
      <c r="G2179">
        <v>3</v>
      </c>
      <c r="H2179">
        <v>4</v>
      </c>
      <c r="I2179">
        <v>5</v>
      </c>
    </row>
    <row r="2180" spans="1:9" x14ac:dyDescent="0.3">
      <c r="A2180" s="22" t="s">
        <v>67</v>
      </c>
      <c r="B2180">
        <v>40</v>
      </c>
      <c r="C2180" t="s">
        <v>64</v>
      </c>
      <c r="D2180">
        <v>40</v>
      </c>
      <c r="E2180" s="8">
        <v>0.42499999999999999</v>
      </c>
      <c r="F2180" s="8">
        <v>0.32500000000000001</v>
      </c>
      <c r="G2180" s="8">
        <v>0.17499999999999999</v>
      </c>
      <c r="H2180" s="8">
        <v>0.05</v>
      </c>
      <c r="I2180" s="8">
        <v>2.5000000000000001E-2</v>
      </c>
    </row>
    <row r="2182" spans="1:9" ht="72" x14ac:dyDescent="0.3">
      <c r="A2182" s="22" t="s">
        <v>566</v>
      </c>
    </row>
    <row r="2183" spans="1:9" x14ac:dyDescent="0.3">
      <c r="A2183" s="22" t="s">
        <v>66</v>
      </c>
      <c r="B2183" t="s">
        <v>62</v>
      </c>
      <c r="C2183" t="s">
        <v>57</v>
      </c>
      <c r="D2183" t="s">
        <v>63</v>
      </c>
      <c r="E2183">
        <v>1</v>
      </c>
      <c r="F2183">
        <v>2</v>
      </c>
      <c r="G2183">
        <v>3</v>
      </c>
      <c r="H2183">
        <v>4</v>
      </c>
      <c r="I2183">
        <v>5</v>
      </c>
    </row>
    <row r="2184" spans="1:9" x14ac:dyDescent="0.3">
      <c r="A2184" s="22" t="s">
        <v>67</v>
      </c>
      <c r="B2184">
        <v>38</v>
      </c>
      <c r="C2184" t="s">
        <v>64</v>
      </c>
      <c r="D2184">
        <v>40</v>
      </c>
      <c r="E2184" s="8">
        <v>0.42109999999999997</v>
      </c>
      <c r="F2184" s="8">
        <v>0.34210000000000002</v>
      </c>
      <c r="G2184" s="8">
        <v>0.15790000000000001</v>
      </c>
      <c r="H2184" s="8">
        <v>5.2600000000000001E-2</v>
      </c>
      <c r="I2184" s="8">
        <v>2.63E-2</v>
      </c>
    </row>
    <row r="2185" spans="1:9" x14ac:dyDescent="0.3">
      <c r="A2185" s="22" t="s">
        <v>68</v>
      </c>
      <c r="B2185">
        <v>2</v>
      </c>
      <c r="C2185" t="s">
        <v>64</v>
      </c>
      <c r="D2185">
        <v>40</v>
      </c>
      <c r="E2185" s="8">
        <v>0.5</v>
      </c>
      <c r="G2185" s="8">
        <v>0.5</v>
      </c>
    </row>
    <row r="2187" spans="1:9" ht="72" x14ac:dyDescent="0.3">
      <c r="A2187" s="22" t="s">
        <v>567</v>
      </c>
    </row>
    <row r="2188" spans="1:9" x14ac:dyDescent="0.3">
      <c r="A2188" s="22" t="s">
        <v>66</v>
      </c>
      <c r="B2188" t="s">
        <v>62</v>
      </c>
      <c r="C2188" t="s">
        <v>57</v>
      </c>
      <c r="D2188" t="s">
        <v>63</v>
      </c>
      <c r="E2188">
        <v>1</v>
      </c>
      <c r="F2188">
        <v>2</v>
      </c>
      <c r="G2188">
        <v>3</v>
      </c>
      <c r="H2188">
        <v>4</v>
      </c>
      <c r="I2188">
        <v>5</v>
      </c>
    </row>
    <row r="2189" spans="1:9" x14ac:dyDescent="0.3">
      <c r="A2189" s="22" t="s">
        <v>68</v>
      </c>
      <c r="B2189">
        <v>40</v>
      </c>
      <c r="C2189" t="s">
        <v>64</v>
      </c>
      <c r="D2189">
        <v>40</v>
      </c>
      <c r="E2189" s="8">
        <v>0.42499999999999999</v>
      </c>
      <c r="F2189" s="8">
        <v>0.32500000000000001</v>
      </c>
      <c r="G2189" s="8">
        <v>0.17499999999999999</v>
      </c>
      <c r="H2189" s="8">
        <v>0.05</v>
      </c>
      <c r="I2189" s="8">
        <v>2.5000000000000001E-2</v>
      </c>
    </row>
    <row r="2191" spans="1:9" ht="72" x14ac:dyDescent="0.3">
      <c r="A2191" s="22" t="s">
        <v>568</v>
      </c>
    </row>
    <row r="2192" spans="1:9" x14ac:dyDescent="0.3">
      <c r="A2192" s="22" t="s">
        <v>66</v>
      </c>
      <c r="B2192" t="s">
        <v>62</v>
      </c>
      <c r="C2192" t="s">
        <v>57</v>
      </c>
      <c r="D2192" t="s">
        <v>63</v>
      </c>
      <c r="E2192">
        <v>1</v>
      </c>
      <c r="F2192">
        <v>2</v>
      </c>
      <c r="G2192">
        <v>3</v>
      </c>
      <c r="H2192">
        <v>4</v>
      </c>
      <c r="I2192">
        <v>5</v>
      </c>
    </row>
    <row r="2193" spans="1:9" x14ac:dyDescent="0.3">
      <c r="A2193" s="22" t="s">
        <v>67</v>
      </c>
      <c r="B2193">
        <v>31</v>
      </c>
      <c r="C2193" t="s">
        <v>64</v>
      </c>
      <c r="D2193">
        <v>40</v>
      </c>
      <c r="E2193" s="8">
        <v>0.3871</v>
      </c>
      <c r="F2193" s="8">
        <v>0.3226</v>
      </c>
      <c r="G2193" s="8">
        <v>0.19350000000000001</v>
      </c>
      <c r="H2193" s="8">
        <v>6.4500000000000002E-2</v>
      </c>
      <c r="I2193" s="8">
        <v>3.2300000000000002E-2</v>
      </c>
    </row>
    <row r="2194" spans="1:9" x14ac:dyDescent="0.3">
      <c r="A2194" s="22" t="s">
        <v>68</v>
      </c>
      <c r="B2194">
        <v>9</v>
      </c>
      <c r="C2194" t="s">
        <v>64</v>
      </c>
      <c r="D2194">
        <v>40</v>
      </c>
      <c r="E2194" s="8">
        <v>0.55559999999999998</v>
      </c>
      <c r="F2194" s="8">
        <v>0.33329999999999999</v>
      </c>
      <c r="G2194" s="8">
        <v>0.1111</v>
      </c>
    </row>
    <row r="2196" spans="1:9" ht="57.6" x14ac:dyDescent="0.3">
      <c r="A2196" s="22" t="s">
        <v>569</v>
      </c>
    </row>
    <row r="2197" spans="1:9" x14ac:dyDescent="0.3">
      <c r="A2197" s="22" t="s">
        <v>66</v>
      </c>
      <c r="B2197" t="s">
        <v>62</v>
      </c>
      <c r="C2197" t="s">
        <v>57</v>
      </c>
      <c r="D2197" t="s">
        <v>63</v>
      </c>
      <c r="E2197">
        <v>1</v>
      </c>
      <c r="F2197">
        <v>2</v>
      </c>
      <c r="G2197">
        <v>3</v>
      </c>
      <c r="H2197">
        <v>4</v>
      </c>
      <c r="I2197">
        <v>5</v>
      </c>
    </row>
    <row r="2198" spans="1:9" x14ac:dyDescent="0.3">
      <c r="A2198" s="22" t="s">
        <v>67</v>
      </c>
      <c r="B2198">
        <v>30</v>
      </c>
      <c r="C2198" t="s">
        <v>64</v>
      </c>
      <c r="D2198">
        <v>40</v>
      </c>
      <c r="E2198" s="8">
        <v>0.43330000000000002</v>
      </c>
      <c r="F2198" s="8">
        <v>0.33329999999999999</v>
      </c>
      <c r="G2198" s="8">
        <v>0.1333</v>
      </c>
      <c r="H2198" s="8">
        <v>6.6699999999999995E-2</v>
      </c>
      <c r="I2198" s="8">
        <v>3.3300000000000003E-2</v>
      </c>
    </row>
    <row r="2199" spans="1:9" x14ac:dyDescent="0.3">
      <c r="A2199" s="22" t="s">
        <v>68</v>
      </c>
      <c r="B2199">
        <v>10</v>
      </c>
      <c r="C2199" t="s">
        <v>64</v>
      </c>
      <c r="D2199">
        <v>40</v>
      </c>
      <c r="E2199" s="8">
        <v>0.4</v>
      </c>
      <c r="F2199" s="8">
        <v>0.3</v>
      </c>
      <c r="G2199" s="8">
        <v>0.3</v>
      </c>
    </row>
    <row r="2201" spans="1:9" ht="72" x14ac:dyDescent="0.3">
      <c r="A2201" s="22" t="s">
        <v>570</v>
      </c>
    </row>
    <row r="2202" spans="1:9" x14ac:dyDescent="0.3">
      <c r="A2202" s="22" t="s">
        <v>66</v>
      </c>
      <c r="B2202" t="s">
        <v>62</v>
      </c>
      <c r="C2202" t="s">
        <v>57</v>
      </c>
      <c r="D2202" t="s">
        <v>63</v>
      </c>
      <c r="E2202">
        <v>1</v>
      </c>
      <c r="F2202">
        <v>2</v>
      </c>
      <c r="G2202">
        <v>3</v>
      </c>
      <c r="H2202">
        <v>4</v>
      </c>
      <c r="I2202">
        <v>5</v>
      </c>
    </row>
    <row r="2203" spans="1:9" x14ac:dyDescent="0.3">
      <c r="A2203" s="22" t="s">
        <v>67</v>
      </c>
      <c r="B2203">
        <v>32</v>
      </c>
      <c r="C2203" t="s">
        <v>64</v>
      </c>
      <c r="D2203">
        <v>40</v>
      </c>
      <c r="E2203" s="8">
        <v>0.53120000000000001</v>
      </c>
      <c r="F2203" s="8">
        <v>0.28120000000000001</v>
      </c>
      <c r="G2203" s="8">
        <v>0.125</v>
      </c>
      <c r="H2203" s="8">
        <v>3.1199999999999999E-2</v>
      </c>
      <c r="I2203" s="8">
        <v>3.1199999999999999E-2</v>
      </c>
    </row>
    <row r="2204" spans="1:9" x14ac:dyDescent="0.3">
      <c r="A2204" s="22" t="s">
        <v>68</v>
      </c>
      <c r="B2204">
        <v>8</v>
      </c>
      <c r="C2204" t="s">
        <v>64</v>
      </c>
      <c r="D2204">
        <v>40</v>
      </c>
      <c r="F2204" s="8">
        <v>0.5</v>
      </c>
      <c r="G2204" s="8">
        <v>0.375</v>
      </c>
      <c r="H2204" s="8">
        <v>0.125</v>
      </c>
    </row>
    <row r="2206" spans="1:9" ht="72" x14ac:dyDescent="0.3">
      <c r="A2206" s="22" t="s">
        <v>571</v>
      </c>
    </row>
    <row r="2207" spans="1:9" x14ac:dyDescent="0.3">
      <c r="A2207" s="22" t="s">
        <v>66</v>
      </c>
      <c r="B2207" t="s">
        <v>62</v>
      </c>
      <c r="C2207" t="s">
        <v>57</v>
      </c>
      <c r="D2207" t="s">
        <v>63</v>
      </c>
      <c r="E2207">
        <v>1</v>
      </c>
      <c r="F2207">
        <v>2</v>
      </c>
      <c r="G2207">
        <v>3</v>
      </c>
      <c r="H2207">
        <v>4</v>
      </c>
      <c r="I2207">
        <v>5</v>
      </c>
    </row>
    <row r="2208" spans="1:9" x14ac:dyDescent="0.3">
      <c r="A2208" s="22" t="s">
        <v>67</v>
      </c>
      <c r="B2208">
        <v>37</v>
      </c>
      <c r="C2208" t="s">
        <v>64</v>
      </c>
      <c r="D2208">
        <v>40</v>
      </c>
      <c r="E2208" s="8">
        <v>0.43240000000000001</v>
      </c>
      <c r="F2208" s="8">
        <v>0.32429999999999998</v>
      </c>
      <c r="G2208" s="8">
        <v>0.16220000000000001</v>
      </c>
      <c r="H2208" s="8">
        <v>5.4100000000000002E-2</v>
      </c>
      <c r="I2208" s="8">
        <v>2.7E-2</v>
      </c>
    </row>
    <row r="2209" spans="1:9" x14ac:dyDescent="0.3">
      <c r="A2209" s="22" t="s">
        <v>68</v>
      </c>
      <c r="B2209">
        <v>3</v>
      </c>
      <c r="C2209" t="s">
        <v>64</v>
      </c>
      <c r="D2209">
        <v>40</v>
      </c>
      <c r="E2209" s="8">
        <v>0.33329999999999999</v>
      </c>
      <c r="F2209" s="8">
        <v>0.33329999999999999</v>
      </c>
      <c r="G2209" s="8">
        <v>0.33329999999999999</v>
      </c>
    </row>
    <row r="2211" spans="1:9" ht="72" x14ac:dyDescent="0.3">
      <c r="A2211" s="22" t="s">
        <v>572</v>
      </c>
    </row>
    <row r="2212" spans="1:9" x14ac:dyDescent="0.3">
      <c r="A2212" s="22" t="s">
        <v>66</v>
      </c>
      <c r="B2212" t="s">
        <v>62</v>
      </c>
      <c r="C2212" t="s">
        <v>57</v>
      </c>
      <c r="D2212" t="s">
        <v>63</v>
      </c>
      <c r="E2212">
        <v>1</v>
      </c>
      <c r="F2212">
        <v>2</v>
      </c>
      <c r="G2212">
        <v>3</v>
      </c>
      <c r="H2212">
        <v>4</v>
      </c>
      <c r="I2212">
        <v>5</v>
      </c>
    </row>
    <row r="2213" spans="1:9" x14ac:dyDescent="0.3">
      <c r="A2213" s="22" t="s">
        <v>67</v>
      </c>
      <c r="B2213">
        <v>40</v>
      </c>
      <c r="C2213" t="s">
        <v>64</v>
      </c>
      <c r="D2213">
        <v>40</v>
      </c>
      <c r="E2213" s="8">
        <v>0.42499999999999999</v>
      </c>
      <c r="F2213" s="8">
        <v>0.32500000000000001</v>
      </c>
      <c r="G2213" s="8">
        <v>0.17499999999999999</v>
      </c>
      <c r="H2213" s="8">
        <v>0.05</v>
      </c>
      <c r="I2213" s="8">
        <v>2.5000000000000001E-2</v>
      </c>
    </row>
    <row r="2215" spans="1:9" ht="57.6" x14ac:dyDescent="0.3">
      <c r="A2215" s="22" t="s">
        <v>573</v>
      </c>
    </row>
    <row r="2216" spans="1:9" x14ac:dyDescent="0.3">
      <c r="A2216" s="22" t="s">
        <v>66</v>
      </c>
      <c r="B2216" t="s">
        <v>62</v>
      </c>
      <c r="C2216" t="s">
        <v>57</v>
      </c>
      <c r="D2216" t="s">
        <v>63</v>
      </c>
      <c r="E2216">
        <v>1</v>
      </c>
      <c r="F2216">
        <v>2</v>
      </c>
      <c r="G2216">
        <v>3</v>
      </c>
      <c r="H2216">
        <v>4</v>
      </c>
      <c r="I2216">
        <v>5</v>
      </c>
    </row>
    <row r="2217" spans="1:9" x14ac:dyDescent="0.3">
      <c r="A2217" s="22" t="s">
        <v>67</v>
      </c>
      <c r="B2217">
        <v>26</v>
      </c>
      <c r="C2217" t="s">
        <v>64</v>
      </c>
      <c r="D2217">
        <v>40</v>
      </c>
      <c r="E2217" s="8">
        <v>0.46150000000000002</v>
      </c>
      <c r="F2217" s="8">
        <v>0.26919999999999999</v>
      </c>
      <c r="G2217" s="8">
        <v>0.1923</v>
      </c>
      <c r="H2217" s="8">
        <v>3.85E-2</v>
      </c>
      <c r="I2217" s="8">
        <v>3.85E-2</v>
      </c>
    </row>
    <row r="2218" spans="1:9" x14ac:dyDescent="0.3">
      <c r="A2218" s="22" t="s">
        <v>68</v>
      </c>
      <c r="B2218">
        <v>14</v>
      </c>
      <c r="C2218" t="s">
        <v>64</v>
      </c>
      <c r="D2218">
        <v>40</v>
      </c>
      <c r="E2218" s="8">
        <v>0.35709999999999997</v>
      </c>
      <c r="F2218" s="8">
        <v>0.42859999999999998</v>
      </c>
      <c r="G2218" s="8">
        <v>0.1429</v>
      </c>
      <c r="H2218" s="8">
        <v>7.1400000000000005E-2</v>
      </c>
    </row>
    <row r="2220" spans="1:9" ht="72" x14ac:dyDescent="0.3">
      <c r="A2220" s="22" t="s">
        <v>574</v>
      </c>
    </row>
    <row r="2221" spans="1:9" x14ac:dyDescent="0.3">
      <c r="A2221" s="22" t="s">
        <v>66</v>
      </c>
      <c r="B2221" t="s">
        <v>62</v>
      </c>
      <c r="C2221" t="s">
        <v>57</v>
      </c>
      <c r="D2221" t="s">
        <v>63</v>
      </c>
      <c r="E2221">
        <v>1</v>
      </c>
      <c r="F2221">
        <v>2</v>
      </c>
      <c r="G2221">
        <v>3</v>
      </c>
      <c r="H2221">
        <v>4</v>
      </c>
      <c r="I2221">
        <v>5</v>
      </c>
    </row>
    <row r="2222" spans="1:9" x14ac:dyDescent="0.3">
      <c r="A2222" s="22" t="s">
        <v>67</v>
      </c>
      <c r="B2222">
        <v>35</v>
      </c>
      <c r="C2222" t="s">
        <v>64</v>
      </c>
      <c r="D2222">
        <v>40</v>
      </c>
      <c r="E2222" s="8">
        <v>0.4</v>
      </c>
      <c r="F2222" s="8">
        <v>0.34289999999999998</v>
      </c>
      <c r="G2222" s="8">
        <v>0.1714</v>
      </c>
      <c r="H2222" s="8">
        <v>5.7099999999999998E-2</v>
      </c>
      <c r="I2222" s="8">
        <v>2.86E-2</v>
      </c>
    </row>
    <row r="2223" spans="1:9" x14ac:dyDescent="0.3">
      <c r="A2223" s="22" t="s">
        <v>68</v>
      </c>
      <c r="B2223">
        <v>5</v>
      </c>
      <c r="C2223" t="s">
        <v>64</v>
      </c>
      <c r="D2223">
        <v>40</v>
      </c>
      <c r="E2223" s="8">
        <v>0.6</v>
      </c>
      <c r="F2223" s="8">
        <v>0.2</v>
      </c>
      <c r="G2223" s="8">
        <v>0.2</v>
      </c>
    </row>
    <row r="2225" spans="1:9" ht="57.6" x14ac:dyDescent="0.3">
      <c r="A2225" s="27" t="s">
        <v>575</v>
      </c>
    </row>
    <row r="2226" spans="1:9" x14ac:dyDescent="0.3">
      <c r="A2226" s="22" t="s">
        <v>66</v>
      </c>
      <c r="B2226" t="s">
        <v>62</v>
      </c>
      <c r="C2226" t="s">
        <v>57</v>
      </c>
      <c r="D2226" t="s">
        <v>63</v>
      </c>
      <c r="E2226">
        <v>1</v>
      </c>
      <c r="F2226">
        <v>2</v>
      </c>
      <c r="G2226">
        <v>3</v>
      </c>
      <c r="H2226">
        <v>4</v>
      </c>
      <c r="I2226">
        <v>5</v>
      </c>
    </row>
    <row r="2227" spans="1:9" x14ac:dyDescent="0.3">
      <c r="A2227" s="22" t="s">
        <v>81</v>
      </c>
      <c r="B2227">
        <v>9</v>
      </c>
      <c r="C2227" t="s">
        <v>64</v>
      </c>
      <c r="D2227">
        <v>40</v>
      </c>
      <c r="E2227" s="8">
        <v>0.44440000000000002</v>
      </c>
      <c r="F2227" s="8">
        <v>0.33329999999999999</v>
      </c>
      <c r="G2227" s="8">
        <v>0.1111</v>
      </c>
      <c r="I2227" s="8">
        <v>0.1111</v>
      </c>
    </row>
    <row r="2228" spans="1:9" x14ac:dyDescent="0.3">
      <c r="A2228" s="22" t="s">
        <v>82</v>
      </c>
      <c r="B2228">
        <v>7</v>
      </c>
      <c r="C2228" t="s">
        <v>64</v>
      </c>
      <c r="D2228">
        <v>40</v>
      </c>
      <c r="E2228" s="8">
        <v>0.71430000000000005</v>
      </c>
      <c r="G2228" s="8">
        <v>0.28570000000000001</v>
      </c>
    </row>
    <row r="2229" spans="1:9" x14ac:dyDescent="0.3">
      <c r="A2229" s="22" t="s">
        <v>83</v>
      </c>
      <c r="B2229">
        <v>12</v>
      </c>
      <c r="C2229" t="s">
        <v>64</v>
      </c>
      <c r="D2229">
        <v>40</v>
      </c>
      <c r="E2229" s="8">
        <v>0.25</v>
      </c>
      <c r="F2229" s="8">
        <v>0.58330000000000004</v>
      </c>
      <c r="G2229" s="8">
        <v>8.3299999999999999E-2</v>
      </c>
      <c r="H2229" s="8">
        <v>8.3299999999999999E-2</v>
      </c>
    </row>
    <row r="2230" spans="1:9" x14ac:dyDescent="0.3">
      <c r="A2230" s="22" t="s">
        <v>84</v>
      </c>
      <c r="B2230">
        <v>12</v>
      </c>
      <c r="C2230" t="s">
        <v>64</v>
      </c>
      <c r="D2230">
        <v>40</v>
      </c>
      <c r="E2230" s="8">
        <v>0.41670000000000001</v>
      </c>
      <c r="F2230" s="8">
        <v>0.25</v>
      </c>
      <c r="G2230" s="8">
        <v>0.25</v>
      </c>
      <c r="H2230" s="8">
        <v>8.3299999999999999E-2</v>
      </c>
    </row>
    <row r="2232" spans="1:9" ht="43.2" x14ac:dyDescent="0.3">
      <c r="A2232" s="27" t="s">
        <v>576</v>
      </c>
    </row>
    <row r="2233" spans="1:9" x14ac:dyDescent="0.3">
      <c r="A2233" s="22" t="s">
        <v>62</v>
      </c>
      <c r="B2233" t="s">
        <v>57</v>
      </c>
      <c r="C2233" t="s">
        <v>63</v>
      </c>
      <c r="D2233">
        <v>1</v>
      </c>
      <c r="E2233">
        <v>2</v>
      </c>
      <c r="F2233">
        <v>3</v>
      </c>
      <c r="G2233">
        <v>4</v>
      </c>
      <c r="H2233">
        <v>5</v>
      </c>
    </row>
    <row r="2234" spans="1:9" x14ac:dyDescent="0.3">
      <c r="A2234" s="22">
        <v>70</v>
      </c>
      <c r="B2234" t="s">
        <v>64</v>
      </c>
      <c r="C2234">
        <v>70</v>
      </c>
      <c r="D2234" s="8">
        <v>0.4143</v>
      </c>
      <c r="E2234" s="8">
        <v>0.31430000000000002</v>
      </c>
      <c r="F2234" s="8">
        <v>0.12859999999999999</v>
      </c>
      <c r="G2234" s="8">
        <v>0.12859999999999999</v>
      </c>
      <c r="H2234" s="8">
        <v>1.43E-2</v>
      </c>
    </row>
    <row r="2236" spans="1:9" ht="72" x14ac:dyDescent="0.3">
      <c r="A2236" s="22" t="s">
        <v>577</v>
      </c>
    </row>
    <row r="2237" spans="1:9" x14ac:dyDescent="0.3">
      <c r="A2237" s="22" t="s">
        <v>66</v>
      </c>
      <c r="B2237" t="s">
        <v>62</v>
      </c>
      <c r="C2237" t="s">
        <v>57</v>
      </c>
      <c r="D2237" t="s">
        <v>63</v>
      </c>
      <c r="E2237">
        <v>1</v>
      </c>
      <c r="F2237">
        <v>2</v>
      </c>
      <c r="G2237">
        <v>3</v>
      </c>
      <c r="H2237">
        <v>4</v>
      </c>
      <c r="I2237">
        <v>5</v>
      </c>
    </row>
    <row r="2238" spans="1:9" x14ac:dyDescent="0.3">
      <c r="A2238" s="22" t="s">
        <v>67</v>
      </c>
      <c r="B2238">
        <v>64</v>
      </c>
      <c r="C2238" t="s">
        <v>64</v>
      </c>
      <c r="D2238">
        <v>70</v>
      </c>
      <c r="E2238" s="8">
        <v>0.4219</v>
      </c>
      <c r="F2238" s="8">
        <v>0.3281</v>
      </c>
      <c r="G2238" s="8">
        <v>0.1094</v>
      </c>
      <c r="H2238" s="8">
        <v>0.125</v>
      </c>
      <c r="I2238" s="8">
        <v>1.5599999999999999E-2</v>
      </c>
    </row>
    <row r="2239" spans="1:9" x14ac:dyDescent="0.3">
      <c r="A2239" s="22" t="s">
        <v>68</v>
      </c>
      <c r="B2239">
        <v>6</v>
      </c>
      <c r="C2239" t="s">
        <v>64</v>
      </c>
      <c r="D2239">
        <v>70</v>
      </c>
      <c r="E2239" s="8">
        <v>0.33329999999999999</v>
      </c>
      <c r="F2239" s="8">
        <v>0.16669999999999999</v>
      </c>
      <c r="G2239" s="8">
        <v>0.33329999999999999</v>
      </c>
      <c r="H2239" s="8">
        <v>0.16669999999999999</v>
      </c>
    </row>
    <row r="2241" spans="1:9" x14ac:dyDescent="0.3">
      <c r="A2241"/>
    </row>
    <row r="2242" spans="1:9" x14ac:dyDescent="0.3">
      <c r="A2242"/>
    </row>
    <row r="2243" spans="1:9" x14ac:dyDescent="0.3">
      <c r="A2243"/>
    </row>
    <row r="2245" spans="1:9" ht="72" x14ac:dyDescent="0.3">
      <c r="A2245" s="22" t="s">
        <v>578</v>
      </c>
    </row>
    <row r="2246" spans="1:9" x14ac:dyDescent="0.3">
      <c r="A2246" s="22" t="s">
        <v>66</v>
      </c>
      <c r="B2246" t="s">
        <v>62</v>
      </c>
      <c r="C2246" t="s">
        <v>57</v>
      </c>
      <c r="D2246" t="s">
        <v>63</v>
      </c>
      <c r="E2246">
        <v>1</v>
      </c>
      <c r="F2246">
        <v>2</v>
      </c>
      <c r="G2246">
        <v>3</v>
      </c>
      <c r="H2246">
        <v>4</v>
      </c>
      <c r="I2246">
        <v>5</v>
      </c>
    </row>
    <row r="2247" spans="1:9" x14ac:dyDescent="0.3">
      <c r="A2247" s="22" t="s">
        <v>67</v>
      </c>
      <c r="B2247">
        <v>68</v>
      </c>
      <c r="C2247" t="s">
        <v>64</v>
      </c>
      <c r="D2247">
        <v>70</v>
      </c>
      <c r="E2247" s="8">
        <v>0.4118</v>
      </c>
      <c r="F2247" s="8">
        <v>0.32350000000000001</v>
      </c>
      <c r="G2247" s="8">
        <v>0.13239999999999999</v>
      </c>
      <c r="H2247" s="8">
        <v>0.1176</v>
      </c>
      <c r="I2247" s="8">
        <v>1.47E-2</v>
      </c>
    </row>
    <row r="2248" spans="1:9" x14ac:dyDescent="0.3">
      <c r="A2248" s="22" t="s">
        <v>68</v>
      </c>
      <c r="B2248">
        <v>2</v>
      </c>
      <c r="C2248" t="s">
        <v>64</v>
      </c>
      <c r="D2248">
        <v>70</v>
      </c>
      <c r="E2248" s="8">
        <v>0.5</v>
      </c>
      <c r="H2248" s="8">
        <v>0.5</v>
      </c>
    </row>
    <row r="2250" spans="1:9" ht="57.6" x14ac:dyDescent="0.3">
      <c r="A2250" s="22" t="s">
        <v>579</v>
      </c>
    </row>
    <row r="2251" spans="1:9" x14ac:dyDescent="0.3">
      <c r="A2251" s="22" t="s">
        <v>66</v>
      </c>
      <c r="B2251" t="s">
        <v>62</v>
      </c>
      <c r="C2251" t="s">
        <v>57</v>
      </c>
      <c r="D2251" t="s">
        <v>63</v>
      </c>
      <c r="E2251">
        <v>1</v>
      </c>
      <c r="F2251">
        <v>2</v>
      </c>
      <c r="G2251">
        <v>3</v>
      </c>
      <c r="H2251">
        <v>4</v>
      </c>
      <c r="I2251">
        <v>5</v>
      </c>
    </row>
    <row r="2252" spans="1:9" x14ac:dyDescent="0.3">
      <c r="A2252" s="22" t="s">
        <v>67</v>
      </c>
      <c r="B2252">
        <v>69</v>
      </c>
      <c r="C2252" t="s">
        <v>64</v>
      </c>
      <c r="D2252">
        <v>70</v>
      </c>
      <c r="E2252" s="8">
        <v>0.42030000000000001</v>
      </c>
      <c r="F2252" s="8">
        <v>0.30430000000000001</v>
      </c>
      <c r="G2252" s="8">
        <v>0.13039999999999999</v>
      </c>
      <c r="H2252" s="8">
        <v>0.13039999999999999</v>
      </c>
      <c r="I2252" s="8">
        <v>1.4500000000000001E-2</v>
      </c>
    </row>
    <row r="2253" spans="1:9" x14ac:dyDescent="0.3">
      <c r="A2253" s="22" t="s">
        <v>68</v>
      </c>
      <c r="B2253">
        <v>1</v>
      </c>
      <c r="C2253" t="s">
        <v>64</v>
      </c>
      <c r="D2253">
        <v>70</v>
      </c>
      <c r="F2253" s="8">
        <v>1</v>
      </c>
    </row>
    <row r="2255" spans="1:9" ht="72" x14ac:dyDescent="0.3">
      <c r="A2255" s="22" t="s">
        <v>580</v>
      </c>
    </row>
    <row r="2256" spans="1:9" x14ac:dyDescent="0.3">
      <c r="A2256" s="22" t="s">
        <v>66</v>
      </c>
      <c r="B2256" t="s">
        <v>62</v>
      </c>
      <c r="C2256" t="s">
        <v>57</v>
      </c>
      <c r="D2256" t="s">
        <v>63</v>
      </c>
      <c r="E2256">
        <v>1</v>
      </c>
      <c r="F2256">
        <v>2</v>
      </c>
      <c r="G2256">
        <v>3</v>
      </c>
      <c r="H2256">
        <v>4</v>
      </c>
      <c r="I2256">
        <v>5</v>
      </c>
    </row>
    <row r="2257" spans="1:9" x14ac:dyDescent="0.3">
      <c r="A2257" s="22" t="s">
        <v>67</v>
      </c>
      <c r="B2257">
        <v>64</v>
      </c>
      <c r="C2257" t="s">
        <v>64</v>
      </c>
      <c r="D2257">
        <v>70</v>
      </c>
      <c r="E2257" s="8">
        <v>0.40620000000000001</v>
      </c>
      <c r="F2257" s="8">
        <v>0.3125</v>
      </c>
      <c r="G2257" s="8">
        <v>0.1406</v>
      </c>
      <c r="H2257" s="8">
        <v>0.125</v>
      </c>
      <c r="I2257" s="8">
        <v>1.5599999999999999E-2</v>
      </c>
    </row>
    <row r="2258" spans="1:9" x14ac:dyDescent="0.3">
      <c r="A2258" s="22" t="s">
        <v>68</v>
      </c>
      <c r="B2258">
        <v>6</v>
      </c>
      <c r="C2258" t="s">
        <v>64</v>
      </c>
      <c r="D2258">
        <v>70</v>
      </c>
      <c r="E2258" s="8">
        <v>0.5</v>
      </c>
      <c r="F2258" s="8">
        <v>0.33329999999999999</v>
      </c>
      <c r="H2258" s="8">
        <v>0.16669999999999999</v>
      </c>
    </row>
    <row r="2260" spans="1:9" ht="72" x14ac:dyDescent="0.3">
      <c r="A2260" s="22" t="s">
        <v>581</v>
      </c>
    </row>
    <row r="2261" spans="1:9" x14ac:dyDescent="0.3">
      <c r="A2261" s="22" t="s">
        <v>66</v>
      </c>
      <c r="B2261" t="s">
        <v>62</v>
      </c>
      <c r="C2261" t="s">
        <v>57</v>
      </c>
      <c r="D2261" t="s">
        <v>63</v>
      </c>
      <c r="E2261">
        <v>1</v>
      </c>
      <c r="F2261">
        <v>2</v>
      </c>
      <c r="G2261">
        <v>3</v>
      </c>
      <c r="H2261">
        <v>4</v>
      </c>
      <c r="I2261">
        <v>5</v>
      </c>
    </row>
    <row r="2262" spans="1:9" x14ac:dyDescent="0.3">
      <c r="A2262" s="22" t="s">
        <v>67</v>
      </c>
      <c r="B2262">
        <v>3</v>
      </c>
      <c r="C2262" t="s">
        <v>64</v>
      </c>
      <c r="D2262">
        <v>70</v>
      </c>
      <c r="E2262" s="8">
        <v>0.33329999999999999</v>
      </c>
      <c r="G2262" s="8">
        <v>0.33329999999999999</v>
      </c>
      <c r="H2262" s="8">
        <v>0.33329999999999999</v>
      </c>
    </row>
    <row r="2263" spans="1:9" x14ac:dyDescent="0.3">
      <c r="A2263" s="22" t="s">
        <v>68</v>
      </c>
      <c r="B2263">
        <v>67</v>
      </c>
      <c r="C2263" t="s">
        <v>64</v>
      </c>
      <c r="D2263">
        <v>70</v>
      </c>
      <c r="E2263" s="8">
        <v>0.41789999999999999</v>
      </c>
      <c r="F2263" s="8">
        <v>0.32840000000000003</v>
      </c>
      <c r="G2263" s="8">
        <v>0.11940000000000001</v>
      </c>
      <c r="H2263" s="8">
        <v>0.11940000000000001</v>
      </c>
      <c r="I2263" s="8">
        <v>1.49E-2</v>
      </c>
    </row>
    <row r="2265" spans="1:9" ht="72" x14ac:dyDescent="0.3">
      <c r="A2265" s="22" t="s">
        <v>582</v>
      </c>
    </row>
    <row r="2266" spans="1:9" x14ac:dyDescent="0.3">
      <c r="A2266" s="22" t="s">
        <v>66</v>
      </c>
      <c r="B2266" t="s">
        <v>62</v>
      </c>
      <c r="C2266" t="s">
        <v>57</v>
      </c>
      <c r="D2266" t="s">
        <v>63</v>
      </c>
      <c r="E2266">
        <v>1</v>
      </c>
      <c r="F2266">
        <v>2</v>
      </c>
      <c r="G2266">
        <v>3</v>
      </c>
      <c r="H2266">
        <v>4</v>
      </c>
      <c r="I2266">
        <v>5</v>
      </c>
    </row>
    <row r="2267" spans="1:9" x14ac:dyDescent="0.3">
      <c r="A2267" s="22" t="s">
        <v>67</v>
      </c>
      <c r="B2267">
        <v>57</v>
      </c>
      <c r="C2267" t="s">
        <v>64</v>
      </c>
      <c r="D2267">
        <v>70</v>
      </c>
      <c r="E2267" s="8">
        <v>0.35089999999999999</v>
      </c>
      <c r="F2267" s="8">
        <v>0.33329999999999999</v>
      </c>
      <c r="G2267" s="8">
        <v>0.15790000000000001</v>
      </c>
      <c r="H2267" s="8">
        <v>0.1404</v>
      </c>
      <c r="I2267" s="8">
        <v>1.7500000000000002E-2</v>
      </c>
    </row>
    <row r="2268" spans="1:9" x14ac:dyDescent="0.3">
      <c r="A2268" s="22" t="s">
        <v>68</v>
      </c>
      <c r="B2268">
        <v>13</v>
      </c>
      <c r="C2268" t="s">
        <v>64</v>
      </c>
      <c r="D2268">
        <v>70</v>
      </c>
      <c r="E2268" s="8">
        <v>0.69230000000000003</v>
      </c>
      <c r="F2268" s="8">
        <v>0.23080000000000001</v>
      </c>
      <c r="H2268" s="8">
        <v>7.6899999999999996E-2</v>
      </c>
    </row>
    <row r="2270" spans="1:9" ht="57.6" x14ac:dyDescent="0.3">
      <c r="A2270" s="22" t="s">
        <v>583</v>
      </c>
    </row>
    <row r="2271" spans="1:9" x14ac:dyDescent="0.3">
      <c r="A2271" s="22" t="s">
        <v>66</v>
      </c>
      <c r="B2271" t="s">
        <v>62</v>
      </c>
      <c r="C2271" t="s">
        <v>57</v>
      </c>
      <c r="D2271" t="s">
        <v>63</v>
      </c>
      <c r="E2271">
        <v>1</v>
      </c>
      <c r="F2271">
        <v>2</v>
      </c>
      <c r="G2271">
        <v>3</v>
      </c>
      <c r="H2271">
        <v>4</v>
      </c>
      <c r="I2271">
        <v>5</v>
      </c>
    </row>
    <row r="2272" spans="1:9" x14ac:dyDescent="0.3">
      <c r="A2272" s="22" t="s">
        <v>67</v>
      </c>
      <c r="B2272">
        <v>52</v>
      </c>
      <c r="C2272" t="s">
        <v>64</v>
      </c>
      <c r="D2272">
        <v>70</v>
      </c>
      <c r="E2272" s="8">
        <v>0.3654</v>
      </c>
      <c r="F2272" s="8">
        <v>0.34620000000000001</v>
      </c>
      <c r="G2272" s="8">
        <v>0.1154</v>
      </c>
      <c r="H2272" s="8">
        <v>0.15379999999999999</v>
      </c>
      <c r="I2272" s="8">
        <v>1.9199999999999998E-2</v>
      </c>
    </row>
    <row r="2273" spans="1:9" x14ac:dyDescent="0.3">
      <c r="A2273" s="22" t="s">
        <v>68</v>
      </c>
      <c r="B2273">
        <v>18</v>
      </c>
      <c r="C2273" t="s">
        <v>64</v>
      </c>
      <c r="D2273">
        <v>70</v>
      </c>
      <c r="E2273" s="8">
        <v>0.55559999999999998</v>
      </c>
      <c r="F2273" s="8">
        <v>0.22220000000000001</v>
      </c>
      <c r="G2273" s="8">
        <v>0.16669999999999999</v>
      </c>
      <c r="H2273" s="8">
        <v>5.5599999999999997E-2</v>
      </c>
    </row>
    <row r="2275" spans="1:9" ht="72" x14ac:dyDescent="0.3">
      <c r="A2275" s="22" t="s">
        <v>584</v>
      </c>
    </row>
    <row r="2276" spans="1:9" x14ac:dyDescent="0.3">
      <c r="A2276" s="22" t="s">
        <v>66</v>
      </c>
      <c r="B2276" t="s">
        <v>62</v>
      </c>
      <c r="C2276" t="s">
        <v>57</v>
      </c>
      <c r="D2276" t="s">
        <v>63</v>
      </c>
      <c r="E2276">
        <v>1</v>
      </c>
      <c r="F2276">
        <v>2</v>
      </c>
      <c r="G2276">
        <v>3</v>
      </c>
      <c r="H2276">
        <v>4</v>
      </c>
      <c r="I2276">
        <v>5</v>
      </c>
    </row>
    <row r="2277" spans="1:9" x14ac:dyDescent="0.3">
      <c r="A2277" s="22" t="s">
        <v>67</v>
      </c>
      <c r="B2277">
        <v>50</v>
      </c>
      <c r="C2277" t="s">
        <v>64</v>
      </c>
      <c r="D2277">
        <v>70</v>
      </c>
      <c r="E2277" s="8">
        <v>0.4</v>
      </c>
      <c r="F2277" s="8">
        <v>0.3</v>
      </c>
      <c r="G2277" s="8">
        <v>0.12</v>
      </c>
      <c r="H2277" s="8">
        <v>0.16</v>
      </c>
      <c r="I2277" s="8">
        <v>0.02</v>
      </c>
    </row>
    <row r="2278" spans="1:9" x14ac:dyDescent="0.3">
      <c r="A2278" s="22" t="s">
        <v>68</v>
      </c>
      <c r="B2278">
        <v>20</v>
      </c>
      <c r="C2278" t="s">
        <v>64</v>
      </c>
      <c r="D2278">
        <v>70</v>
      </c>
      <c r="E2278" s="8">
        <v>0.45</v>
      </c>
      <c r="F2278" s="8">
        <v>0.35</v>
      </c>
      <c r="G2278" s="8">
        <v>0.15</v>
      </c>
      <c r="H2278" s="8">
        <v>0.05</v>
      </c>
    </row>
    <row r="2280" spans="1:9" ht="72" x14ac:dyDescent="0.3">
      <c r="A2280" s="22" t="s">
        <v>585</v>
      </c>
    </row>
    <row r="2281" spans="1:9" x14ac:dyDescent="0.3">
      <c r="A2281" s="22" t="s">
        <v>66</v>
      </c>
      <c r="B2281" t="s">
        <v>62</v>
      </c>
      <c r="C2281" t="s">
        <v>57</v>
      </c>
      <c r="D2281" t="s">
        <v>63</v>
      </c>
      <c r="E2281">
        <v>1</v>
      </c>
      <c r="F2281">
        <v>2</v>
      </c>
      <c r="G2281">
        <v>3</v>
      </c>
      <c r="H2281">
        <v>4</v>
      </c>
      <c r="I2281">
        <v>5</v>
      </c>
    </row>
    <row r="2282" spans="1:9" x14ac:dyDescent="0.3">
      <c r="A2282" s="22" t="s">
        <v>67</v>
      </c>
      <c r="B2282">
        <v>63</v>
      </c>
      <c r="C2282" t="s">
        <v>64</v>
      </c>
      <c r="D2282">
        <v>70</v>
      </c>
      <c r="E2282" s="8">
        <v>0.39679999999999999</v>
      </c>
      <c r="F2282" s="8">
        <v>0.34920000000000001</v>
      </c>
      <c r="G2282" s="8">
        <v>0.1429</v>
      </c>
      <c r="H2282" s="8">
        <v>9.5200000000000007E-2</v>
      </c>
      <c r="I2282" s="8">
        <v>1.5900000000000001E-2</v>
      </c>
    </row>
    <row r="2283" spans="1:9" x14ac:dyDescent="0.3">
      <c r="A2283" s="22" t="s">
        <v>68</v>
      </c>
      <c r="B2283">
        <v>7</v>
      </c>
      <c r="C2283" t="s">
        <v>64</v>
      </c>
      <c r="D2283">
        <v>70</v>
      </c>
      <c r="E2283" s="8">
        <v>0.57140000000000002</v>
      </c>
      <c r="H2283" s="8">
        <v>0.42859999999999998</v>
      </c>
    </row>
    <row r="2285" spans="1:9" ht="72" x14ac:dyDescent="0.3">
      <c r="A2285" s="22" t="s">
        <v>586</v>
      </c>
    </row>
    <row r="2286" spans="1:9" x14ac:dyDescent="0.3">
      <c r="A2286" s="22" t="s">
        <v>66</v>
      </c>
      <c r="B2286" t="s">
        <v>62</v>
      </c>
      <c r="C2286" t="s">
        <v>57</v>
      </c>
      <c r="D2286" t="s">
        <v>63</v>
      </c>
      <c r="E2286">
        <v>1</v>
      </c>
      <c r="F2286">
        <v>2</v>
      </c>
      <c r="G2286">
        <v>3</v>
      </c>
      <c r="H2286">
        <v>4</v>
      </c>
      <c r="I2286">
        <v>5</v>
      </c>
    </row>
    <row r="2287" spans="1:9" x14ac:dyDescent="0.3">
      <c r="A2287" s="22" t="s">
        <v>67</v>
      </c>
      <c r="B2287">
        <v>70</v>
      </c>
      <c r="C2287" t="s">
        <v>64</v>
      </c>
      <c r="D2287">
        <v>70</v>
      </c>
      <c r="E2287" s="8">
        <v>0.4143</v>
      </c>
      <c r="F2287" s="8">
        <v>0.31430000000000002</v>
      </c>
      <c r="G2287" s="8">
        <v>0.12859999999999999</v>
      </c>
      <c r="H2287" s="8">
        <v>0.12859999999999999</v>
      </c>
      <c r="I2287" s="8">
        <v>1.43E-2</v>
      </c>
    </row>
    <row r="2289" spans="1:9" ht="57.6" x14ac:dyDescent="0.3">
      <c r="A2289" s="22" t="s">
        <v>587</v>
      </c>
    </row>
    <row r="2290" spans="1:9" x14ac:dyDescent="0.3">
      <c r="A2290" s="22" t="s">
        <v>66</v>
      </c>
      <c r="B2290" t="s">
        <v>62</v>
      </c>
      <c r="C2290" t="s">
        <v>57</v>
      </c>
      <c r="D2290" t="s">
        <v>63</v>
      </c>
      <c r="E2290">
        <v>1</v>
      </c>
      <c r="F2290">
        <v>2</v>
      </c>
      <c r="G2290">
        <v>3</v>
      </c>
      <c r="H2290">
        <v>4</v>
      </c>
      <c r="I2290">
        <v>5</v>
      </c>
    </row>
    <row r="2291" spans="1:9" x14ac:dyDescent="0.3">
      <c r="A2291" s="22" t="s">
        <v>67</v>
      </c>
      <c r="B2291">
        <v>45</v>
      </c>
      <c r="C2291" t="s">
        <v>64</v>
      </c>
      <c r="D2291">
        <v>70</v>
      </c>
      <c r="E2291" s="8">
        <v>0.37780000000000002</v>
      </c>
      <c r="F2291" s="8">
        <v>0.35560000000000003</v>
      </c>
      <c r="G2291" s="8">
        <v>0.15559999999999999</v>
      </c>
      <c r="H2291" s="8">
        <v>0.1111</v>
      </c>
    </row>
    <row r="2292" spans="1:9" x14ac:dyDescent="0.3">
      <c r="A2292" s="22" t="s">
        <v>68</v>
      </c>
      <c r="B2292">
        <v>25</v>
      </c>
      <c r="C2292" t="s">
        <v>64</v>
      </c>
      <c r="D2292">
        <v>70</v>
      </c>
      <c r="E2292" s="8">
        <v>0.48</v>
      </c>
      <c r="F2292" s="8">
        <v>0.24</v>
      </c>
      <c r="G2292" s="8">
        <v>0.08</v>
      </c>
      <c r="H2292" s="8">
        <v>0.16</v>
      </c>
      <c r="I2292" s="8">
        <v>0.04</v>
      </c>
    </row>
    <row r="2294" spans="1:9" ht="72" x14ac:dyDescent="0.3">
      <c r="A2294" s="22" t="s">
        <v>588</v>
      </c>
    </row>
    <row r="2295" spans="1:9" x14ac:dyDescent="0.3">
      <c r="A2295" s="22" t="s">
        <v>66</v>
      </c>
      <c r="B2295" t="s">
        <v>62</v>
      </c>
      <c r="C2295" t="s">
        <v>57</v>
      </c>
      <c r="D2295" t="s">
        <v>63</v>
      </c>
      <c r="E2295">
        <v>1</v>
      </c>
      <c r="F2295">
        <v>2</v>
      </c>
      <c r="G2295">
        <v>3</v>
      </c>
      <c r="H2295">
        <v>4</v>
      </c>
      <c r="I2295">
        <v>5</v>
      </c>
    </row>
    <row r="2296" spans="1:9" x14ac:dyDescent="0.3">
      <c r="A2296" s="22" t="s">
        <v>67</v>
      </c>
      <c r="B2296">
        <v>63</v>
      </c>
      <c r="C2296" t="s">
        <v>64</v>
      </c>
      <c r="D2296">
        <v>70</v>
      </c>
      <c r="E2296" s="8">
        <v>0.41270000000000001</v>
      </c>
      <c r="F2296" s="8">
        <v>0.3175</v>
      </c>
      <c r="G2296" s="8">
        <v>0.127</v>
      </c>
      <c r="H2296" s="8">
        <v>0.127</v>
      </c>
      <c r="I2296" s="8">
        <v>1.5900000000000001E-2</v>
      </c>
    </row>
    <row r="2297" spans="1:9" x14ac:dyDescent="0.3">
      <c r="A2297" s="22" t="s">
        <v>68</v>
      </c>
      <c r="B2297">
        <v>7</v>
      </c>
      <c r="C2297" t="s">
        <v>64</v>
      </c>
      <c r="D2297">
        <v>70</v>
      </c>
      <c r="E2297" s="8">
        <v>0.42859999999999998</v>
      </c>
      <c r="F2297" s="8">
        <v>0.28570000000000001</v>
      </c>
      <c r="G2297" s="8">
        <v>0.1429</v>
      </c>
      <c r="H2297" s="8">
        <v>0.1429</v>
      </c>
    </row>
    <row r="2299" spans="1:9" ht="57.6" x14ac:dyDescent="0.3">
      <c r="A2299" s="27" t="s">
        <v>589</v>
      </c>
    </row>
    <row r="2300" spans="1:9" x14ac:dyDescent="0.3">
      <c r="A2300" s="22" t="s">
        <v>66</v>
      </c>
      <c r="B2300" t="s">
        <v>62</v>
      </c>
      <c r="C2300" t="s">
        <v>57</v>
      </c>
      <c r="D2300" t="s">
        <v>63</v>
      </c>
      <c r="E2300">
        <v>1</v>
      </c>
      <c r="F2300">
        <v>2</v>
      </c>
      <c r="G2300">
        <v>3</v>
      </c>
      <c r="H2300">
        <v>4</v>
      </c>
      <c r="I2300">
        <v>5</v>
      </c>
    </row>
    <row r="2301" spans="1:9" x14ac:dyDescent="0.3">
      <c r="A2301" s="22" t="s">
        <v>81</v>
      </c>
      <c r="B2301">
        <v>24</v>
      </c>
      <c r="C2301" t="s">
        <v>64</v>
      </c>
      <c r="D2301">
        <v>70</v>
      </c>
      <c r="E2301" s="8">
        <v>0.54169999999999996</v>
      </c>
      <c r="F2301" s="8">
        <v>0.29170000000000001</v>
      </c>
      <c r="G2301" s="8">
        <v>8.3299999999999999E-2</v>
      </c>
      <c r="H2301" s="8">
        <v>8.3299999999999999E-2</v>
      </c>
    </row>
    <row r="2302" spans="1:9" x14ac:dyDescent="0.3">
      <c r="A2302" s="22" t="s">
        <v>82</v>
      </c>
      <c r="B2302">
        <v>13</v>
      </c>
      <c r="C2302" t="s">
        <v>64</v>
      </c>
      <c r="D2302">
        <v>70</v>
      </c>
      <c r="E2302" s="8">
        <v>0.30769999999999997</v>
      </c>
      <c r="F2302" s="8">
        <v>0.3846</v>
      </c>
      <c r="G2302" s="8">
        <v>0.23080000000000001</v>
      </c>
      <c r="H2302" s="8">
        <v>7.6899999999999996E-2</v>
      </c>
    </row>
    <row r="2303" spans="1:9" x14ac:dyDescent="0.3">
      <c r="A2303" s="22" t="s">
        <v>83</v>
      </c>
      <c r="B2303">
        <v>15</v>
      </c>
      <c r="C2303" t="s">
        <v>64</v>
      </c>
      <c r="D2303">
        <v>70</v>
      </c>
      <c r="E2303" s="8">
        <v>0.4667</v>
      </c>
      <c r="F2303" s="8">
        <v>0.2</v>
      </c>
      <c r="G2303" s="8">
        <v>0.2</v>
      </c>
      <c r="H2303" s="8">
        <v>0.1333</v>
      </c>
    </row>
    <row r="2304" spans="1:9" x14ac:dyDescent="0.3">
      <c r="A2304" s="22" t="s">
        <v>84</v>
      </c>
      <c r="B2304">
        <v>18</v>
      </c>
      <c r="C2304" t="s">
        <v>64</v>
      </c>
      <c r="D2304">
        <v>70</v>
      </c>
      <c r="E2304" s="8">
        <v>0.27779999999999999</v>
      </c>
      <c r="F2304" s="8">
        <v>0.38890000000000002</v>
      </c>
      <c r="G2304" s="8">
        <v>5.5599999999999997E-2</v>
      </c>
      <c r="H2304" s="8">
        <v>0.22220000000000001</v>
      </c>
      <c r="I2304" s="8">
        <v>5.5599999999999997E-2</v>
      </c>
    </row>
    <row r="2306" spans="1:7" ht="57.6" x14ac:dyDescent="0.3">
      <c r="A2306" s="27" t="s">
        <v>590</v>
      </c>
    </row>
    <row r="2307" spans="1:7" x14ac:dyDescent="0.3">
      <c r="A2307" s="22" t="s">
        <v>62</v>
      </c>
      <c r="B2307" t="s">
        <v>57</v>
      </c>
      <c r="C2307" t="s">
        <v>63</v>
      </c>
      <c r="D2307">
        <v>1</v>
      </c>
      <c r="E2307">
        <v>2</v>
      </c>
      <c r="F2307">
        <v>3</v>
      </c>
    </row>
    <row r="2308" spans="1:7" x14ac:dyDescent="0.3">
      <c r="A2308" s="22">
        <v>20</v>
      </c>
      <c r="B2308" t="s">
        <v>64</v>
      </c>
      <c r="C2308">
        <v>20</v>
      </c>
      <c r="D2308" s="8">
        <v>0.55000000000000004</v>
      </c>
      <c r="E2308" s="8">
        <v>0.35</v>
      </c>
      <c r="F2308" s="8">
        <v>0.1</v>
      </c>
    </row>
    <row r="2310" spans="1:7" ht="72" x14ac:dyDescent="0.3">
      <c r="A2310" s="22" t="s">
        <v>591</v>
      </c>
    </row>
    <row r="2311" spans="1:7" x14ac:dyDescent="0.3">
      <c r="A2311" s="22" t="s">
        <v>66</v>
      </c>
      <c r="B2311" t="s">
        <v>62</v>
      </c>
      <c r="C2311" t="s">
        <v>57</v>
      </c>
      <c r="D2311" t="s">
        <v>63</v>
      </c>
      <c r="E2311">
        <v>1</v>
      </c>
      <c r="F2311">
        <v>2</v>
      </c>
      <c r="G2311">
        <v>3</v>
      </c>
    </row>
    <row r="2312" spans="1:7" x14ac:dyDescent="0.3">
      <c r="A2312" s="22" t="s">
        <v>67</v>
      </c>
      <c r="B2312">
        <v>19</v>
      </c>
      <c r="C2312" t="s">
        <v>64</v>
      </c>
      <c r="D2312">
        <v>20</v>
      </c>
      <c r="E2312" s="8">
        <v>0.52629999999999999</v>
      </c>
      <c r="F2312" s="8">
        <v>0.36840000000000001</v>
      </c>
      <c r="G2312" s="8">
        <v>0.1053</v>
      </c>
    </row>
    <row r="2313" spans="1:7" x14ac:dyDescent="0.3">
      <c r="A2313" s="22" t="s">
        <v>68</v>
      </c>
      <c r="B2313">
        <v>1</v>
      </c>
      <c r="C2313" t="s">
        <v>64</v>
      </c>
      <c r="D2313">
        <v>20</v>
      </c>
      <c r="E2313" s="8">
        <v>1</v>
      </c>
    </row>
    <row r="2315" spans="1:7" x14ac:dyDescent="0.3">
      <c r="A2315"/>
    </row>
    <row r="2316" spans="1:7" x14ac:dyDescent="0.3">
      <c r="A2316"/>
    </row>
    <row r="2317" spans="1:7" x14ac:dyDescent="0.3">
      <c r="A2317"/>
    </row>
    <row r="2319" spans="1:7" ht="72" x14ac:dyDescent="0.3">
      <c r="A2319" s="22" t="s">
        <v>592</v>
      </c>
    </row>
    <row r="2320" spans="1:7" x14ac:dyDescent="0.3">
      <c r="A2320" s="22" t="s">
        <v>66</v>
      </c>
      <c r="B2320" t="s">
        <v>62</v>
      </c>
      <c r="C2320" t="s">
        <v>57</v>
      </c>
      <c r="D2320" t="s">
        <v>63</v>
      </c>
      <c r="E2320">
        <v>1</v>
      </c>
      <c r="F2320">
        <v>2</v>
      </c>
      <c r="G2320">
        <v>3</v>
      </c>
    </row>
    <row r="2321" spans="1:7" x14ac:dyDescent="0.3">
      <c r="A2321" s="22" t="s">
        <v>67</v>
      </c>
      <c r="B2321">
        <v>17</v>
      </c>
      <c r="C2321" t="s">
        <v>64</v>
      </c>
      <c r="D2321">
        <v>20</v>
      </c>
      <c r="E2321" s="8">
        <v>0.64710000000000001</v>
      </c>
      <c r="F2321" s="8">
        <v>0.23530000000000001</v>
      </c>
      <c r="G2321" s="8">
        <v>0.1176</v>
      </c>
    </row>
    <row r="2322" spans="1:7" x14ac:dyDescent="0.3">
      <c r="A2322" s="22" t="s">
        <v>68</v>
      </c>
      <c r="B2322">
        <v>3</v>
      </c>
      <c r="C2322" t="s">
        <v>64</v>
      </c>
      <c r="D2322">
        <v>20</v>
      </c>
      <c r="F2322" s="8">
        <v>1</v>
      </c>
    </row>
    <row r="2324" spans="1:7" ht="72" x14ac:dyDescent="0.3">
      <c r="A2324" s="22" t="s">
        <v>593</v>
      </c>
    </row>
    <row r="2325" spans="1:7" x14ac:dyDescent="0.3">
      <c r="A2325" s="22" t="s">
        <v>66</v>
      </c>
      <c r="B2325" t="s">
        <v>62</v>
      </c>
      <c r="C2325" t="s">
        <v>57</v>
      </c>
      <c r="D2325" t="s">
        <v>63</v>
      </c>
      <c r="E2325">
        <v>1</v>
      </c>
      <c r="F2325">
        <v>2</v>
      </c>
      <c r="G2325">
        <v>3</v>
      </c>
    </row>
    <row r="2326" spans="1:7" x14ac:dyDescent="0.3">
      <c r="A2326" s="22" t="s">
        <v>67</v>
      </c>
      <c r="B2326">
        <v>20</v>
      </c>
      <c r="C2326" t="s">
        <v>64</v>
      </c>
      <c r="D2326">
        <v>20</v>
      </c>
      <c r="E2326" s="8">
        <v>0.55000000000000004</v>
      </c>
      <c r="F2326" s="8">
        <v>0.35</v>
      </c>
      <c r="G2326" s="8">
        <v>0.1</v>
      </c>
    </row>
    <row r="2328" spans="1:7" ht="72" x14ac:dyDescent="0.3">
      <c r="A2328" s="22" t="s">
        <v>594</v>
      </c>
    </row>
    <row r="2329" spans="1:7" x14ac:dyDescent="0.3">
      <c r="A2329" s="22" t="s">
        <v>66</v>
      </c>
      <c r="B2329" t="s">
        <v>62</v>
      </c>
      <c r="C2329" t="s">
        <v>57</v>
      </c>
      <c r="D2329" t="s">
        <v>63</v>
      </c>
      <c r="E2329">
        <v>1</v>
      </c>
      <c r="F2329">
        <v>2</v>
      </c>
      <c r="G2329">
        <v>3</v>
      </c>
    </row>
    <row r="2330" spans="1:7" x14ac:dyDescent="0.3">
      <c r="A2330" s="22" t="s">
        <v>67</v>
      </c>
      <c r="B2330">
        <v>18</v>
      </c>
      <c r="C2330" t="s">
        <v>64</v>
      </c>
      <c r="D2330">
        <v>20</v>
      </c>
      <c r="E2330" s="8">
        <v>0.61109999999999998</v>
      </c>
      <c r="F2330" s="8">
        <v>0.33329999999999999</v>
      </c>
      <c r="G2330" s="8">
        <v>5.5599999999999997E-2</v>
      </c>
    </row>
    <row r="2331" spans="1:7" x14ac:dyDescent="0.3">
      <c r="A2331" s="22" t="s">
        <v>68</v>
      </c>
      <c r="B2331">
        <v>2</v>
      </c>
      <c r="C2331" t="s">
        <v>64</v>
      </c>
      <c r="D2331">
        <v>20</v>
      </c>
      <c r="F2331" s="8">
        <v>0.5</v>
      </c>
      <c r="G2331" s="8">
        <v>0.5</v>
      </c>
    </row>
    <row r="2333" spans="1:7" ht="72" x14ac:dyDescent="0.3">
      <c r="A2333" s="22" t="s">
        <v>595</v>
      </c>
    </row>
    <row r="2334" spans="1:7" x14ac:dyDescent="0.3">
      <c r="A2334" s="22" t="s">
        <v>66</v>
      </c>
      <c r="B2334" t="s">
        <v>62</v>
      </c>
      <c r="C2334" t="s">
        <v>57</v>
      </c>
      <c r="D2334" t="s">
        <v>63</v>
      </c>
      <c r="E2334">
        <v>1</v>
      </c>
      <c r="F2334">
        <v>2</v>
      </c>
      <c r="G2334">
        <v>3</v>
      </c>
    </row>
    <row r="2335" spans="1:7" x14ac:dyDescent="0.3">
      <c r="A2335" s="22" t="s">
        <v>67</v>
      </c>
      <c r="B2335">
        <v>1</v>
      </c>
      <c r="C2335" t="s">
        <v>64</v>
      </c>
      <c r="D2335">
        <v>20</v>
      </c>
      <c r="F2335" s="8">
        <v>1</v>
      </c>
    </row>
    <row r="2336" spans="1:7" x14ac:dyDescent="0.3">
      <c r="A2336" s="22" t="s">
        <v>68</v>
      </c>
      <c r="B2336">
        <v>19</v>
      </c>
      <c r="C2336" t="s">
        <v>64</v>
      </c>
      <c r="D2336">
        <v>20</v>
      </c>
      <c r="E2336" s="8">
        <v>0.57889999999999997</v>
      </c>
      <c r="F2336" s="8">
        <v>0.31580000000000003</v>
      </c>
      <c r="G2336" s="8">
        <v>0.1053</v>
      </c>
    </row>
    <row r="2338" spans="1:7" ht="72" x14ac:dyDescent="0.3">
      <c r="A2338" s="22" t="s">
        <v>596</v>
      </c>
    </row>
    <row r="2339" spans="1:7" x14ac:dyDescent="0.3">
      <c r="A2339" s="22" t="s">
        <v>66</v>
      </c>
      <c r="B2339" t="s">
        <v>62</v>
      </c>
      <c r="C2339" t="s">
        <v>57</v>
      </c>
      <c r="D2339" t="s">
        <v>63</v>
      </c>
      <c r="E2339">
        <v>1</v>
      </c>
      <c r="F2339">
        <v>2</v>
      </c>
      <c r="G2339">
        <v>3</v>
      </c>
    </row>
    <row r="2340" spans="1:7" x14ac:dyDescent="0.3">
      <c r="A2340" s="22" t="s">
        <v>67</v>
      </c>
      <c r="B2340">
        <v>20</v>
      </c>
      <c r="C2340" t="s">
        <v>64</v>
      </c>
      <c r="D2340">
        <v>20</v>
      </c>
      <c r="E2340" s="8">
        <v>0.55000000000000004</v>
      </c>
      <c r="F2340" s="8">
        <v>0.35</v>
      </c>
      <c r="G2340" s="8">
        <v>0.1</v>
      </c>
    </row>
    <row r="2342" spans="1:7" ht="72" x14ac:dyDescent="0.3">
      <c r="A2342" s="22" t="s">
        <v>597</v>
      </c>
    </row>
    <row r="2343" spans="1:7" x14ac:dyDescent="0.3">
      <c r="A2343" s="22" t="s">
        <v>66</v>
      </c>
      <c r="B2343" t="s">
        <v>62</v>
      </c>
      <c r="C2343" t="s">
        <v>57</v>
      </c>
      <c r="D2343" t="s">
        <v>63</v>
      </c>
      <c r="E2343">
        <v>1</v>
      </c>
      <c r="F2343">
        <v>2</v>
      </c>
      <c r="G2343">
        <v>3</v>
      </c>
    </row>
    <row r="2344" spans="1:7" x14ac:dyDescent="0.3">
      <c r="A2344" s="22" t="s">
        <v>67</v>
      </c>
      <c r="B2344">
        <v>18</v>
      </c>
      <c r="C2344" t="s">
        <v>64</v>
      </c>
      <c r="D2344">
        <v>20</v>
      </c>
      <c r="E2344" s="8">
        <v>0.5</v>
      </c>
      <c r="F2344" s="8">
        <v>0.38890000000000002</v>
      </c>
      <c r="G2344" s="8">
        <v>0.1111</v>
      </c>
    </row>
    <row r="2345" spans="1:7" x14ac:dyDescent="0.3">
      <c r="A2345" s="22" t="s">
        <v>68</v>
      </c>
      <c r="B2345">
        <v>2</v>
      </c>
      <c r="C2345" t="s">
        <v>64</v>
      </c>
      <c r="D2345">
        <v>20</v>
      </c>
      <c r="E2345" s="8">
        <v>1</v>
      </c>
    </row>
    <row r="2347" spans="1:7" ht="72" x14ac:dyDescent="0.3">
      <c r="A2347" s="22" t="s">
        <v>598</v>
      </c>
    </row>
    <row r="2348" spans="1:7" x14ac:dyDescent="0.3">
      <c r="A2348" s="22" t="s">
        <v>66</v>
      </c>
      <c r="B2348" t="s">
        <v>62</v>
      </c>
      <c r="C2348" t="s">
        <v>57</v>
      </c>
      <c r="D2348" t="s">
        <v>63</v>
      </c>
      <c r="E2348">
        <v>1</v>
      </c>
      <c r="F2348">
        <v>2</v>
      </c>
      <c r="G2348">
        <v>3</v>
      </c>
    </row>
    <row r="2349" spans="1:7" x14ac:dyDescent="0.3">
      <c r="A2349" s="22" t="s">
        <v>67</v>
      </c>
      <c r="B2349">
        <v>19</v>
      </c>
      <c r="C2349" t="s">
        <v>64</v>
      </c>
      <c r="D2349">
        <v>20</v>
      </c>
      <c r="E2349" s="8">
        <v>0.52629999999999999</v>
      </c>
      <c r="F2349" s="8">
        <v>0.36840000000000001</v>
      </c>
      <c r="G2349" s="8">
        <v>0.1053</v>
      </c>
    </row>
    <row r="2350" spans="1:7" x14ac:dyDescent="0.3">
      <c r="A2350" s="22" t="s">
        <v>68</v>
      </c>
      <c r="B2350">
        <v>1</v>
      </c>
      <c r="C2350" t="s">
        <v>64</v>
      </c>
      <c r="D2350">
        <v>20</v>
      </c>
      <c r="E2350" s="8">
        <v>1</v>
      </c>
    </row>
    <row r="2352" spans="1:7" ht="86.4" x14ac:dyDescent="0.3">
      <c r="A2352" s="22" t="s">
        <v>599</v>
      </c>
    </row>
    <row r="2353" spans="1:7" x14ac:dyDescent="0.3">
      <c r="A2353" s="22" t="s">
        <v>66</v>
      </c>
      <c r="B2353" t="s">
        <v>62</v>
      </c>
      <c r="C2353" t="s">
        <v>57</v>
      </c>
      <c r="D2353" t="s">
        <v>63</v>
      </c>
      <c r="E2353">
        <v>1</v>
      </c>
      <c r="F2353">
        <v>2</v>
      </c>
      <c r="G2353">
        <v>3</v>
      </c>
    </row>
    <row r="2354" spans="1:7" x14ac:dyDescent="0.3">
      <c r="A2354" s="22" t="s">
        <v>67</v>
      </c>
      <c r="B2354">
        <v>17</v>
      </c>
      <c r="C2354" t="s">
        <v>64</v>
      </c>
      <c r="D2354">
        <v>20</v>
      </c>
      <c r="E2354" s="8">
        <v>0.52939999999999998</v>
      </c>
      <c r="F2354" s="8">
        <v>0.35289999999999999</v>
      </c>
      <c r="G2354" s="8">
        <v>0.1176</v>
      </c>
    </row>
    <row r="2355" spans="1:7" x14ac:dyDescent="0.3">
      <c r="A2355" s="22" t="s">
        <v>68</v>
      </c>
      <c r="B2355">
        <v>3</v>
      </c>
      <c r="C2355" t="s">
        <v>64</v>
      </c>
      <c r="D2355">
        <v>20</v>
      </c>
      <c r="E2355" s="8">
        <v>0.66669999999999996</v>
      </c>
      <c r="F2355" s="8">
        <v>0.33329999999999999</v>
      </c>
    </row>
    <row r="2357" spans="1:7" ht="86.4" x14ac:dyDescent="0.3">
      <c r="A2357" s="22" t="s">
        <v>600</v>
      </c>
    </row>
    <row r="2358" spans="1:7" x14ac:dyDescent="0.3">
      <c r="A2358" s="22" t="s">
        <v>66</v>
      </c>
      <c r="B2358" t="s">
        <v>62</v>
      </c>
      <c r="C2358" t="s">
        <v>57</v>
      </c>
      <c r="D2358" t="s">
        <v>63</v>
      </c>
      <c r="E2358">
        <v>1</v>
      </c>
      <c r="F2358">
        <v>2</v>
      </c>
      <c r="G2358">
        <v>3</v>
      </c>
    </row>
    <row r="2359" spans="1:7" x14ac:dyDescent="0.3">
      <c r="A2359" s="22" t="s">
        <v>67</v>
      </c>
      <c r="B2359">
        <v>20</v>
      </c>
      <c r="C2359" t="s">
        <v>64</v>
      </c>
      <c r="D2359">
        <v>20</v>
      </c>
      <c r="E2359" s="8">
        <v>0.55000000000000004</v>
      </c>
      <c r="F2359" s="8">
        <v>0.35</v>
      </c>
      <c r="G2359" s="8">
        <v>0.1</v>
      </c>
    </row>
    <row r="2361" spans="1:7" ht="72" x14ac:dyDescent="0.3">
      <c r="A2361" s="22" t="s">
        <v>601</v>
      </c>
    </row>
    <row r="2362" spans="1:7" x14ac:dyDescent="0.3">
      <c r="A2362" s="22" t="s">
        <v>66</v>
      </c>
      <c r="B2362" t="s">
        <v>62</v>
      </c>
      <c r="C2362" t="s">
        <v>57</v>
      </c>
      <c r="D2362" t="s">
        <v>63</v>
      </c>
      <c r="E2362">
        <v>1</v>
      </c>
      <c r="F2362">
        <v>2</v>
      </c>
      <c r="G2362">
        <v>3</v>
      </c>
    </row>
    <row r="2363" spans="1:7" x14ac:dyDescent="0.3">
      <c r="A2363" s="22" t="s">
        <v>67</v>
      </c>
      <c r="B2363">
        <v>8</v>
      </c>
      <c r="C2363" t="s">
        <v>64</v>
      </c>
      <c r="D2363">
        <v>20</v>
      </c>
      <c r="E2363" s="8">
        <v>0.5</v>
      </c>
      <c r="F2363" s="8">
        <v>0.375</v>
      </c>
      <c r="G2363" s="8">
        <v>0.125</v>
      </c>
    </row>
    <row r="2364" spans="1:7" x14ac:dyDescent="0.3">
      <c r="A2364" s="22" t="s">
        <v>68</v>
      </c>
      <c r="B2364">
        <v>12</v>
      </c>
      <c r="C2364" t="s">
        <v>64</v>
      </c>
      <c r="D2364">
        <v>20</v>
      </c>
      <c r="E2364" s="8">
        <v>0.58330000000000004</v>
      </c>
      <c r="F2364" s="8">
        <v>0.33329999999999999</v>
      </c>
      <c r="G2364" s="8">
        <v>8.3299999999999999E-2</v>
      </c>
    </row>
    <row r="2366" spans="1:7" ht="72" x14ac:dyDescent="0.3">
      <c r="A2366" s="22" t="s">
        <v>602</v>
      </c>
    </row>
    <row r="2367" spans="1:7" x14ac:dyDescent="0.3">
      <c r="A2367" s="22" t="s">
        <v>66</v>
      </c>
      <c r="B2367" t="s">
        <v>62</v>
      </c>
      <c r="C2367" t="s">
        <v>57</v>
      </c>
      <c r="D2367" t="s">
        <v>63</v>
      </c>
      <c r="E2367">
        <v>1</v>
      </c>
      <c r="F2367">
        <v>2</v>
      </c>
      <c r="G2367">
        <v>3</v>
      </c>
    </row>
    <row r="2368" spans="1:7" x14ac:dyDescent="0.3">
      <c r="A2368" s="22" t="s">
        <v>67</v>
      </c>
      <c r="B2368">
        <v>19</v>
      </c>
      <c r="C2368" t="s">
        <v>64</v>
      </c>
      <c r="D2368">
        <v>20</v>
      </c>
      <c r="E2368" s="8">
        <v>0.52629999999999999</v>
      </c>
      <c r="F2368" s="8">
        <v>0.36840000000000001</v>
      </c>
      <c r="G2368" s="8">
        <v>0.1053</v>
      </c>
    </row>
    <row r="2369" spans="1:7" x14ac:dyDescent="0.3">
      <c r="A2369" s="22" t="s">
        <v>68</v>
      </c>
      <c r="B2369">
        <v>1</v>
      </c>
      <c r="C2369" t="s">
        <v>64</v>
      </c>
      <c r="D2369">
        <v>20</v>
      </c>
      <c r="E2369" s="8">
        <v>1</v>
      </c>
    </row>
    <row r="2371" spans="1:7" ht="57.6" x14ac:dyDescent="0.3">
      <c r="A2371" s="28" t="s">
        <v>603</v>
      </c>
    </row>
    <row r="2372" spans="1:7" x14ac:dyDescent="0.3">
      <c r="A2372" s="22" t="s">
        <v>66</v>
      </c>
      <c r="B2372" t="s">
        <v>62</v>
      </c>
      <c r="C2372" t="s">
        <v>57</v>
      </c>
      <c r="D2372" t="s">
        <v>63</v>
      </c>
      <c r="E2372">
        <v>1</v>
      </c>
      <c r="F2372">
        <v>2</v>
      </c>
      <c r="G2372">
        <v>3</v>
      </c>
    </row>
    <row r="2373" spans="1:7" x14ac:dyDescent="0.3">
      <c r="A2373" s="22" t="s">
        <v>81</v>
      </c>
      <c r="B2373">
        <v>3</v>
      </c>
      <c r="C2373" t="s">
        <v>64</v>
      </c>
      <c r="D2373">
        <v>20</v>
      </c>
      <c r="E2373" s="8">
        <v>0.33329999999999999</v>
      </c>
      <c r="F2373" s="8">
        <v>0.66669999999999996</v>
      </c>
    </row>
    <row r="2374" spans="1:7" x14ac:dyDescent="0.3">
      <c r="A2374" s="22" t="s">
        <v>82</v>
      </c>
      <c r="B2374">
        <v>4</v>
      </c>
      <c r="C2374" t="s">
        <v>64</v>
      </c>
      <c r="D2374">
        <v>20</v>
      </c>
      <c r="E2374" s="8">
        <v>0.25</v>
      </c>
      <c r="F2374" s="8">
        <v>0.5</v>
      </c>
      <c r="G2374" s="8">
        <v>0.25</v>
      </c>
    </row>
    <row r="2375" spans="1:7" x14ac:dyDescent="0.3">
      <c r="A2375" s="22" t="s">
        <v>83</v>
      </c>
      <c r="B2375">
        <v>4</v>
      </c>
      <c r="C2375" t="s">
        <v>64</v>
      </c>
      <c r="D2375">
        <v>20</v>
      </c>
      <c r="E2375" s="8">
        <v>1</v>
      </c>
    </row>
    <row r="2376" spans="1:7" x14ac:dyDescent="0.3">
      <c r="A2376" s="22" t="s">
        <v>84</v>
      </c>
      <c r="B2376">
        <v>9</v>
      </c>
      <c r="C2376" t="s">
        <v>64</v>
      </c>
      <c r="D2376">
        <v>20</v>
      </c>
      <c r="E2376" s="8">
        <v>0.55559999999999998</v>
      </c>
      <c r="F2376" s="8">
        <v>0.33329999999999999</v>
      </c>
      <c r="G2376" s="8">
        <v>0.1111</v>
      </c>
    </row>
    <row r="2378" spans="1:7" ht="43.2" x14ac:dyDescent="0.3">
      <c r="A2378" s="28" t="s">
        <v>604</v>
      </c>
    </row>
    <row r="2379" spans="1:7" x14ac:dyDescent="0.3">
      <c r="A2379" s="22" t="s">
        <v>62</v>
      </c>
      <c r="B2379" t="s">
        <v>57</v>
      </c>
      <c r="C2379" t="s">
        <v>63</v>
      </c>
      <c r="D2379">
        <v>1</v>
      </c>
      <c r="E2379">
        <v>2</v>
      </c>
    </row>
    <row r="2380" spans="1:7" x14ac:dyDescent="0.3">
      <c r="A2380" s="22">
        <v>4</v>
      </c>
      <c r="B2380" t="s">
        <v>64</v>
      </c>
      <c r="C2380">
        <v>4</v>
      </c>
      <c r="D2380" s="8">
        <v>0.25</v>
      </c>
      <c r="E2380" s="8">
        <v>0.75</v>
      </c>
    </row>
    <row r="2382" spans="1:7" ht="72" x14ac:dyDescent="0.3">
      <c r="A2382" s="22" t="s">
        <v>605</v>
      </c>
    </row>
    <row r="2383" spans="1:7" x14ac:dyDescent="0.3">
      <c r="A2383" s="22" t="s">
        <v>66</v>
      </c>
      <c r="B2383" t="s">
        <v>62</v>
      </c>
      <c r="C2383" t="s">
        <v>57</v>
      </c>
      <c r="D2383" t="s">
        <v>63</v>
      </c>
      <c r="E2383">
        <v>1</v>
      </c>
      <c r="F2383">
        <v>2</v>
      </c>
    </row>
    <row r="2384" spans="1:7" x14ac:dyDescent="0.3">
      <c r="A2384" s="22" t="s">
        <v>67</v>
      </c>
      <c r="B2384">
        <v>4</v>
      </c>
      <c r="C2384" t="s">
        <v>64</v>
      </c>
      <c r="D2384">
        <v>4</v>
      </c>
      <c r="E2384" s="8">
        <v>0.25</v>
      </c>
      <c r="F2384" s="8">
        <v>0.75</v>
      </c>
    </row>
    <row r="2386" spans="1:6" x14ac:dyDescent="0.3">
      <c r="A2386"/>
    </row>
    <row r="2387" spans="1:6" x14ac:dyDescent="0.3">
      <c r="A2387"/>
    </row>
    <row r="2388" spans="1:6" x14ac:dyDescent="0.3">
      <c r="A2388"/>
    </row>
    <row r="2390" spans="1:6" ht="72" x14ac:dyDescent="0.3">
      <c r="A2390" s="22" t="s">
        <v>606</v>
      </c>
    </row>
    <row r="2391" spans="1:6" x14ac:dyDescent="0.3">
      <c r="A2391" s="22" t="s">
        <v>66</v>
      </c>
      <c r="B2391" t="s">
        <v>62</v>
      </c>
      <c r="C2391" t="s">
        <v>57</v>
      </c>
      <c r="D2391" t="s">
        <v>63</v>
      </c>
      <c r="E2391">
        <v>1</v>
      </c>
      <c r="F2391">
        <v>2</v>
      </c>
    </row>
    <row r="2392" spans="1:6" x14ac:dyDescent="0.3">
      <c r="A2392" s="22" t="s">
        <v>67</v>
      </c>
      <c r="B2392">
        <v>4</v>
      </c>
      <c r="C2392" t="s">
        <v>64</v>
      </c>
      <c r="D2392">
        <v>4</v>
      </c>
      <c r="E2392" s="8">
        <v>0.25</v>
      </c>
      <c r="F2392" s="8">
        <v>0.75</v>
      </c>
    </row>
    <row r="2394" spans="1:6" ht="57.6" x14ac:dyDescent="0.3">
      <c r="A2394" s="22" t="s">
        <v>607</v>
      </c>
    </row>
    <row r="2395" spans="1:6" x14ac:dyDescent="0.3">
      <c r="A2395" s="22" t="s">
        <v>66</v>
      </c>
      <c r="B2395" t="s">
        <v>62</v>
      </c>
      <c r="C2395" t="s">
        <v>57</v>
      </c>
      <c r="D2395" t="s">
        <v>63</v>
      </c>
      <c r="E2395">
        <v>1</v>
      </c>
      <c r="F2395">
        <v>2</v>
      </c>
    </row>
    <row r="2396" spans="1:6" x14ac:dyDescent="0.3">
      <c r="A2396" s="22" t="s">
        <v>67</v>
      </c>
      <c r="B2396">
        <v>4</v>
      </c>
      <c r="C2396" t="s">
        <v>64</v>
      </c>
      <c r="D2396">
        <v>4</v>
      </c>
      <c r="E2396" s="8">
        <v>0.25</v>
      </c>
      <c r="F2396" s="8">
        <v>0.75</v>
      </c>
    </row>
    <row r="2398" spans="1:6" ht="72" x14ac:dyDescent="0.3">
      <c r="A2398" s="22" t="s">
        <v>608</v>
      </c>
    </row>
    <row r="2399" spans="1:6" x14ac:dyDescent="0.3">
      <c r="A2399" s="22" t="s">
        <v>66</v>
      </c>
      <c r="B2399" t="s">
        <v>62</v>
      </c>
      <c r="C2399" t="s">
        <v>57</v>
      </c>
      <c r="D2399" t="s">
        <v>63</v>
      </c>
      <c r="E2399">
        <v>1</v>
      </c>
      <c r="F2399">
        <v>2</v>
      </c>
    </row>
    <row r="2400" spans="1:6" x14ac:dyDescent="0.3">
      <c r="A2400" s="22" t="s">
        <v>67</v>
      </c>
      <c r="B2400">
        <v>4</v>
      </c>
      <c r="C2400" t="s">
        <v>64</v>
      </c>
      <c r="D2400">
        <v>4</v>
      </c>
      <c r="E2400" s="8">
        <v>0.25</v>
      </c>
      <c r="F2400" s="8">
        <v>0.75</v>
      </c>
    </row>
    <row r="2402" spans="1:6" ht="72" x14ac:dyDescent="0.3">
      <c r="A2402" s="22" t="s">
        <v>609</v>
      </c>
    </row>
    <row r="2403" spans="1:6" x14ac:dyDescent="0.3">
      <c r="A2403" s="22" t="s">
        <v>66</v>
      </c>
      <c r="B2403" t="s">
        <v>62</v>
      </c>
      <c r="C2403" t="s">
        <v>57</v>
      </c>
      <c r="D2403" t="s">
        <v>63</v>
      </c>
      <c r="E2403">
        <v>1</v>
      </c>
      <c r="F2403">
        <v>2</v>
      </c>
    </row>
    <row r="2404" spans="1:6" x14ac:dyDescent="0.3">
      <c r="A2404" s="22" t="s">
        <v>68</v>
      </c>
      <c r="B2404">
        <v>4</v>
      </c>
      <c r="C2404" t="s">
        <v>64</v>
      </c>
      <c r="D2404">
        <v>4</v>
      </c>
      <c r="E2404" s="8">
        <v>0.25</v>
      </c>
      <c r="F2404" s="8">
        <v>0.75</v>
      </c>
    </row>
    <row r="2406" spans="1:6" ht="72" x14ac:dyDescent="0.3">
      <c r="A2406" s="22" t="s">
        <v>610</v>
      </c>
    </row>
    <row r="2407" spans="1:6" x14ac:dyDescent="0.3">
      <c r="A2407" s="22" t="s">
        <v>66</v>
      </c>
      <c r="B2407" t="s">
        <v>62</v>
      </c>
      <c r="C2407" t="s">
        <v>57</v>
      </c>
      <c r="D2407" t="s">
        <v>63</v>
      </c>
      <c r="E2407">
        <v>1</v>
      </c>
      <c r="F2407">
        <v>2</v>
      </c>
    </row>
    <row r="2408" spans="1:6" x14ac:dyDescent="0.3">
      <c r="A2408" s="22" t="s">
        <v>67</v>
      </c>
      <c r="B2408">
        <v>4</v>
      </c>
      <c r="C2408" t="s">
        <v>64</v>
      </c>
      <c r="D2408">
        <v>4</v>
      </c>
      <c r="E2408" s="8">
        <v>0.25</v>
      </c>
      <c r="F2408" s="8">
        <v>0.75</v>
      </c>
    </row>
    <row r="2410" spans="1:6" ht="57.6" x14ac:dyDescent="0.3">
      <c r="A2410" s="22" t="s">
        <v>611</v>
      </c>
    </row>
    <row r="2411" spans="1:6" x14ac:dyDescent="0.3">
      <c r="A2411" s="22" t="s">
        <v>66</v>
      </c>
      <c r="B2411" t="s">
        <v>62</v>
      </c>
      <c r="C2411" t="s">
        <v>57</v>
      </c>
      <c r="D2411" t="s">
        <v>63</v>
      </c>
      <c r="E2411">
        <v>1</v>
      </c>
      <c r="F2411">
        <v>2</v>
      </c>
    </row>
    <row r="2412" spans="1:6" x14ac:dyDescent="0.3">
      <c r="A2412" s="22" t="s">
        <v>67</v>
      </c>
      <c r="B2412">
        <v>3</v>
      </c>
      <c r="C2412" t="s">
        <v>64</v>
      </c>
      <c r="D2412">
        <v>4</v>
      </c>
      <c r="E2412" s="8">
        <v>0.33329999999999999</v>
      </c>
      <c r="F2412" s="8">
        <v>0.66669999999999996</v>
      </c>
    </row>
    <row r="2413" spans="1:6" x14ac:dyDescent="0.3">
      <c r="A2413" s="22" t="s">
        <v>68</v>
      </c>
      <c r="B2413">
        <v>1</v>
      </c>
      <c r="C2413" t="s">
        <v>64</v>
      </c>
      <c r="D2413">
        <v>4</v>
      </c>
      <c r="F2413" s="8">
        <v>1</v>
      </c>
    </row>
    <row r="2415" spans="1:6" ht="72" x14ac:dyDescent="0.3">
      <c r="A2415" s="22" t="s">
        <v>612</v>
      </c>
    </row>
    <row r="2416" spans="1:6" x14ac:dyDescent="0.3">
      <c r="A2416" s="22" t="s">
        <v>66</v>
      </c>
      <c r="B2416" t="s">
        <v>62</v>
      </c>
      <c r="C2416" t="s">
        <v>57</v>
      </c>
      <c r="D2416" t="s">
        <v>63</v>
      </c>
      <c r="E2416">
        <v>1</v>
      </c>
      <c r="F2416">
        <v>2</v>
      </c>
    </row>
    <row r="2417" spans="1:6" x14ac:dyDescent="0.3">
      <c r="A2417" s="22" t="s">
        <v>67</v>
      </c>
      <c r="B2417">
        <v>2</v>
      </c>
      <c r="C2417" t="s">
        <v>64</v>
      </c>
      <c r="D2417">
        <v>4</v>
      </c>
      <c r="F2417" s="8">
        <v>1</v>
      </c>
    </row>
    <row r="2418" spans="1:6" x14ac:dyDescent="0.3">
      <c r="A2418" s="22" t="s">
        <v>68</v>
      </c>
      <c r="B2418">
        <v>2</v>
      </c>
      <c r="C2418" t="s">
        <v>64</v>
      </c>
      <c r="D2418">
        <v>4</v>
      </c>
      <c r="E2418" s="8">
        <v>0.5</v>
      </c>
      <c r="F2418" s="8">
        <v>0.5</v>
      </c>
    </row>
    <row r="2420" spans="1:6" ht="72" x14ac:dyDescent="0.3">
      <c r="A2420" s="22" t="s">
        <v>613</v>
      </c>
    </row>
    <row r="2421" spans="1:6" x14ac:dyDescent="0.3">
      <c r="A2421" s="22" t="s">
        <v>66</v>
      </c>
      <c r="B2421" t="s">
        <v>62</v>
      </c>
      <c r="C2421" t="s">
        <v>57</v>
      </c>
      <c r="D2421" t="s">
        <v>63</v>
      </c>
      <c r="E2421">
        <v>1</v>
      </c>
      <c r="F2421">
        <v>2</v>
      </c>
    </row>
    <row r="2422" spans="1:6" x14ac:dyDescent="0.3">
      <c r="A2422" s="22" t="s">
        <v>67</v>
      </c>
      <c r="B2422">
        <v>4</v>
      </c>
      <c r="C2422" t="s">
        <v>64</v>
      </c>
      <c r="D2422">
        <v>4</v>
      </c>
      <c r="E2422" s="8">
        <v>0.25</v>
      </c>
      <c r="F2422" s="8">
        <v>0.75</v>
      </c>
    </row>
    <row r="2424" spans="1:6" ht="72" x14ac:dyDescent="0.3">
      <c r="A2424" s="22" t="s">
        <v>614</v>
      </c>
    </row>
    <row r="2425" spans="1:6" x14ac:dyDescent="0.3">
      <c r="A2425" s="22" t="s">
        <v>66</v>
      </c>
      <c r="B2425" t="s">
        <v>62</v>
      </c>
      <c r="C2425" t="s">
        <v>57</v>
      </c>
      <c r="D2425" t="s">
        <v>63</v>
      </c>
      <c r="E2425">
        <v>1</v>
      </c>
      <c r="F2425">
        <v>2</v>
      </c>
    </row>
    <row r="2426" spans="1:6" x14ac:dyDescent="0.3">
      <c r="A2426" s="22" t="s">
        <v>67</v>
      </c>
      <c r="B2426">
        <v>4</v>
      </c>
      <c r="C2426" t="s">
        <v>64</v>
      </c>
      <c r="D2426">
        <v>4</v>
      </c>
      <c r="E2426" s="8">
        <v>0.25</v>
      </c>
      <c r="F2426" s="8">
        <v>0.75</v>
      </c>
    </row>
    <row r="2428" spans="1:6" ht="57.6" x14ac:dyDescent="0.3">
      <c r="A2428" s="22" t="s">
        <v>615</v>
      </c>
    </row>
    <row r="2429" spans="1:6" x14ac:dyDescent="0.3">
      <c r="A2429" s="22" t="s">
        <v>66</v>
      </c>
      <c r="B2429" t="s">
        <v>62</v>
      </c>
      <c r="C2429" t="s">
        <v>57</v>
      </c>
      <c r="D2429" t="s">
        <v>63</v>
      </c>
      <c r="E2429">
        <v>1</v>
      </c>
      <c r="F2429">
        <v>2</v>
      </c>
    </row>
    <row r="2430" spans="1:6" x14ac:dyDescent="0.3">
      <c r="A2430" s="22" t="s">
        <v>67</v>
      </c>
      <c r="B2430">
        <v>4</v>
      </c>
      <c r="C2430" t="s">
        <v>64</v>
      </c>
      <c r="D2430">
        <v>4</v>
      </c>
      <c r="E2430" s="8">
        <v>0.25</v>
      </c>
      <c r="F2430" s="8">
        <v>0.75</v>
      </c>
    </row>
    <row r="2432" spans="1:6" ht="72" x14ac:dyDescent="0.3">
      <c r="A2432" s="22" t="s">
        <v>616</v>
      </c>
    </row>
    <row r="2433" spans="1:6" x14ac:dyDescent="0.3">
      <c r="A2433" s="22" t="s">
        <v>66</v>
      </c>
      <c r="B2433" t="s">
        <v>62</v>
      </c>
      <c r="C2433" t="s">
        <v>57</v>
      </c>
      <c r="D2433" t="s">
        <v>63</v>
      </c>
      <c r="E2433">
        <v>1</v>
      </c>
      <c r="F2433">
        <v>2</v>
      </c>
    </row>
    <row r="2434" spans="1:6" x14ac:dyDescent="0.3">
      <c r="A2434" s="22" t="s">
        <v>67</v>
      </c>
      <c r="B2434">
        <v>3</v>
      </c>
      <c r="C2434" t="s">
        <v>64</v>
      </c>
      <c r="D2434">
        <v>4</v>
      </c>
      <c r="F2434" s="8">
        <v>1</v>
      </c>
    </row>
    <row r="2435" spans="1:6" x14ac:dyDescent="0.3">
      <c r="A2435" s="22" t="s">
        <v>68</v>
      </c>
      <c r="B2435">
        <v>1</v>
      </c>
      <c r="C2435" t="s">
        <v>64</v>
      </c>
      <c r="D2435">
        <v>4</v>
      </c>
      <c r="E2435" s="8">
        <v>1</v>
      </c>
    </row>
    <row r="2437" spans="1:6" ht="57.6" x14ac:dyDescent="0.3">
      <c r="A2437" s="27" t="s">
        <v>617</v>
      </c>
    </row>
    <row r="2438" spans="1:6" x14ac:dyDescent="0.3">
      <c r="A2438" s="22" t="s">
        <v>66</v>
      </c>
      <c r="B2438" t="s">
        <v>62</v>
      </c>
      <c r="C2438" t="s">
        <v>57</v>
      </c>
      <c r="D2438" t="s">
        <v>63</v>
      </c>
      <c r="E2438">
        <v>1</v>
      </c>
      <c r="F2438">
        <v>2</v>
      </c>
    </row>
    <row r="2439" spans="1:6" x14ac:dyDescent="0.3">
      <c r="A2439" s="22" t="s">
        <v>81</v>
      </c>
      <c r="B2439">
        <v>1</v>
      </c>
      <c r="C2439" t="s">
        <v>64</v>
      </c>
      <c r="D2439">
        <v>4</v>
      </c>
      <c r="F2439" s="8">
        <v>1</v>
      </c>
    </row>
    <row r="2440" spans="1:6" x14ac:dyDescent="0.3">
      <c r="A2440" s="22" t="s">
        <v>82</v>
      </c>
      <c r="B2440">
        <v>1</v>
      </c>
      <c r="C2440" t="s">
        <v>64</v>
      </c>
      <c r="D2440">
        <v>4</v>
      </c>
      <c r="F2440" s="8">
        <v>1</v>
      </c>
    </row>
    <row r="2441" spans="1:6" x14ac:dyDescent="0.3">
      <c r="A2441" s="22" t="s">
        <v>84</v>
      </c>
      <c r="B2441">
        <v>2</v>
      </c>
      <c r="C2441" t="s">
        <v>64</v>
      </c>
      <c r="D2441">
        <v>4</v>
      </c>
      <c r="E2441" s="8">
        <v>0.5</v>
      </c>
      <c r="F2441" s="8">
        <v>0.5</v>
      </c>
    </row>
    <row r="2443" spans="1:6" ht="57.6" x14ac:dyDescent="0.3">
      <c r="A2443" s="27" t="s">
        <v>618</v>
      </c>
    </row>
    <row r="2444" spans="1:6" x14ac:dyDescent="0.3">
      <c r="A2444" s="22" t="s">
        <v>62</v>
      </c>
      <c r="B2444" t="s">
        <v>57</v>
      </c>
      <c r="C2444" t="s">
        <v>63</v>
      </c>
      <c r="D2444">
        <v>1</v>
      </c>
      <c r="E2444">
        <v>2</v>
      </c>
    </row>
    <row r="2445" spans="1:6" x14ac:dyDescent="0.3">
      <c r="A2445" s="22">
        <v>3</v>
      </c>
      <c r="B2445" t="s">
        <v>64</v>
      </c>
      <c r="C2445">
        <v>3</v>
      </c>
      <c r="D2445" s="8">
        <v>0.33329999999999999</v>
      </c>
      <c r="E2445" s="8">
        <v>0.66669999999999996</v>
      </c>
    </row>
    <row r="2447" spans="1:6" ht="72" x14ac:dyDescent="0.3">
      <c r="A2447" s="22" t="s">
        <v>619</v>
      </c>
    </row>
    <row r="2448" spans="1:6" x14ac:dyDescent="0.3">
      <c r="A2448" s="22" t="s">
        <v>66</v>
      </c>
      <c r="B2448" t="s">
        <v>62</v>
      </c>
      <c r="C2448" t="s">
        <v>57</v>
      </c>
      <c r="D2448" t="s">
        <v>63</v>
      </c>
      <c r="E2448">
        <v>1</v>
      </c>
      <c r="F2448">
        <v>2</v>
      </c>
    </row>
    <row r="2449" spans="1:6" x14ac:dyDescent="0.3">
      <c r="A2449" s="22" t="s">
        <v>67</v>
      </c>
      <c r="B2449">
        <v>3</v>
      </c>
      <c r="C2449" t="s">
        <v>64</v>
      </c>
      <c r="D2449">
        <v>3</v>
      </c>
      <c r="E2449" s="8">
        <v>0.33329999999999999</v>
      </c>
      <c r="F2449" s="8">
        <v>0.66669999999999996</v>
      </c>
    </row>
    <row r="2451" spans="1:6" x14ac:dyDescent="0.3">
      <c r="A2451"/>
    </row>
    <row r="2452" spans="1:6" x14ac:dyDescent="0.3">
      <c r="A2452"/>
    </row>
    <row r="2453" spans="1:6" x14ac:dyDescent="0.3">
      <c r="A2453"/>
    </row>
    <row r="2455" spans="1:6" ht="72" x14ac:dyDescent="0.3">
      <c r="A2455" s="22" t="s">
        <v>620</v>
      </c>
    </row>
    <row r="2456" spans="1:6" x14ac:dyDescent="0.3">
      <c r="A2456" s="22" t="s">
        <v>66</v>
      </c>
      <c r="B2456" t="s">
        <v>62</v>
      </c>
      <c r="C2456" t="s">
        <v>57</v>
      </c>
      <c r="D2456" t="s">
        <v>63</v>
      </c>
      <c r="E2456">
        <v>1</v>
      </c>
      <c r="F2456">
        <v>2</v>
      </c>
    </row>
    <row r="2457" spans="1:6" x14ac:dyDescent="0.3">
      <c r="A2457" s="22" t="s">
        <v>67</v>
      </c>
      <c r="B2457">
        <v>3</v>
      </c>
      <c r="C2457" t="s">
        <v>64</v>
      </c>
      <c r="D2457">
        <v>3</v>
      </c>
      <c r="E2457" s="8">
        <v>0.33329999999999999</v>
      </c>
      <c r="F2457" s="8">
        <v>0.66669999999999996</v>
      </c>
    </row>
    <row r="2459" spans="1:6" ht="72" x14ac:dyDescent="0.3">
      <c r="A2459" s="22" t="s">
        <v>621</v>
      </c>
    </row>
    <row r="2460" spans="1:6" x14ac:dyDescent="0.3">
      <c r="A2460" s="22" t="s">
        <v>66</v>
      </c>
      <c r="B2460" t="s">
        <v>62</v>
      </c>
      <c r="C2460" t="s">
        <v>57</v>
      </c>
      <c r="D2460" t="s">
        <v>63</v>
      </c>
      <c r="E2460">
        <v>1</v>
      </c>
      <c r="F2460">
        <v>2</v>
      </c>
    </row>
    <row r="2461" spans="1:6" x14ac:dyDescent="0.3">
      <c r="A2461" s="22" t="s">
        <v>67</v>
      </c>
      <c r="B2461">
        <v>3</v>
      </c>
      <c r="C2461" t="s">
        <v>64</v>
      </c>
      <c r="D2461">
        <v>3</v>
      </c>
      <c r="E2461" s="8">
        <v>0.33329999999999999</v>
      </c>
      <c r="F2461" s="8">
        <v>0.66669999999999996</v>
      </c>
    </row>
    <row r="2463" spans="1:6" ht="72" x14ac:dyDescent="0.3">
      <c r="A2463" s="22" t="s">
        <v>622</v>
      </c>
    </row>
    <row r="2464" spans="1:6" x14ac:dyDescent="0.3">
      <c r="A2464" s="22" t="s">
        <v>66</v>
      </c>
      <c r="B2464" t="s">
        <v>62</v>
      </c>
      <c r="C2464" t="s">
        <v>57</v>
      </c>
      <c r="D2464" t="s">
        <v>63</v>
      </c>
      <c r="E2464">
        <v>1</v>
      </c>
      <c r="F2464">
        <v>2</v>
      </c>
    </row>
    <row r="2465" spans="1:6" x14ac:dyDescent="0.3">
      <c r="A2465" s="22" t="s">
        <v>67</v>
      </c>
      <c r="B2465">
        <v>2</v>
      </c>
      <c r="C2465" t="s">
        <v>64</v>
      </c>
      <c r="D2465">
        <v>3</v>
      </c>
      <c r="E2465" s="8">
        <v>0.5</v>
      </c>
      <c r="F2465" s="8">
        <v>0.5</v>
      </c>
    </row>
    <row r="2466" spans="1:6" x14ac:dyDescent="0.3">
      <c r="A2466" s="22" t="s">
        <v>68</v>
      </c>
      <c r="B2466">
        <v>1</v>
      </c>
      <c r="C2466" t="s">
        <v>64</v>
      </c>
      <c r="D2466">
        <v>3</v>
      </c>
      <c r="F2466" s="8">
        <v>1</v>
      </c>
    </row>
    <row r="2468" spans="1:6" ht="72" x14ac:dyDescent="0.3">
      <c r="A2468" s="22" t="s">
        <v>623</v>
      </c>
    </row>
    <row r="2469" spans="1:6" x14ac:dyDescent="0.3">
      <c r="A2469" s="22" t="s">
        <v>66</v>
      </c>
      <c r="B2469" t="s">
        <v>62</v>
      </c>
      <c r="C2469" t="s">
        <v>57</v>
      </c>
      <c r="D2469" t="s">
        <v>63</v>
      </c>
      <c r="E2469">
        <v>1</v>
      </c>
      <c r="F2469">
        <v>2</v>
      </c>
    </row>
    <row r="2470" spans="1:6" x14ac:dyDescent="0.3">
      <c r="A2470" s="22" t="s">
        <v>68</v>
      </c>
      <c r="B2470">
        <v>3</v>
      </c>
      <c r="C2470" t="s">
        <v>64</v>
      </c>
      <c r="D2470">
        <v>3</v>
      </c>
      <c r="E2470" s="8">
        <v>0.33329999999999999</v>
      </c>
      <c r="F2470" s="8">
        <v>0.66669999999999996</v>
      </c>
    </row>
    <row r="2472" spans="1:6" ht="72" x14ac:dyDescent="0.3">
      <c r="A2472" s="22" t="s">
        <v>624</v>
      </c>
    </row>
    <row r="2473" spans="1:6" x14ac:dyDescent="0.3">
      <c r="A2473" s="22" t="s">
        <v>66</v>
      </c>
      <c r="B2473" t="s">
        <v>62</v>
      </c>
      <c r="C2473" t="s">
        <v>57</v>
      </c>
      <c r="D2473" t="s">
        <v>63</v>
      </c>
      <c r="E2473">
        <v>1</v>
      </c>
      <c r="F2473">
        <v>2</v>
      </c>
    </row>
    <row r="2474" spans="1:6" x14ac:dyDescent="0.3">
      <c r="A2474" s="22" t="s">
        <v>67</v>
      </c>
      <c r="B2474">
        <v>3</v>
      </c>
      <c r="C2474" t="s">
        <v>64</v>
      </c>
      <c r="D2474">
        <v>3</v>
      </c>
      <c r="E2474" s="8">
        <v>0.33329999999999999</v>
      </c>
      <c r="F2474" s="8">
        <v>0.66669999999999996</v>
      </c>
    </row>
    <row r="2476" spans="1:6" ht="72" x14ac:dyDescent="0.3">
      <c r="A2476" s="22" t="s">
        <v>625</v>
      </c>
    </row>
    <row r="2477" spans="1:6" x14ac:dyDescent="0.3">
      <c r="A2477" s="22" t="s">
        <v>66</v>
      </c>
      <c r="B2477" t="s">
        <v>62</v>
      </c>
      <c r="C2477" t="s">
        <v>57</v>
      </c>
      <c r="D2477" t="s">
        <v>63</v>
      </c>
      <c r="E2477">
        <v>1</v>
      </c>
      <c r="F2477">
        <v>2</v>
      </c>
    </row>
    <row r="2478" spans="1:6" x14ac:dyDescent="0.3">
      <c r="A2478" s="22" t="s">
        <v>67</v>
      </c>
      <c r="B2478">
        <v>3</v>
      </c>
      <c r="C2478" t="s">
        <v>64</v>
      </c>
      <c r="D2478">
        <v>3</v>
      </c>
      <c r="E2478" s="8">
        <v>0.33329999999999999</v>
      </c>
      <c r="F2478" s="8">
        <v>0.66669999999999996</v>
      </c>
    </row>
    <row r="2480" spans="1:6" ht="72" x14ac:dyDescent="0.3">
      <c r="A2480" s="22" t="s">
        <v>626</v>
      </c>
    </row>
    <row r="2481" spans="1:6" x14ac:dyDescent="0.3">
      <c r="A2481" s="22" t="s">
        <v>66</v>
      </c>
      <c r="B2481" t="s">
        <v>62</v>
      </c>
      <c r="C2481" t="s">
        <v>57</v>
      </c>
      <c r="D2481" t="s">
        <v>63</v>
      </c>
      <c r="E2481">
        <v>1</v>
      </c>
      <c r="F2481">
        <v>2</v>
      </c>
    </row>
    <row r="2482" spans="1:6" x14ac:dyDescent="0.3">
      <c r="A2482" s="22" t="s">
        <v>67</v>
      </c>
      <c r="B2482">
        <v>2</v>
      </c>
      <c r="C2482" t="s">
        <v>64</v>
      </c>
      <c r="D2482">
        <v>3</v>
      </c>
      <c r="F2482" s="8">
        <v>1</v>
      </c>
    </row>
    <row r="2483" spans="1:6" x14ac:dyDescent="0.3">
      <c r="A2483" s="22" t="s">
        <v>68</v>
      </c>
      <c r="B2483">
        <v>1</v>
      </c>
      <c r="C2483" t="s">
        <v>64</v>
      </c>
      <c r="D2483">
        <v>3</v>
      </c>
      <c r="E2483" s="8">
        <v>1</v>
      </c>
    </row>
    <row r="2485" spans="1:6" ht="86.4" x14ac:dyDescent="0.3">
      <c r="A2485" s="22" t="s">
        <v>627</v>
      </c>
    </row>
    <row r="2486" spans="1:6" x14ac:dyDescent="0.3">
      <c r="A2486" s="22" t="s">
        <v>66</v>
      </c>
      <c r="B2486" t="s">
        <v>62</v>
      </c>
      <c r="C2486" t="s">
        <v>57</v>
      </c>
      <c r="D2486" t="s">
        <v>63</v>
      </c>
      <c r="E2486">
        <v>1</v>
      </c>
      <c r="F2486">
        <v>2</v>
      </c>
    </row>
    <row r="2487" spans="1:6" x14ac:dyDescent="0.3">
      <c r="A2487" s="22" t="s">
        <v>67</v>
      </c>
      <c r="B2487">
        <v>2</v>
      </c>
      <c r="C2487" t="s">
        <v>64</v>
      </c>
      <c r="D2487">
        <v>3</v>
      </c>
      <c r="E2487" s="8">
        <v>0.5</v>
      </c>
      <c r="F2487" s="8">
        <v>0.5</v>
      </c>
    </row>
    <row r="2488" spans="1:6" x14ac:dyDescent="0.3">
      <c r="A2488" s="22" t="s">
        <v>68</v>
      </c>
      <c r="B2488">
        <v>1</v>
      </c>
      <c r="C2488" t="s">
        <v>64</v>
      </c>
      <c r="D2488">
        <v>3</v>
      </c>
      <c r="F2488" s="8">
        <v>1</v>
      </c>
    </row>
    <row r="2490" spans="1:6" ht="86.4" x14ac:dyDescent="0.3">
      <c r="A2490" s="22" t="s">
        <v>628</v>
      </c>
    </row>
    <row r="2491" spans="1:6" x14ac:dyDescent="0.3">
      <c r="A2491" s="22" t="s">
        <v>66</v>
      </c>
      <c r="B2491" t="s">
        <v>62</v>
      </c>
      <c r="C2491" t="s">
        <v>57</v>
      </c>
      <c r="D2491" t="s">
        <v>63</v>
      </c>
      <c r="E2491">
        <v>1</v>
      </c>
      <c r="F2491">
        <v>2</v>
      </c>
    </row>
    <row r="2492" spans="1:6" x14ac:dyDescent="0.3">
      <c r="A2492" s="22" t="s">
        <v>67</v>
      </c>
      <c r="B2492">
        <v>3</v>
      </c>
      <c r="C2492" t="s">
        <v>64</v>
      </c>
      <c r="D2492">
        <v>3</v>
      </c>
      <c r="E2492" s="8">
        <v>0.33329999999999999</v>
      </c>
      <c r="F2492" s="8">
        <v>0.66669999999999996</v>
      </c>
    </row>
    <row r="2494" spans="1:6" ht="72" x14ac:dyDescent="0.3">
      <c r="A2494" s="22" t="s">
        <v>629</v>
      </c>
    </row>
    <row r="2495" spans="1:6" x14ac:dyDescent="0.3">
      <c r="A2495" s="22" t="s">
        <v>66</v>
      </c>
      <c r="B2495" t="s">
        <v>62</v>
      </c>
      <c r="C2495" t="s">
        <v>57</v>
      </c>
      <c r="D2495" t="s">
        <v>63</v>
      </c>
      <c r="E2495">
        <v>1</v>
      </c>
      <c r="F2495">
        <v>2</v>
      </c>
    </row>
    <row r="2496" spans="1:6" x14ac:dyDescent="0.3">
      <c r="A2496" s="22" t="s">
        <v>67</v>
      </c>
      <c r="B2496">
        <v>1</v>
      </c>
      <c r="C2496" t="s">
        <v>64</v>
      </c>
      <c r="D2496">
        <v>3</v>
      </c>
      <c r="F2496" s="8">
        <v>1</v>
      </c>
    </row>
    <row r="2497" spans="1:8" x14ac:dyDescent="0.3">
      <c r="A2497" s="22" t="s">
        <v>68</v>
      </c>
      <c r="B2497">
        <v>2</v>
      </c>
      <c r="C2497" t="s">
        <v>64</v>
      </c>
      <c r="D2497">
        <v>3</v>
      </c>
      <c r="E2497" s="8">
        <v>0.5</v>
      </c>
      <c r="F2497" s="8">
        <v>0.5</v>
      </c>
    </row>
    <row r="2499" spans="1:8" ht="72" x14ac:dyDescent="0.3">
      <c r="A2499" s="22" t="s">
        <v>630</v>
      </c>
    </row>
    <row r="2500" spans="1:8" x14ac:dyDescent="0.3">
      <c r="A2500" s="22" t="s">
        <v>66</v>
      </c>
      <c r="B2500" t="s">
        <v>62</v>
      </c>
      <c r="C2500" t="s">
        <v>57</v>
      </c>
      <c r="D2500" t="s">
        <v>63</v>
      </c>
      <c r="E2500">
        <v>1</v>
      </c>
      <c r="F2500">
        <v>2</v>
      </c>
    </row>
    <row r="2501" spans="1:8" x14ac:dyDescent="0.3">
      <c r="A2501" s="22" t="s">
        <v>67</v>
      </c>
      <c r="B2501">
        <v>2</v>
      </c>
      <c r="C2501" t="s">
        <v>64</v>
      </c>
      <c r="D2501">
        <v>3</v>
      </c>
      <c r="E2501" s="8">
        <v>0.5</v>
      </c>
      <c r="F2501" s="8">
        <v>0.5</v>
      </c>
    </row>
    <row r="2502" spans="1:8" x14ac:dyDescent="0.3">
      <c r="A2502" s="22" t="s">
        <v>68</v>
      </c>
      <c r="B2502">
        <v>1</v>
      </c>
      <c r="C2502" t="s">
        <v>64</v>
      </c>
      <c r="D2502">
        <v>3</v>
      </c>
      <c r="F2502" s="8">
        <v>1</v>
      </c>
    </row>
    <row r="2504" spans="1:8" ht="57.6" x14ac:dyDescent="0.3">
      <c r="A2504" s="28" t="s">
        <v>631</v>
      </c>
    </row>
    <row r="2505" spans="1:8" x14ac:dyDescent="0.3">
      <c r="A2505" s="22" t="s">
        <v>66</v>
      </c>
      <c r="B2505" t="s">
        <v>62</v>
      </c>
      <c r="C2505" t="s">
        <v>57</v>
      </c>
      <c r="D2505" t="s">
        <v>63</v>
      </c>
      <c r="E2505">
        <v>1</v>
      </c>
      <c r="F2505">
        <v>2</v>
      </c>
    </row>
    <row r="2506" spans="1:8" x14ac:dyDescent="0.3">
      <c r="A2506" s="22" t="s">
        <v>84</v>
      </c>
      <c r="B2506">
        <v>3</v>
      </c>
      <c r="C2506" t="s">
        <v>64</v>
      </c>
      <c r="D2506">
        <v>3</v>
      </c>
      <c r="E2506" s="8">
        <v>0.33329999999999999</v>
      </c>
      <c r="F2506" s="8">
        <v>0.66669999999999996</v>
      </c>
    </row>
    <row r="2508" spans="1:8" ht="57.6" x14ac:dyDescent="0.3">
      <c r="A2508" s="28" t="s">
        <v>632</v>
      </c>
    </row>
    <row r="2509" spans="1:8" x14ac:dyDescent="0.3">
      <c r="A2509" s="22" t="s">
        <v>62</v>
      </c>
      <c r="B2509" t="s">
        <v>57</v>
      </c>
      <c r="C2509" t="s">
        <v>63</v>
      </c>
      <c r="D2509">
        <v>1</v>
      </c>
      <c r="E2509">
        <v>2</v>
      </c>
      <c r="F2509">
        <v>3</v>
      </c>
      <c r="G2509">
        <v>4</v>
      </c>
      <c r="H2509">
        <v>5</v>
      </c>
    </row>
    <row r="2510" spans="1:8" x14ac:dyDescent="0.3">
      <c r="A2510" s="22">
        <v>64</v>
      </c>
      <c r="B2510" t="s">
        <v>64</v>
      </c>
      <c r="C2510">
        <v>64</v>
      </c>
      <c r="D2510" s="8">
        <v>0.3906</v>
      </c>
      <c r="E2510" s="8">
        <v>0.3906</v>
      </c>
      <c r="F2510" s="8">
        <v>0.125</v>
      </c>
      <c r="G2510" s="8">
        <v>6.25E-2</v>
      </c>
      <c r="H2510" s="8">
        <v>3.1199999999999999E-2</v>
      </c>
    </row>
    <row r="2512" spans="1:8" ht="72" x14ac:dyDescent="0.3">
      <c r="A2512" s="22" t="s">
        <v>633</v>
      </c>
    </row>
    <row r="2513" spans="1:9" x14ac:dyDescent="0.3">
      <c r="A2513" s="22" t="s">
        <v>66</v>
      </c>
      <c r="B2513" t="s">
        <v>62</v>
      </c>
      <c r="C2513" t="s">
        <v>57</v>
      </c>
      <c r="D2513" t="s">
        <v>63</v>
      </c>
      <c r="E2513">
        <v>1</v>
      </c>
      <c r="F2513">
        <v>2</v>
      </c>
      <c r="G2513">
        <v>3</v>
      </c>
      <c r="H2513">
        <v>4</v>
      </c>
      <c r="I2513">
        <v>5</v>
      </c>
    </row>
    <row r="2514" spans="1:9" x14ac:dyDescent="0.3">
      <c r="A2514" s="22" t="s">
        <v>67</v>
      </c>
      <c r="B2514">
        <v>57</v>
      </c>
      <c r="C2514" t="s">
        <v>64</v>
      </c>
      <c r="D2514">
        <v>64</v>
      </c>
      <c r="E2514" s="8">
        <v>0.40350000000000003</v>
      </c>
      <c r="F2514" s="8">
        <v>0.36840000000000001</v>
      </c>
      <c r="G2514" s="8">
        <v>0.1404</v>
      </c>
      <c r="H2514" s="8">
        <v>5.2600000000000001E-2</v>
      </c>
      <c r="I2514" s="8">
        <v>3.5099999999999999E-2</v>
      </c>
    </row>
    <row r="2515" spans="1:9" x14ac:dyDescent="0.3">
      <c r="A2515" s="22" t="s">
        <v>68</v>
      </c>
      <c r="B2515">
        <v>7</v>
      </c>
      <c r="C2515" t="s">
        <v>64</v>
      </c>
      <c r="D2515">
        <v>64</v>
      </c>
      <c r="E2515" s="8">
        <v>0.28570000000000001</v>
      </c>
      <c r="F2515" s="8">
        <v>0.57140000000000002</v>
      </c>
      <c r="H2515" s="8">
        <v>0.1429</v>
      </c>
    </row>
    <row r="2517" spans="1:9" x14ac:dyDescent="0.3">
      <c r="A2517"/>
    </row>
    <row r="2518" spans="1:9" x14ac:dyDescent="0.3">
      <c r="A2518"/>
    </row>
    <row r="2519" spans="1:9" x14ac:dyDescent="0.3">
      <c r="A2519"/>
    </row>
    <row r="2521" spans="1:9" ht="72" x14ac:dyDescent="0.3">
      <c r="A2521" s="22" t="s">
        <v>634</v>
      </c>
    </row>
    <row r="2522" spans="1:9" x14ac:dyDescent="0.3">
      <c r="A2522" s="22" t="s">
        <v>66</v>
      </c>
      <c r="B2522" t="s">
        <v>62</v>
      </c>
      <c r="C2522" t="s">
        <v>57</v>
      </c>
      <c r="D2522" t="s">
        <v>63</v>
      </c>
      <c r="E2522">
        <v>1</v>
      </c>
      <c r="F2522">
        <v>2</v>
      </c>
      <c r="G2522">
        <v>3</v>
      </c>
      <c r="H2522">
        <v>4</v>
      </c>
      <c r="I2522">
        <v>5</v>
      </c>
    </row>
    <row r="2523" spans="1:9" x14ac:dyDescent="0.3">
      <c r="A2523" s="22" t="s">
        <v>67</v>
      </c>
      <c r="B2523">
        <v>62</v>
      </c>
      <c r="C2523" t="s">
        <v>64</v>
      </c>
      <c r="D2523">
        <v>64</v>
      </c>
      <c r="E2523" s="8">
        <v>0.371</v>
      </c>
      <c r="F2523" s="8">
        <v>0.4032</v>
      </c>
      <c r="G2523" s="8">
        <v>0.129</v>
      </c>
      <c r="H2523" s="8">
        <v>6.4500000000000002E-2</v>
      </c>
      <c r="I2523" s="8">
        <v>3.2300000000000002E-2</v>
      </c>
    </row>
    <row r="2524" spans="1:9" x14ac:dyDescent="0.3">
      <c r="A2524" s="22" t="s">
        <v>68</v>
      </c>
      <c r="B2524">
        <v>2</v>
      </c>
      <c r="C2524" t="s">
        <v>64</v>
      </c>
      <c r="D2524">
        <v>64</v>
      </c>
      <c r="E2524" s="8">
        <v>1</v>
      </c>
    </row>
    <row r="2526" spans="1:9" ht="72" x14ac:dyDescent="0.3">
      <c r="A2526" s="22" t="s">
        <v>635</v>
      </c>
    </row>
    <row r="2527" spans="1:9" x14ac:dyDescent="0.3">
      <c r="A2527" s="22" t="s">
        <v>66</v>
      </c>
      <c r="B2527" t="s">
        <v>62</v>
      </c>
      <c r="C2527" t="s">
        <v>57</v>
      </c>
      <c r="D2527" t="s">
        <v>63</v>
      </c>
      <c r="E2527">
        <v>1</v>
      </c>
      <c r="F2527">
        <v>2</v>
      </c>
      <c r="G2527">
        <v>3</v>
      </c>
      <c r="H2527">
        <v>4</v>
      </c>
      <c r="I2527">
        <v>5</v>
      </c>
    </row>
    <row r="2528" spans="1:9" x14ac:dyDescent="0.3">
      <c r="A2528" s="22" t="s">
        <v>67</v>
      </c>
      <c r="B2528">
        <v>64</v>
      </c>
      <c r="C2528" t="s">
        <v>64</v>
      </c>
      <c r="D2528">
        <v>64</v>
      </c>
      <c r="E2528" s="8">
        <v>0.3906</v>
      </c>
      <c r="F2528" s="8">
        <v>0.3906</v>
      </c>
      <c r="G2528" s="8">
        <v>0.125</v>
      </c>
      <c r="H2528" s="8">
        <v>6.25E-2</v>
      </c>
      <c r="I2528" s="8">
        <v>3.1199999999999999E-2</v>
      </c>
    </row>
    <row r="2530" spans="1:9" ht="72" x14ac:dyDescent="0.3">
      <c r="A2530" s="22" t="s">
        <v>636</v>
      </c>
    </row>
    <row r="2531" spans="1:9" x14ac:dyDescent="0.3">
      <c r="A2531" s="22" t="s">
        <v>66</v>
      </c>
      <c r="B2531" t="s">
        <v>62</v>
      </c>
      <c r="C2531" t="s">
        <v>57</v>
      </c>
      <c r="D2531" t="s">
        <v>63</v>
      </c>
      <c r="E2531">
        <v>1</v>
      </c>
      <c r="F2531">
        <v>2</v>
      </c>
      <c r="G2531">
        <v>3</v>
      </c>
      <c r="H2531">
        <v>4</v>
      </c>
      <c r="I2531">
        <v>5</v>
      </c>
    </row>
    <row r="2532" spans="1:9" x14ac:dyDescent="0.3">
      <c r="A2532" s="22" t="s">
        <v>67</v>
      </c>
      <c r="B2532">
        <v>58</v>
      </c>
      <c r="C2532" t="s">
        <v>64</v>
      </c>
      <c r="D2532">
        <v>64</v>
      </c>
      <c r="E2532" s="8">
        <v>0.39660000000000001</v>
      </c>
      <c r="F2532" s="8">
        <v>0.39660000000000001</v>
      </c>
      <c r="G2532" s="8">
        <v>0.1207</v>
      </c>
      <c r="H2532" s="8">
        <v>5.1700000000000003E-2</v>
      </c>
      <c r="I2532" s="8">
        <v>3.4500000000000003E-2</v>
      </c>
    </row>
    <row r="2533" spans="1:9" x14ac:dyDescent="0.3">
      <c r="A2533" s="22" t="s">
        <v>68</v>
      </c>
      <c r="B2533">
        <v>6</v>
      </c>
      <c r="C2533" t="s">
        <v>64</v>
      </c>
      <c r="D2533">
        <v>64</v>
      </c>
      <c r="E2533" s="8">
        <v>0.33329999999999999</v>
      </c>
      <c r="F2533" s="8">
        <v>0.33329999999999999</v>
      </c>
      <c r="G2533" s="8">
        <v>0.16669999999999999</v>
      </c>
      <c r="H2533" s="8">
        <v>0.16669999999999999</v>
      </c>
    </row>
    <row r="2535" spans="1:9" ht="72" x14ac:dyDescent="0.3">
      <c r="A2535" s="22" t="s">
        <v>637</v>
      </c>
    </row>
    <row r="2536" spans="1:9" x14ac:dyDescent="0.3">
      <c r="A2536" s="22" t="s">
        <v>66</v>
      </c>
      <c r="B2536" t="s">
        <v>62</v>
      </c>
      <c r="C2536" t="s">
        <v>57</v>
      </c>
      <c r="D2536" t="s">
        <v>63</v>
      </c>
      <c r="E2536">
        <v>1</v>
      </c>
      <c r="F2536">
        <v>2</v>
      </c>
      <c r="G2536">
        <v>3</v>
      </c>
      <c r="H2536">
        <v>4</v>
      </c>
      <c r="I2536">
        <v>5</v>
      </c>
    </row>
    <row r="2537" spans="1:9" x14ac:dyDescent="0.3">
      <c r="A2537" s="22" t="s">
        <v>67</v>
      </c>
      <c r="B2537">
        <v>4</v>
      </c>
      <c r="C2537" t="s">
        <v>64</v>
      </c>
      <c r="D2537">
        <v>64</v>
      </c>
      <c r="E2537" s="8">
        <v>0.25</v>
      </c>
      <c r="F2537" s="8">
        <v>0.75</v>
      </c>
    </row>
    <row r="2538" spans="1:9" x14ac:dyDescent="0.3">
      <c r="A2538" s="22" t="s">
        <v>68</v>
      </c>
      <c r="B2538">
        <v>60</v>
      </c>
      <c r="C2538" t="s">
        <v>64</v>
      </c>
      <c r="D2538">
        <v>64</v>
      </c>
      <c r="E2538" s="8">
        <v>0.4</v>
      </c>
      <c r="F2538" s="8">
        <v>0.36670000000000003</v>
      </c>
      <c r="G2538" s="8">
        <v>0.1333</v>
      </c>
      <c r="H2538" s="8">
        <v>6.6699999999999995E-2</v>
      </c>
      <c r="I2538" s="8">
        <v>3.3300000000000003E-2</v>
      </c>
    </row>
    <row r="2540" spans="1:9" ht="72" x14ac:dyDescent="0.3">
      <c r="A2540" s="22" t="s">
        <v>638</v>
      </c>
    </row>
    <row r="2541" spans="1:9" x14ac:dyDescent="0.3">
      <c r="A2541" s="22" t="s">
        <v>66</v>
      </c>
      <c r="B2541" t="s">
        <v>62</v>
      </c>
      <c r="C2541" t="s">
        <v>57</v>
      </c>
      <c r="D2541" t="s">
        <v>63</v>
      </c>
      <c r="E2541">
        <v>1</v>
      </c>
      <c r="F2541">
        <v>2</v>
      </c>
      <c r="G2541">
        <v>3</v>
      </c>
      <c r="H2541">
        <v>4</v>
      </c>
      <c r="I2541">
        <v>5</v>
      </c>
    </row>
    <row r="2542" spans="1:9" x14ac:dyDescent="0.3">
      <c r="A2542" s="22" t="s">
        <v>67</v>
      </c>
      <c r="B2542">
        <v>58</v>
      </c>
      <c r="C2542" t="s">
        <v>64</v>
      </c>
      <c r="D2542">
        <v>64</v>
      </c>
      <c r="E2542" s="8">
        <v>0.37930000000000003</v>
      </c>
      <c r="F2542" s="8">
        <v>0.4138</v>
      </c>
      <c r="G2542" s="8">
        <v>0.10340000000000001</v>
      </c>
      <c r="H2542" s="8">
        <v>6.9000000000000006E-2</v>
      </c>
      <c r="I2542" s="8">
        <v>3.4500000000000003E-2</v>
      </c>
    </row>
    <row r="2543" spans="1:9" x14ac:dyDescent="0.3">
      <c r="A2543" s="22" t="s">
        <v>68</v>
      </c>
      <c r="B2543">
        <v>6</v>
      </c>
      <c r="C2543" t="s">
        <v>64</v>
      </c>
      <c r="D2543">
        <v>64</v>
      </c>
      <c r="E2543" s="8">
        <v>0.5</v>
      </c>
      <c r="F2543" s="8">
        <v>0.16669999999999999</v>
      </c>
      <c r="G2543" s="8">
        <v>0.33329999999999999</v>
      </c>
    </row>
    <row r="2545" spans="1:9" ht="72" x14ac:dyDescent="0.3">
      <c r="A2545" s="22" t="s">
        <v>639</v>
      </c>
    </row>
    <row r="2546" spans="1:9" x14ac:dyDescent="0.3">
      <c r="A2546" s="22" t="s">
        <v>66</v>
      </c>
      <c r="B2546" t="s">
        <v>62</v>
      </c>
      <c r="C2546" t="s">
        <v>57</v>
      </c>
      <c r="D2546" t="s">
        <v>63</v>
      </c>
      <c r="E2546">
        <v>1</v>
      </c>
      <c r="F2546">
        <v>2</v>
      </c>
      <c r="G2546">
        <v>3</v>
      </c>
      <c r="H2546">
        <v>4</v>
      </c>
      <c r="I2546">
        <v>5</v>
      </c>
    </row>
    <row r="2547" spans="1:9" x14ac:dyDescent="0.3">
      <c r="A2547" s="22" t="s">
        <v>67</v>
      </c>
      <c r="B2547">
        <v>45</v>
      </c>
      <c r="C2547" t="s">
        <v>64</v>
      </c>
      <c r="D2547">
        <v>64</v>
      </c>
      <c r="E2547" s="8">
        <v>0.4</v>
      </c>
      <c r="F2547" s="8">
        <v>0.35560000000000003</v>
      </c>
      <c r="G2547" s="8">
        <v>0.15559999999999999</v>
      </c>
      <c r="H2547" s="8">
        <v>6.6699999999999995E-2</v>
      </c>
      <c r="I2547" s="8">
        <v>2.2200000000000001E-2</v>
      </c>
    </row>
    <row r="2548" spans="1:9" x14ac:dyDescent="0.3">
      <c r="A2548" s="22" t="s">
        <v>68</v>
      </c>
      <c r="B2548">
        <v>19</v>
      </c>
      <c r="C2548" t="s">
        <v>64</v>
      </c>
      <c r="D2548">
        <v>64</v>
      </c>
      <c r="E2548" s="8">
        <v>0.36840000000000001</v>
      </c>
      <c r="F2548" s="8">
        <v>0.47370000000000001</v>
      </c>
      <c r="G2548" s="8">
        <v>5.2600000000000001E-2</v>
      </c>
      <c r="H2548" s="8">
        <v>5.2600000000000001E-2</v>
      </c>
      <c r="I2548" s="8">
        <v>5.2600000000000001E-2</v>
      </c>
    </row>
    <row r="2550" spans="1:9" ht="72" x14ac:dyDescent="0.3">
      <c r="A2550" s="22" t="s">
        <v>640</v>
      </c>
    </row>
    <row r="2551" spans="1:9" x14ac:dyDescent="0.3">
      <c r="A2551" s="22" t="s">
        <v>66</v>
      </c>
      <c r="B2551" t="s">
        <v>62</v>
      </c>
      <c r="C2551" t="s">
        <v>57</v>
      </c>
      <c r="D2551" t="s">
        <v>63</v>
      </c>
      <c r="E2551">
        <v>1</v>
      </c>
      <c r="F2551">
        <v>2</v>
      </c>
      <c r="G2551">
        <v>3</v>
      </c>
      <c r="H2551">
        <v>4</v>
      </c>
      <c r="I2551">
        <v>5</v>
      </c>
    </row>
    <row r="2552" spans="1:9" x14ac:dyDescent="0.3">
      <c r="A2552" s="22" t="s">
        <v>67</v>
      </c>
      <c r="B2552">
        <v>41</v>
      </c>
      <c r="C2552" t="s">
        <v>64</v>
      </c>
      <c r="D2552">
        <v>64</v>
      </c>
      <c r="E2552" s="8">
        <v>0.39019999999999999</v>
      </c>
      <c r="F2552" s="8">
        <v>0.3659</v>
      </c>
      <c r="G2552" s="8">
        <v>0.17069999999999999</v>
      </c>
      <c r="H2552" s="8">
        <v>7.3200000000000001E-2</v>
      </c>
    </row>
    <row r="2553" spans="1:9" x14ac:dyDescent="0.3">
      <c r="A2553" s="22" t="s">
        <v>68</v>
      </c>
      <c r="B2553">
        <v>23</v>
      </c>
      <c r="C2553" t="s">
        <v>64</v>
      </c>
      <c r="D2553">
        <v>64</v>
      </c>
      <c r="E2553" s="8">
        <v>0.39129999999999998</v>
      </c>
      <c r="F2553" s="8">
        <v>0.43480000000000002</v>
      </c>
      <c r="G2553" s="8">
        <v>4.3499999999999997E-2</v>
      </c>
      <c r="H2553" s="8">
        <v>4.3499999999999997E-2</v>
      </c>
      <c r="I2553" s="8">
        <v>8.6999999999999994E-2</v>
      </c>
    </row>
    <row r="2555" spans="1:9" ht="86.4" x14ac:dyDescent="0.3">
      <c r="A2555" s="22" t="s">
        <v>641</v>
      </c>
    </row>
    <row r="2556" spans="1:9" x14ac:dyDescent="0.3">
      <c r="A2556" s="22" t="s">
        <v>66</v>
      </c>
      <c r="B2556" t="s">
        <v>62</v>
      </c>
      <c r="C2556" t="s">
        <v>57</v>
      </c>
      <c r="D2556" t="s">
        <v>63</v>
      </c>
      <c r="E2556">
        <v>1</v>
      </c>
      <c r="F2556">
        <v>2</v>
      </c>
      <c r="G2556">
        <v>3</v>
      </c>
      <c r="H2556">
        <v>4</v>
      </c>
      <c r="I2556">
        <v>5</v>
      </c>
    </row>
    <row r="2557" spans="1:9" x14ac:dyDescent="0.3">
      <c r="A2557" s="22" t="s">
        <v>67</v>
      </c>
      <c r="B2557">
        <v>57</v>
      </c>
      <c r="C2557" t="s">
        <v>64</v>
      </c>
      <c r="D2557">
        <v>64</v>
      </c>
      <c r="E2557" s="8">
        <v>0.42109999999999997</v>
      </c>
      <c r="F2557" s="8">
        <v>0.35089999999999999</v>
      </c>
      <c r="G2557" s="8">
        <v>0.12280000000000001</v>
      </c>
      <c r="H2557" s="8">
        <v>7.0199999999999999E-2</v>
      </c>
      <c r="I2557" s="8">
        <v>3.5099999999999999E-2</v>
      </c>
    </row>
    <row r="2558" spans="1:9" x14ac:dyDescent="0.3">
      <c r="A2558" s="22" t="s">
        <v>68</v>
      </c>
      <c r="B2558">
        <v>7</v>
      </c>
      <c r="C2558" t="s">
        <v>64</v>
      </c>
      <c r="D2558">
        <v>64</v>
      </c>
      <c r="E2558" s="8">
        <v>0.1429</v>
      </c>
      <c r="F2558" s="8">
        <v>0.71430000000000005</v>
      </c>
      <c r="G2558" s="8">
        <v>0.1429</v>
      </c>
    </row>
    <row r="2560" spans="1:9" ht="86.4" x14ac:dyDescent="0.3">
      <c r="A2560" s="22" t="s">
        <v>642</v>
      </c>
    </row>
    <row r="2561" spans="1:9" x14ac:dyDescent="0.3">
      <c r="A2561" s="22" t="s">
        <v>66</v>
      </c>
      <c r="B2561" t="s">
        <v>62</v>
      </c>
      <c r="C2561" t="s">
        <v>57</v>
      </c>
      <c r="D2561" t="s">
        <v>63</v>
      </c>
      <c r="E2561">
        <v>1</v>
      </c>
      <c r="F2561">
        <v>2</v>
      </c>
      <c r="G2561">
        <v>3</v>
      </c>
      <c r="H2561">
        <v>4</v>
      </c>
      <c r="I2561">
        <v>5</v>
      </c>
    </row>
    <row r="2562" spans="1:9" x14ac:dyDescent="0.3">
      <c r="A2562" s="22" t="s">
        <v>67</v>
      </c>
      <c r="B2562">
        <v>64</v>
      </c>
      <c r="C2562" t="s">
        <v>64</v>
      </c>
      <c r="D2562">
        <v>64</v>
      </c>
      <c r="E2562" s="8">
        <v>0.3906</v>
      </c>
      <c r="F2562" s="8">
        <v>0.3906</v>
      </c>
      <c r="G2562" s="8">
        <v>0.125</v>
      </c>
      <c r="H2562" s="8">
        <v>6.25E-2</v>
      </c>
      <c r="I2562" s="8">
        <v>3.1199999999999999E-2</v>
      </c>
    </row>
    <row r="2564" spans="1:9" ht="72" x14ac:dyDescent="0.3">
      <c r="A2564" s="22" t="s">
        <v>643</v>
      </c>
    </row>
    <row r="2565" spans="1:9" x14ac:dyDescent="0.3">
      <c r="A2565" s="22" t="s">
        <v>66</v>
      </c>
      <c r="B2565" t="s">
        <v>62</v>
      </c>
      <c r="C2565" t="s">
        <v>57</v>
      </c>
      <c r="D2565" t="s">
        <v>63</v>
      </c>
      <c r="E2565">
        <v>1</v>
      </c>
      <c r="F2565">
        <v>2</v>
      </c>
      <c r="G2565">
        <v>3</v>
      </c>
      <c r="H2565">
        <v>4</v>
      </c>
      <c r="I2565">
        <v>5</v>
      </c>
    </row>
    <row r="2566" spans="1:9" x14ac:dyDescent="0.3">
      <c r="A2566" s="22" t="s">
        <v>67</v>
      </c>
      <c r="B2566">
        <v>41</v>
      </c>
      <c r="C2566" t="s">
        <v>64</v>
      </c>
      <c r="D2566">
        <v>64</v>
      </c>
      <c r="E2566" s="8">
        <v>0.41460000000000002</v>
      </c>
      <c r="F2566" s="8">
        <v>0.34150000000000003</v>
      </c>
      <c r="G2566" s="8">
        <v>0.17069999999999999</v>
      </c>
      <c r="H2566" s="8">
        <v>4.8800000000000003E-2</v>
      </c>
      <c r="I2566" s="8">
        <v>2.4400000000000002E-2</v>
      </c>
    </row>
    <row r="2567" spans="1:9" x14ac:dyDescent="0.3">
      <c r="A2567" s="22" t="s">
        <v>68</v>
      </c>
      <c r="B2567">
        <v>23</v>
      </c>
      <c r="C2567" t="s">
        <v>64</v>
      </c>
      <c r="D2567">
        <v>64</v>
      </c>
      <c r="E2567" s="8">
        <v>0.3478</v>
      </c>
      <c r="F2567" s="8">
        <v>0.4783</v>
      </c>
      <c r="G2567" s="8">
        <v>4.3499999999999997E-2</v>
      </c>
      <c r="H2567" s="8">
        <v>8.6999999999999994E-2</v>
      </c>
      <c r="I2567" s="8">
        <v>4.3499999999999997E-2</v>
      </c>
    </row>
    <row r="2569" spans="1:9" ht="72" x14ac:dyDescent="0.3">
      <c r="A2569" s="22" t="s">
        <v>644</v>
      </c>
    </row>
    <row r="2570" spans="1:9" x14ac:dyDescent="0.3">
      <c r="A2570" s="22" t="s">
        <v>66</v>
      </c>
      <c r="B2570" t="s">
        <v>62</v>
      </c>
      <c r="C2570" t="s">
        <v>57</v>
      </c>
      <c r="D2570" t="s">
        <v>63</v>
      </c>
      <c r="E2570">
        <v>1</v>
      </c>
      <c r="F2570">
        <v>2</v>
      </c>
      <c r="G2570">
        <v>3</v>
      </c>
      <c r="H2570">
        <v>4</v>
      </c>
      <c r="I2570">
        <v>5</v>
      </c>
    </row>
    <row r="2571" spans="1:9" x14ac:dyDescent="0.3">
      <c r="A2571" s="22" t="s">
        <v>67</v>
      </c>
      <c r="B2571">
        <v>56</v>
      </c>
      <c r="C2571" t="s">
        <v>64</v>
      </c>
      <c r="D2571">
        <v>64</v>
      </c>
      <c r="E2571" s="8">
        <v>0.41070000000000001</v>
      </c>
      <c r="F2571" s="8">
        <v>0.39290000000000003</v>
      </c>
      <c r="G2571" s="8">
        <v>0.1071</v>
      </c>
      <c r="H2571" s="8">
        <v>7.1400000000000005E-2</v>
      </c>
      <c r="I2571" s="8">
        <v>1.7899999999999999E-2</v>
      </c>
    </row>
    <row r="2572" spans="1:9" x14ac:dyDescent="0.3">
      <c r="A2572" s="22" t="s">
        <v>68</v>
      </c>
      <c r="B2572">
        <v>8</v>
      </c>
      <c r="C2572" t="s">
        <v>64</v>
      </c>
      <c r="D2572">
        <v>64</v>
      </c>
      <c r="E2572" s="8">
        <v>0.25</v>
      </c>
      <c r="F2572" s="8">
        <v>0.375</v>
      </c>
      <c r="G2572" s="8">
        <v>0.25</v>
      </c>
      <c r="I2572" s="8">
        <v>0.125</v>
      </c>
    </row>
    <row r="2574" spans="1:9" ht="57.6" x14ac:dyDescent="0.3">
      <c r="A2574" s="28" t="s">
        <v>645</v>
      </c>
    </row>
    <row r="2575" spans="1:9" x14ac:dyDescent="0.3">
      <c r="A2575" s="22" t="s">
        <v>66</v>
      </c>
      <c r="B2575" t="s">
        <v>62</v>
      </c>
      <c r="C2575" t="s">
        <v>57</v>
      </c>
      <c r="D2575" t="s">
        <v>63</v>
      </c>
      <c r="E2575">
        <v>1</v>
      </c>
      <c r="F2575">
        <v>2</v>
      </c>
      <c r="G2575">
        <v>3</v>
      </c>
      <c r="H2575">
        <v>4</v>
      </c>
      <c r="I2575">
        <v>5</v>
      </c>
    </row>
    <row r="2576" spans="1:9" x14ac:dyDescent="0.3">
      <c r="A2576" s="22" t="s">
        <v>81</v>
      </c>
      <c r="B2576">
        <v>12</v>
      </c>
      <c r="C2576" t="s">
        <v>64</v>
      </c>
      <c r="D2576">
        <v>64</v>
      </c>
      <c r="E2576" s="8">
        <v>0.58330000000000004</v>
      </c>
      <c r="F2576" s="8">
        <v>0.25</v>
      </c>
      <c r="G2576" s="8">
        <v>0.16669999999999999</v>
      </c>
    </row>
    <row r="2577" spans="1:9" x14ac:dyDescent="0.3">
      <c r="A2577" s="22" t="s">
        <v>82</v>
      </c>
      <c r="B2577">
        <v>13</v>
      </c>
      <c r="C2577" t="s">
        <v>64</v>
      </c>
      <c r="D2577">
        <v>64</v>
      </c>
      <c r="E2577" s="8">
        <v>0.30769999999999997</v>
      </c>
      <c r="F2577" s="8">
        <v>0.46150000000000002</v>
      </c>
      <c r="G2577" s="8">
        <v>0.15379999999999999</v>
      </c>
      <c r="I2577" s="8">
        <v>7.6899999999999996E-2</v>
      </c>
    </row>
    <row r="2578" spans="1:9" x14ac:dyDescent="0.3">
      <c r="A2578" s="22" t="s">
        <v>83</v>
      </c>
      <c r="B2578">
        <v>23</v>
      </c>
      <c r="C2578" t="s">
        <v>64</v>
      </c>
      <c r="D2578">
        <v>64</v>
      </c>
      <c r="E2578" s="8">
        <v>0.39129999999999998</v>
      </c>
      <c r="F2578" s="8">
        <v>0.43480000000000002</v>
      </c>
      <c r="G2578" s="8">
        <v>8.6999999999999994E-2</v>
      </c>
      <c r="H2578" s="8">
        <v>8.6999999999999994E-2</v>
      </c>
    </row>
    <row r="2579" spans="1:9" x14ac:dyDescent="0.3">
      <c r="A2579" s="22" t="s">
        <v>84</v>
      </c>
      <c r="B2579">
        <v>16</v>
      </c>
      <c r="C2579" t="s">
        <v>64</v>
      </c>
      <c r="D2579">
        <v>64</v>
      </c>
      <c r="E2579" s="8">
        <v>0.3125</v>
      </c>
      <c r="F2579" s="8">
        <v>0.375</v>
      </c>
      <c r="G2579" s="8">
        <v>0.125</v>
      </c>
      <c r="H2579" s="8">
        <v>0.125</v>
      </c>
      <c r="I2579" s="8">
        <v>6.25E-2</v>
      </c>
    </row>
    <row r="2581" spans="1:9" ht="43.2" x14ac:dyDescent="0.3">
      <c r="A2581" s="28" t="s">
        <v>646</v>
      </c>
    </row>
    <row r="2582" spans="1:9" x14ac:dyDescent="0.3">
      <c r="A2582" s="22" t="s">
        <v>62</v>
      </c>
      <c r="B2582" t="s">
        <v>57</v>
      </c>
      <c r="C2582" t="s">
        <v>63</v>
      </c>
      <c r="D2582">
        <v>1</v>
      </c>
      <c r="E2582">
        <v>2</v>
      </c>
      <c r="F2582">
        <v>3</v>
      </c>
      <c r="G2582">
        <v>4</v>
      </c>
      <c r="H2582">
        <v>5</v>
      </c>
    </row>
    <row r="2583" spans="1:9" x14ac:dyDescent="0.3">
      <c r="A2583" s="22">
        <v>76</v>
      </c>
      <c r="B2583" t="s">
        <v>64</v>
      </c>
      <c r="C2583">
        <v>76</v>
      </c>
      <c r="D2583" s="8">
        <v>0.22370000000000001</v>
      </c>
      <c r="E2583" s="8">
        <v>0.31580000000000003</v>
      </c>
      <c r="F2583" s="8">
        <v>0.22370000000000001</v>
      </c>
      <c r="G2583" s="8">
        <v>0.15790000000000001</v>
      </c>
      <c r="H2583" s="8">
        <v>7.8899999999999998E-2</v>
      </c>
    </row>
    <row r="2585" spans="1:9" ht="72" x14ac:dyDescent="0.3">
      <c r="A2585" s="22" t="s">
        <v>647</v>
      </c>
    </row>
    <row r="2586" spans="1:9" x14ac:dyDescent="0.3">
      <c r="A2586" s="22" t="s">
        <v>66</v>
      </c>
      <c r="B2586" t="s">
        <v>62</v>
      </c>
      <c r="C2586" t="s">
        <v>57</v>
      </c>
      <c r="D2586" t="s">
        <v>63</v>
      </c>
      <c r="E2586">
        <v>1</v>
      </c>
      <c r="F2586">
        <v>2</v>
      </c>
      <c r="G2586">
        <v>3</v>
      </c>
      <c r="H2586">
        <v>4</v>
      </c>
      <c r="I2586">
        <v>5</v>
      </c>
    </row>
    <row r="2587" spans="1:9" x14ac:dyDescent="0.3">
      <c r="A2587" s="22" t="s">
        <v>67</v>
      </c>
      <c r="B2587">
        <v>72</v>
      </c>
      <c r="C2587" t="s">
        <v>64</v>
      </c>
      <c r="D2587">
        <v>76</v>
      </c>
      <c r="E2587" s="8">
        <v>0.2361</v>
      </c>
      <c r="F2587" s="8">
        <v>0.31940000000000002</v>
      </c>
      <c r="G2587" s="8">
        <v>0.22220000000000001</v>
      </c>
      <c r="H2587" s="8">
        <v>0.15279999999999999</v>
      </c>
      <c r="I2587" s="8">
        <v>6.9400000000000003E-2</v>
      </c>
    </row>
    <row r="2588" spans="1:9" x14ac:dyDescent="0.3">
      <c r="A2588" s="22" t="s">
        <v>68</v>
      </c>
      <c r="B2588">
        <v>4</v>
      </c>
      <c r="C2588" t="s">
        <v>64</v>
      </c>
      <c r="D2588">
        <v>76</v>
      </c>
      <c r="F2588" s="8">
        <v>0.25</v>
      </c>
      <c r="G2588" s="8">
        <v>0.25</v>
      </c>
      <c r="H2588" s="8">
        <v>0.25</v>
      </c>
      <c r="I2588" s="8">
        <v>0.25</v>
      </c>
    </row>
    <row r="2590" spans="1:9" x14ac:dyDescent="0.3">
      <c r="A2590"/>
    </row>
    <row r="2591" spans="1:9" x14ac:dyDescent="0.3">
      <c r="A2591"/>
    </row>
    <row r="2592" spans="1:9" x14ac:dyDescent="0.3">
      <c r="A2592"/>
    </row>
    <row r="2593" spans="1:9" x14ac:dyDescent="0.3">
      <c r="A2593"/>
    </row>
    <row r="2594" spans="1:9" ht="72" x14ac:dyDescent="0.3">
      <c r="A2594" s="22" t="s">
        <v>648</v>
      </c>
    </row>
    <row r="2595" spans="1:9" x14ac:dyDescent="0.3">
      <c r="A2595" s="22" t="s">
        <v>66</v>
      </c>
      <c r="B2595" t="s">
        <v>62</v>
      </c>
      <c r="C2595" t="s">
        <v>57</v>
      </c>
      <c r="D2595" t="s">
        <v>63</v>
      </c>
      <c r="E2595">
        <v>1</v>
      </c>
      <c r="F2595">
        <v>2</v>
      </c>
      <c r="G2595">
        <v>3</v>
      </c>
      <c r="H2595">
        <v>4</v>
      </c>
      <c r="I2595">
        <v>5</v>
      </c>
    </row>
    <row r="2596" spans="1:9" x14ac:dyDescent="0.3">
      <c r="A2596" s="22" t="s">
        <v>67</v>
      </c>
      <c r="B2596">
        <v>72</v>
      </c>
      <c r="C2596" t="s">
        <v>64</v>
      </c>
      <c r="D2596">
        <v>76</v>
      </c>
      <c r="E2596" s="8">
        <v>0.2361</v>
      </c>
      <c r="F2596" s="8">
        <v>0.29170000000000001</v>
      </c>
      <c r="G2596" s="8">
        <v>0.22220000000000001</v>
      </c>
      <c r="H2596" s="8">
        <v>0.16669999999999999</v>
      </c>
      <c r="I2596" s="8">
        <v>8.3299999999999999E-2</v>
      </c>
    </row>
    <row r="2597" spans="1:9" x14ac:dyDescent="0.3">
      <c r="A2597" s="22" t="s">
        <v>68</v>
      </c>
      <c r="B2597">
        <v>4</v>
      </c>
      <c r="C2597" t="s">
        <v>64</v>
      </c>
      <c r="D2597">
        <v>76</v>
      </c>
      <c r="F2597" s="8">
        <v>0.75</v>
      </c>
      <c r="G2597" s="8">
        <v>0.25</v>
      </c>
    </row>
    <row r="2599" spans="1:9" ht="57.6" x14ac:dyDescent="0.3">
      <c r="A2599" s="22" t="s">
        <v>649</v>
      </c>
    </row>
    <row r="2600" spans="1:9" x14ac:dyDescent="0.3">
      <c r="A2600" s="22" t="s">
        <v>66</v>
      </c>
      <c r="B2600" t="s">
        <v>62</v>
      </c>
      <c r="C2600" t="s">
        <v>57</v>
      </c>
      <c r="D2600" t="s">
        <v>63</v>
      </c>
      <c r="E2600">
        <v>1</v>
      </c>
      <c r="F2600">
        <v>2</v>
      </c>
      <c r="G2600">
        <v>3</v>
      </c>
      <c r="H2600">
        <v>4</v>
      </c>
      <c r="I2600">
        <v>5</v>
      </c>
    </row>
    <row r="2601" spans="1:9" x14ac:dyDescent="0.3">
      <c r="A2601" s="22" t="s">
        <v>67</v>
      </c>
      <c r="B2601">
        <v>76</v>
      </c>
      <c r="C2601" t="s">
        <v>64</v>
      </c>
      <c r="D2601">
        <v>76</v>
      </c>
      <c r="E2601" s="8">
        <v>0.22370000000000001</v>
      </c>
      <c r="F2601" s="8">
        <v>0.31580000000000003</v>
      </c>
      <c r="G2601" s="8">
        <v>0.22370000000000001</v>
      </c>
      <c r="H2601" s="8">
        <v>0.15790000000000001</v>
      </c>
      <c r="I2601" s="8">
        <v>7.8899999999999998E-2</v>
      </c>
    </row>
    <row r="2603" spans="1:9" ht="72" x14ac:dyDescent="0.3">
      <c r="A2603" s="22" t="s">
        <v>650</v>
      </c>
    </row>
    <row r="2604" spans="1:9" x14ac:dyDescent="0.3">
      <c r="A2604" s="22" t="s">
        <v>66</v>
      </c>
      <c r="B2604" t="s">
        <v>62</v>
      </c>
      <c r="C2604" t="s">
        <v>57</v>
      </c>
      <c r="D2604" t="s">
        <v>63</v>
      </c>
      <c r="E2604">
        <v>1</v>
      </c>
      <c r="F2604">
        <v>2</v>
      </c>
      <c r="G2604">
        <v>3</v>
      </c>
      <c r="H2604">
        <v>4</v>
      </c>
      <c r="I2604">
        <v>5</v>
      </c>
    </row>
    <row r="2605" spans="1:9" x14ac:dyDescent="0.3">
      <c r="A2605" s="22" t="s">
        <v>67</v>
      </c>
      <c r="B2605">
        <v>72</v>
      </c>
      <c r="C2605" t="s">
        <v>64</v>
      </c>
      <c r="D2605">
        <v>76</v>
      </c>
      <c r="E2605" s="8">
        <v>0.2361</v>
      </c>
      <c r="F2605" s="8">
        <v>0.31940000000000002</v>
      </c>
      <c r="G2605" s="8">
        <v>0.22220000000000001</v>
      </c>
      <c r="H2605" s="8">
        <v>0.15279999999999999</v>
      </c>
      <c r="I2605" s="8">
        <v>6.9400000000000003E-2</v>
      </c>
    </row>
    <row r="2606" spans="1:9" x14ac:dyDescent="0.3">
      <c r="A2606" s="22" t="s">
        <v>68</v>
      </c>
      <c r="B2606">
        <v>4</v>
      </c>
      <c r="C2606" t="s">
        <v>64</v>
      </c>
      <c r="D2606">
        <v>76</v>
      </c>
      <c r="F2606" s="8">
        <v>0.25</v>
      </c>
      <c r="G2606" s="8">
        <v>0.25</v>
      </c>
      <c r="H2606" s="8">
        <v>0.25</v>
      </c>
      <c r="I2606" s="8">
        <v>0.25</v>
      </c>
    </row>
    <row r="2608" spans="1:9" ht="72" x14ac:dyDescent="0.3">
      <c r="A2608" s="22" t="s">
        <v>651</v>
      </c>
    </row>
    <row r="2609" spans="1:9" x14ac:dyDescent="0.3">
      <c r="A2609" s="22" t="s">
        <v>66</v>
      </c>
      <c r="B2609" t="s">
        <v>62</v>
      </c>
      <c r="C2609" t="s">
        <v>57</v>
      </c>
      <c r="D2609" t="s">
        <v>63</v>
      </c>
      <c r="E2609">
        <v>1</v>
      </c>
      <c r="F2609">
        <v>2</v>
      </c>
      <c r="G2609">
        <v>3</v>
      </c>
      <c r="H2609">
        <v>4</v>
      </c>
      <c r="I2609">
        <v>5</v>
      </c>
    </row>
    <row r="2610" spans="1:9" x14ac:dyDescent="0.3">
      <c r="A2610" s="22" t="s">
        <v>67</v>
      </c>
      <c r="B2610">
        <v>3</v>
      </c>
      <c r="C2610" t="s">
        <v>64</v>
      </c>
      <c r="D2610">
        <v>76</v>
      </c>
      <c r="G2610" s="8">
        <v>0.66669999999999996</v>
      </c>
      <c r="I2610" s="8">
        <v>0.33329999999999999</v>
      </c>
    </row>
    <row r="2611" spans="1:9" x14ac:dyDescent="0.3">
      <c r="A2611" s="22" t="s">
        <v>68</v>
      </c>
      <c r="B2611">
        <v>73</v>
      </c>
      <c r="C2611" t="s">
        <v>64</v>
      </c>
      <c r="D2611">
        <v>76</v>
      </c>
      <c r="E2611" s="8">
        <v>0.2329</v>
      </c>
      <c r="F2611" s="8">
        <v>0.32879999999999998</v>
      </c>
      <c r="G2611" s="8">
        <v>0.20549999999999999</v>
      </c>
      <c r="H2611" s="8">
        <v>0.16439999999999999</v>
      </c>
      <c r="I2611" s="8">
        <v>6.8500000000000005E-2</v>
      </c>
    </row>
    <row r="2613" spans="1:9" ht="72" x14ac:dyDescent="0.3">
      <c r="A2613" s="22" t="s">
        <v>652</v>
      </c>
    </row>
    <row r="2614" spans="1:9" x14ac:dyDescent="0.3">
      <c r="A2614" s="22" t="s">
        <v>66</v>
      </c>
      <c r="B2614" t="s">
        <v>62</v>
      </c>
      <c r="C2614" t="s">
        <v>57</v>
      </c>
      <c r="D2614" t="s">
        <v>63</v>
      </c>
      <c r="E2614">
        <v>1</v>
      </c>
      <c r="F2614">
        <v>2</v>
      </c>
      <c r="G2614">
        <v>3</v>
      </c>
      <c r="H2614">
        <v>4</v>
      </c>
      <c r="I2614">
        <v>5</v>
      </c>
    </row>
    <row r="2615" spans="1:9" x14ac:dyDescent="0.3">
      <c r="A2615" s="22" t="s">
        <v>67</v>
      </c>
      <c r="B2615">
        <v>62</v>
      </c>
      <c r="C2615" t="s">
        <v>64</v>
      </c>
      <c r="D2615">
        <v>76</v>
      </c>
      <c r="E2615" s="8">
        <v>0.2097</v>
      </c>
      <c r="F2615" s="8">
        <v>0.30649999999999999</v>
      </c>
      <c r="G2615" s="8">
        <v>0.2097</v>
      </c>
      <c r="H2615" s="8">
        <v>0.1774</v>
      </c>
      <c r="I2615" s="8">
        <v>9.6799999999999997E-2</v>
      </c>
    </row>
    <row r="2616" spans="1:9" x14ac:dyDescent="0.3">
      <c r="A2616" s="22" t="s">
        <v>68</v>
      </c>
      <c r="B2616">
        <v>14</v>
      </c>
      <c r="C2616" t="s">
        <v>64</v>
      </c>
      <c r="D2616">
        <v>76</v>
      </c>
      <c r="E2616" s="8">
        <v>0.28570000000000001</v>
      </c>
      <c r="F2616" s="8">
        <v>0.35709999999999997</v>
      </c>
      <c r="G2616" s="8">
        <v>0.28570000000000001</v>
      </c>
      <c r="H2616" s="8">
        <v>7.1400000000000005E-2</v>
      </c>
    </row>
    <row r="2618" spans="1:9" ht="57.6" x14ac:dyDescent="0.3">
      <c r="A2618" s="22" t="s">
        <v>653</v>
      </c>
    </row>
    <row r="2619" spans="1:9" x14ac:dyDescent="0.3">
      <c r="A2619" s="22" t="s">
        <v>66</v>
      </c>
      <c r="B2619" t="s">
        <v>62</v>
      </c>
      <c r="C2619" t="s">
        <v>57</v>
      </c>
      <c r="D2619" t="s">
        <v>63</v>
      </c>
      <c r="E2619">
        <v>1</v>
      </c>
      <c r="F2619">
        <v>2</v>
      </c>
      <c r="G2619">
        <v>3</v>
      </c>
      <c r="H2619">
        <v>4</v>
      </c>
      <c r="I2619">
        <v>5</v>
      </c>
    </row>
    <row r="2620" spans="1:9" x14ac:dyDescent="0.3">
      <c r="A2620" s="22" t="s">
        <v>67</v>
      </c>
      <c r="B2620">
        <v>59</v>
      </c>
      <c r="C2620" t="s">
        <v>64</v>
      </c>
      <c r="D2620">
        <v>76</v>
      </c>
      <c r="E2620" s="8">
        <v>0.2203</v>
      </c>
      <c r="F2620" s="8">
        <v>0.35589999999999999</v>
      </c>
      <c r="G2620" s="8">
        <v>0.2034</v>
      </c>
      <c r="H2620" s="8">
        <v>0.16950000000000001</v>
      </c>
      <c r="I2620" s="8">
        <v>5.0799999999999998E-2</v>
      </c>
    </row>
    <row r="2621" spans="1:9" x14ac:dyDescent="0.3">
      <c r="A2621" s="22" t="s">
        <v>68</v>
      </c>
      <c r="B2621">
        <v>17</v>
      </c>
      <c r="C2621" t="s">
        <v>64</v>
      </c>
      <c r="D2621">
        <v>76</v>
      </c>
      <c r="E2621" s="8">
        <v>0.23530000000000001</v>
      </c>
      <c r="F2621" s="8">
        <v>0.17649999999999999</v>
      </c>
      <c r="G2621" s="8">
        <v>0.29409999999999997</v>
      </c>
      <c r="H2621" s="8">
        <v>0.1176</v>
      </c>
      <c r="I2621" s="8">
        <v>0.17649999999999999</v>
      </c>
    </row>
    <row r="2623" spans="1:9" ht="72" x14ac:dyDescent="0.3">
      <c r="A2623" s="22" t="s">
        <v>654</v>
      </c>
    </row>
    <row r="2624" spans="1:9" x14ac:dyDescent="0.3">
      <c r="A2624" s="22" t="s">
        <v>66</v>
      </c>
      <c r="B2624" t="s">
        <v>62</v>
      </c>
      <c r="C2624" t="s">
        <v>57</v>
      </c>
      <c r="D2624" t="s">
        <v>63</v>
      </c>
      <c r="E2624">
        <v>1</v>
      </c>
      <c r="F2624">
        <v>2</v>
      </c>
      <c r="G2624">
        <v>3</v>
      </c>
      <c r="H2624">
        <v>4</v>
      </c>
      <c r="I2624">
        <v>5</v>
      </c>
    </row>
    <row r="2625" spans="1:9" x14ac:dyDescent="0.3">
      <c r="A2625" s="22" t="s">
        <v>67</v>
      </c>
      <c r="B2625">
        <v>59</v>
      </c>
      <c r="C2625" t="s">
        <v>64</v>
      </c>
      <c r="D2625">
        <v>76</v>
      </c>
      <c r="E2625" s="8">
        <v>0.2203</v>
      </c>
      <c r="F2625" s="8">
        <v>0.37290000000000001</v>
      </c>
      <c r="G2625" s="8">
        <v>0.18640000000000001</v>
      </c>
      <c r="H2625" s="8">
        <v>0.16950000000000001</v>
      </c>
      <c r="I2625" s="8">
        <v>5.0799999999999998E-2</v>
      </c>
    </row>
    <row r="2626" spans="1:9" x14ac:dyDescent="0.3">
      <c r="A2626" s="22" t="s">
        <v>68</v>
      </c>
      <c r="B2626">
        <v>17</v>
      </c>
      <c r="C2626" t="s">
        <v>64</v>
      </c>
      <c r="D2626">
        <v>76</v>
      </c>
      <c r="E2626" s="8">
        <v>0.23530000000000001</v>
      </c>
      <c r="F2626" s="8">
        <v>0.1176</v>
      </c>
      <c r="G2626" s="8">
        <v>0.35289999999999999</v>
      </c>
      <c r="H2626" s="8">
        <v>0.1176</v>
      </c>
      <c r="I2626" s="8">
        <v>0.17649999999999999</v>
      </c>
    </row>
    <row r="2628" spans="1:9" ht="72" x14ac:dyDescent="0.3">
      <c r="A2628" s="22" t="s">
        <v>655</v>
      </c>
    </row>
    <row r="2629" spans="1:9" x14ac:dyDescent="0.3">
      <c r="A2629" s="22" t="s">
        <v>66</v>
      </c>
      <c r="B2629" t="s">
        <v>62</v>
      </c>
      <c r="C2629" t="s">
        <v>57</v>
      </c>
      <c r="D2629" t="s">
        <v>63</v>
      </c>
      <c r="E2629">
        <v>1</v>
      </c>
      <c r="F2629">
        <v>2</v>
      </c>
      <c r="G2629">
        <v>3</v>
      </c>
      <c r="H2629">
        <v>4</v>
      </c>
      <c r="I2629">
        <v>5</v>
      </c>
    </row>
    <row r="2630" spans="1:9" x14ac:dyDescent="0.3">
      <c r="A2630" s="22" t="s">
        <v>67</v>
      </c>
      <c r="B2630">
        <v>71</v>
      </c>
      <c r="C2630" t="s">
        <v>64</v>
      </c>
      <c r="D2630">
        <v>76</v>
      </c>
      <c r="E2630" s="8">
        <v>0.2394</v>
      </c>
      <c r="F2630" s="8">
        <v>0.30990000000000001</v>
      </c>
      <c r="G2630" s="8">
        <v>0.21129999999999999</v>
      </c>
      <c r="H2630" s="8">
        <v>0.16900000000000001</v>
      </c>
      <c r="I2630" s="8">
        <v>7.0400000000000004E-2</v>
      </c>
    </row>
    <row r="2631" spans="1:9" x14ac:dyDescent="0.3">
      <c r="A2631" s="22" t="s">
        <v>68</v>
      </c>
      <c r="B2631">
        <v>5</v>
      </c>
      <c r="C2631" t="s">
        <v>64</v>
      </c>
      <c r="D2631">
        <v>76</v>
      </c>
      <c r="F2631" s="8">
        <v>0.4</v>
      </c>
      <c r="G2631" s="8">
        <v>0.4</v>
      </c>
      <c r="I2631" s="8">
        <v>0.2</v>
      </c>
    </row>
    <row r="2633" spans="1:9" ht="72" x14ac:dyDescent="0.3">
      <c r="A2633" s="22" t="s">
        <v>656</v>
      </c>
    </row>
    <row r="2634" spans="1:9" x14ac:dyDescent="0.3">
      <c r="A2634" s="22" t="s">
        <v>66</v>
      </c>
      <c r="B2634" t="s">
        <v>62</v>
      </c>
      <c r="C2634" t="s">
        <v>57</v>
      </c>
      <c r="D2634" t="s">
        <v>63</v>
      </c>
      <c r="E2634">
        <v>1</v>
      </c>
      <c r="F2634">
        <v>2</v>
      </c>
      <c r="G2634">
        <v>3</v>
      </c>
      <c r="H2634">
        <v>4</v>
      </c>
      <c r="I2634">
        <v>5</v>
      </c>
    </row>
    <row r="2635" spans="1:9" x14ac:dyDescent="0.3">
      <c r="A2635" s="22" t="s">
        <v>67</v>
      </c>
      <c r="B2635">
        <v>76</v>
      </c>
      <c r="C2635" t="s">
        <v>64</v>
      </c>
      <c r="D2635">
        <v>76</v>
      </c>
      <c r="E2635" s="8">
        <v>0.22370000000000001</v>
      </c>
      <c r="F2635" s="8">
        <v>0.31580000000000003</v>
      </c>
      <c r="G2635" s="8">
        <v>0.22370000000000001</v>
      </c>
      <c r="H2635" s="8">
        <v>0.15790000000000001</v>
      </c>
      <c r="I2635" s="8">
        <v>7.8899999999999998E-2</v>
      </c>
    </row>
    <row r="2637" spans="1:9" ht="57.6" x14ac:dyDescent="0.3">
      <c r="A2637" s="22" t="s">
        <v>657</v>
      </c>
    </row>
    <row r="2638" spans="1:9" x14ac:dyDescent="0.3">
      <c r="A2638" s="22" t="s">
        <v>66</v>
      </c>
      <c r="B2638" t="s">
        <v>62</v>
      </c>
      <c r="C2638" t="s">
        <v>57</v>
      </c>
      <c r="D2638" t="s">
        <v>63</v>
      </c>
      <c r="E2638">
        <v>1</v>
      </c>
      <c r="F2638">
        <v>2</v>
      </c>
      <c r="G2638">
        <v>3</v>
      </c>
      <c r="H2638">
        <v>4</v>
      </c>
      <c r="I2638">
        <v>5</v>
      </c>
    </row>
    <row r="2639" spans="1:9" x14ac:dyDescent="0.3">
      <c r="A2639" s="22" t="s">
        <v>67</v>
      </c>
      <c r="B2639">
        <v>51</v>
      </c>
      <c r="C2639" t="s">
        <v>64</v>
      </c>
      <c r="D2639">
        <v>76</v>
      </c>
      <c r="E2639" s="8">
        <v>0.25490000000000002</v>
      </c>
      <c r="F2639" s="8">
        <v>0.29409999999999997</v>
      </c>
      <c r="G2639" s="8">
        <v>0.17649999999999999</v>
      </c>
      <c r="H2639" s="8">
        <v>0.17649999999999999</v>
      </c>
      <c r="I2639" s="8">
        <v>9.8000000000000004E-2</v>
      </c>
    </row>
    <row r="2640" spans="1:9" x14ac:dyDescent="0.3">
      <c r="A2640" s="22" t="s">
        <v>68</v>
      </c>
      <c r="B2640">
        <v>25</v>
      </c>
      <c r="C2640" t="s">
        <v>64</v>
      </c>
      <c r="D2640">
        <v>76</v>
      </c>
      <c r="E2640" s="8">
        <v>0.16</v>
      </c>
      <c r="F2640" s="8">
        <v>0.36</v>
      </c>
      <c r="G2640" s="8">
        <v>0.32</v>
      </c>
      <c r="H2640" s="8">
        <v>0.12</v>
      </c>
      <c r="I2640" s="8">
        <v>0.04</v>
      </c>
    </row>
    <row r="2642" spans="1:9" ht="72" x14ac:dyDescent="0.3">
      <c r="A2642" s="22" t="s">
        <v>658</v>
      </c>
    </row>
    <row r="2643" spans="1:9" x14ac:dyDescent="0.3">
      <c r="A2643" s="22" t="s">
        <v>66</v>
      </c>
      <c r="B2643" t="s">
        <v>62</v>
      </c>
      <c r="C2643" t="s">
        <v>57</v>
      </c>
      <c r="D2643" t="s">
        <v>63</v>
      </c>
      <c r="E2643">
        <v>1</v>
      </c>
      <c r="F2643">
        <v>2</v>
      </c>
      <c r="G2643">
        <v>3</v>
      </c>
      <c r="H2643">
        <v>4</v>
      </c>
      <c r="I2643">
        <v>5</v>
      </c>
    </row>
    <row r="2644" spans="1:9" x14ac:dyDescent="0.3">
      <c r="A2644" s="22" t="s">
        <v>67</v>
      </c>
      <c r="B2644">
        <v>68</v>
      </c>
      <c r="C2644" t="s">
        <v>64</v>
      </c>
      <c r="D2644">
        <v>76</v>
      </c>
      <c r="E2644" s="8">
        <v>0.2059</v>
      </c>
      <c r="F2644" s="8">
        <v>0.30880000000000002</v>
      </c>
      <c r="G2644" s="8">
        <v>0.23530000000000001</v>
      </c>
      <c r="H2644" s="8">
        <v>0.1618</v>
      </c>
      <c r="I2644" s="8">
        <v>8.8200000000000001E-2</v>
      </c>
    </row>
    <row r="2645" spans="1:9" x14ac:dyDescent="0.3">
      <c r="A2645" s="22" t="s">
        <v>68</v>
      </c>
      <c r="B2645">
        <v>8</v>
      </c>
      <c r="C2645" t="s">
        <v>64</v>
      </c>
      <c r="D2645">
        <v>76</v>
      </c>
      <c r="E2645" s="8">
        <v>0.375</v>
      </c>
      <c r="F2645" s="8">
        <v>0.375</v>
      </c>
      <c r="G2645" s="8">
        <v>0.125</v>
      </c>
      <c r="H2645" s="8">
        <v>0.125</v>
      </c>
    </row>
    <row r="2647" spans="1:9" ht="57.6" x14ac:dyDescent="0.3">
      <c r="A2647" s="28" t="s">
        <v>659</v>
      </c>
    </row>
    <row r="2648" spans="1:9" x14ac:dyDescent="0.3">
      <c r="A2648" s="22" t="s">
        <v>66</v>
      </c>
      <c r="B2648" t="s">
        <v>62</v>
      </c>
      <c r="C2648" t="s">
        <v>57</v>
      </c>
      <c r="D2648" t="s">
        <v>63</v>
      </c>
      <c r="E2648">
        <v>1</v>
      </c>
      <c r="F2648">
        <v>2</v>
      </c>
      <c r="G2648">
        <v>3</v>
      </c>
      <c r="H2648">
        <v>4</v>
      </c>
      <c r="I2648">
        <v>5</v>
      </c>
    </row>
    <row r="2649" spans="1:9" x14ac:dyDescent="0.3">
      <c r="A2649" s="22" t="s">
        <v>81</v>
      </c>
      <c r="B2649">
        <v>16</v>
      </c>
      <c r="C2649" t="s">
        <v>64</v>
      </c>
      <c r="D2649">
        <v>76</v>
      </c>
      <c r="E2649" s="8">
        <v>0.125</v>
      </c>
      <c r="F2649" s="8">
        <v>0.4375</v>
      </c>
      <c r="G2649" s="8">
        <v>0.3125</v>
      </c>
      <c r="H2649" s="8">
        <v>0.125</v>
      </c>
    </row>
    <row r="2650" spans="1:9" x14ac:dyDescent="0.3">
      <c r="A2650" s="22" t="s">
        <v>82</v>
      </c>
      <c r="B2650">
        <v>21</v>
      </c>
      <c r="C2650" t="s">
        <v>64</v>
      </c>
      <c r="D2650">
        <v>76</v>
      </c>
      <c r="E2650" s="8">
        <v>0.38100000000000001</v>
      </c>
      <c r="F2650" s="8">
        <v>0.1905</v>
      </c>
      <c r="G2650" s="8">
        <v>0.1905</v>
      </c>
      <c r="H2650" s="8">
        <v>0.23810000000000001</v>
      </c>
    </row>
    <row r="2651" spans="1:9" x14ac:dyDescent="0.3">
      <c r="A2651" s="22" t="s">
        <v>83</v>
      </c>
      <c r="B2651">
        <v>25</v>
      </c>
      <c r="C2651" t="s">
        <v>64</v>
      </c>
      <c r="D2651">
        <v>76</v>
      </c>
      <c r="E2651" s="8">
        <v>0.16</v>
      </c>
      <c r="F2651" s="8">
        <v>0.4</v>
      </c>
      <c r="G2651" s="8">
        <v>0.12</v>
      </c>
      <c r="H2651" s="8">
        <v>0.12</v>
      </c>
      <c r="I2651" s="8">
        <v>0.2</v>
      </c>
    </row>
    <row r="2652" spans="1:9" x14ac:dyDescent="0.3">
      <c r="A2652" s="22" t="s">
        <v>84</v>
      </c>
      <c r="B2652">
        <v>14</v>
      </c>
      <c r="C2652" t="s">
        <v>64</v>
      </c>
      <c r="D2652">
        <v>76</v>
      </c>
      <c r="E2652" s="8">
        <v>0.21429999999999999</v>
      </c>
      <c r="F2652" s="8">
        <v>0.21429999999999999</v>
      </c>
      <c r="G2652" s="8">
        <v>0.35709999999999997</v>
      </c>
      <c r="H2652" s="8">
        <v>0.1429</v>
      </c>
      <c r="I2652" s="8">
        <v>7.1400000000000005E-2</v>
      </c>
    </row>
    <row r="2654" spans="1:9" ht="43.2" x14ac:dyDescent="0.3">
      <c r="A2654" s="28" t="s">
        <v>660</v>
      </c>
    </row>
    <row r="2655" spans="1:9" x14ac:dyDescent="0.3">
      <c r="A2655" s="22" t="s">
        <v>62</v>
      </c>
      <c r="B2655" t="s">
        <v>57</v>
      </c>
      <c r="C2655" t="s">
        <v>63</v>
      </c>
      <c r="D2655">
        <v>2</v>
      </c>
    </row>
    <row r="2656" spans="1:9" x14ac:dyDescent="0.3">
      <c r="A2656" s="22" t="s">
        <v>68</v>
      </c>
      <c r="B2656" t="s">
        <v>64</v>
      </c>
      <c r="C2656">
        <v>1</v>
      </c>
      <c r="D2656" s="8">
        <v>1</v>
      </c>
    </row>
    <row r="2658" spans="1:5" ht="72" x14ac:dyDescent="0.3">
      <c r="A2658" s="22" t="s">
        <v>661</v>
      </c>
    </row>
    <row r="2659" spans="1:5" x14ac:dyDescent="0.3">
      <c r="A2659" s="22" t="s">
        <v>66</v>
      </c>
      <c r="B2659" t="s">
        <v>62</v>
      </c>
      <c r="C2659" t="s">
        <v>57</v>
      </c>
      <c r="D2659" t="s">
        <v>63</v>
      </c>
      <c r="E2659">
        <v>2</v>
      </c>
    </row>
    <row r="2660" spans="1:5" x14ac:dyDescent="0.3">
      <c r="A2660" s="22" t="s">
        <v>67</v>
      </c>
      <c r="B2660">
        <v>1</v>
      </c>
      <c r="C2660" t="s">
        <v>64</v>
      </c>
      <c r="D2660">
        <v>1</v>
      </c>
      <c r="E2660" s="8">
        <v>1</v>
      </c>
    </row>
    <row r="2662" spans="1:5" x14ac:dyDescent="0.3">
      <c r="A2662"/>
    </row>
    <row r="2663" spans="1:5" x14ac:dyDescent="0.3">
      <c r="A2663"/>
    </row>
    <row r="2664" spans="1:5" x14ac:dyDescent="0.3">
      <c r="A2664"/>
    </row>
    <row r="2666" spans="1:5" ht="72" x14ac:dyDescent="0.3">
      <c r="A2666" s="22" t="s">
        <v>662</v>
      </c>
    </row>
    <row r="2667" spans="1:5" x14ac:dyDescent="0.3">
      <c r="A2667" s="22" t="s">
        <v>66</v>
      </c>
      <c r="B2667" t="s">
        <v>62</v>
      </c>
      <c r="C2667" t="s">
        <v>57</v>
      </c>
      <c r="D2667" t="s">
        <v>63</v>
      </c>
      <c r="E2667">
        <v>2</v>
      </c>
    </row>
    <row r="2668" spans="1:5" x14ac:dyDescent="0.3">
      <c r="A2668" s="22" t="s">
        <v>67</v>
      </c>
      <c r="B2668">
        <v>1</v>
      </c>
      <c r="C2668" t="s">
        <v>64</v>
      </c>
      <c r="D2668">
        <v>1</v>
      </c>
      <c r="E2668" s="8">
        <v>1</v>
      </c>
    </row>
    <row r="2670" spans="1:5" ht="57.6" x14ac:dyDescent="0.3">
      <c r="A2670" s="22" t="s">
        <v>663</v>
      </c>
    </row>
    <row r="2671" spans="1:5" x14ac:dyDescent="0.3">
      <c r="A2671" s="22" t="s">
        <v>66</v>
      </c>
      <c r="B2671" t="s">
        <v>62</v>
      </c>
      <c r="C2671" t="s">
        <v>57</v>
      </c>
      <c r="D2671" t="s">
        <v>63</v>
      </c>
      <c r="E2671">
        <v>2</v>
      </c>
    </row>
    <row r="2672" spans="1:5" x14ac:dyDescent="0.3">
      <c r="A2672" s="22" t="s">
        <v>67</v>
      </c>
      <c r="B2672">
        <v>1</v>
      </c>
      <c r="C2672" t="s">
        <v>64</v>
      </c>
      <c r="D2672">
        <v>1</v>
      </c>
      <c r="E2672" s="8">
        <v>1</v>
      </c>
    </row>
    <row r="2674" spans="1:5" ht="72" x14ac:dyDescent="0.3">
      <c r="A2674" s="22" t="s">
        <v>664</v>
      </c>
    </row>
    <row r="2675" spans="1:5" x14ac:dyDescent="0.3">
      <c r="A2675" s="22" t="s">
        <v>66</v>
      </c>
      <c r="B2675" t="s">
        <v>62</v>
      </c>
      <c r="C2675" t="s">
        <v>57</v>
      </c>
      <c r="D2675" t="s">
        <v>63</v>
      </c>
      <c r="E2675">
        <v>2</v>
      </c>
    </row>
    <row r="2676" spans="1:5" x14ac:dyDescent="0.3">
      <c r="A2676" s="22" t="s">
        <v>67</v>
      </c>
      <c r="B2676">
        <v>1</v>
      </c>
      <c r="C2676" t="s">
        <v>64</v>
      </c>
      <c r="D2676">
        <v>1</v>
      </c>
      <c r="E2676" s="8">
        <v>1</v>
      </c>
    </row>
    <row r="2678" spans="1:5" ht="72" x14ac:dyDescent="0.3">
      <c r="A2678" s="22" t="s">
        <v>665</v>
      </c>
    </row>
    <row r="2679" spans="1:5" x14ac:dyDescent="0.3">
      <c r="A2679" s="22" t="s">
        <v>66</v>
      </c>
      <c r="B2679" t="s">
        <v>62</v>
      </c>
      <c r="C2679" t="s">
        <v>57</v>
      </c>
      <c r="D2679" t="s">
        <v>63</v>
      </c>
      <c r="E2679">
        <v>2</v>
      </c>
    </row>
    <row r="2680" spans="1:5" x14ac:dyDescent="0.3">
      <c r="A2680" s="22" t="s">
        <v>68</v>
      </c>
      <c r="B2680">
        <v>1</v>
      </c>
      <c r="C2680" t="s">
        <v>64</v>
      </c>
      <c r="D2680">
        <v>1</v>
      </c>
      <c r="E2680" s="8">
        <v>1</v>
      </c>
    </row>
    <row r="2682" spans="1:5" ht="72" x14ac:dyDescent="0.3">
      <c r="A2682" s="22" t="s">
        <v>666</v>
      </c>
    </row>
    <row r="2683" spans="1:5" x14ac:dyDescent="0.3">
      <c r="A2683" s="22" t="s">
        <v>66</v>
      </c>
      <c r="B2683" t="s">
        <v>62</v>
      </c>
      <c r="C2683" t="s">
        <v>57</v>
      </c>
      <c r="D2683" t="s">
        <v>63</v>
      </c>
      <c r="E2683">
        <v>2</v>
      </c>
    </row>
    <row r="2684" spans="1:5" x14ac:dyDescent="0.3">
      <c r="A2684" s="22" t="s">
        <v>67</v>
      </c>
      <c r="B2684">
        <v>1</v>
      </c>
      <c r="C2684" t="s">
        <v>64</v>
      </c>
      <c r="D2684">
        <v>1</v>
      </c>
      <c r="E2684" s="8">
        <v>1</v>
      </c>
    </row>
    <row r="2686" spans="1:5" ht="57.6" x14ac:dyDescent="0.3">
      <c r="A2686" s="22" t="s">
        <v>667</v>
      </c>
    </row>
    <row r="2687" spans="1:5" x14ac:dyDescent="0.3">
      <c r="A2687" s="22" t="s">
        <v>66</v>
      </c>
      <c r="B2687" t="s">
        <v>62</v>
      </c>
      <c r="C2687" t="s">
        <v>57</v>
      </c>
      <c r="D2687" t="s">
        <v>63</v>
      </c>
      <c r="E2687">
        <v>2</v>
      </c>
    </row>
    <row r="2688" spans="1:5" x14ac:dyDescent="0.3">
      <c r="A2688" s="22" t="s">
        <v>67</v>
      </c>
      <c r="B2688">
        <v>1</v>
      </c>
      <c r="C2688" t="s">
        <v>64</v>
      </c>
      <c r="D2688">
        <v>1</v>
      </c>
      <c r="E2688" s="8">
        <v>1</v>
      </c>
    </row>
    <row r="2690" spans="1:5" ht="72" x14ac:dyDescent="0.3">
      <c r="A2690" s="22" t="s">
        <v>668</v>
      </c>
    </row>
    <row r="2691" spans="1:5" x14ac:dyDescent="0.3">
      <c r="A2691" s="22" t="s">
        <v>66</v>
      </c>
      <c r="B2691" t="s">
        <v>62</v>
      </c>
      <c r="C2691" t="s">
        <v>57</v>
      </c>
      <c r="D2691" t="s">
        <v>63</v>
      </c>
      <c r="E2691">
        <v>2</v>
      </c>
    </row>
    <row r="2692" spans="1:5" x14ac:dyDescent="0.3">
      <c r="A2692" s="22" t="s">
        <v>67</v>
      </c>
      <c r="B2692">
        <v>1</v>
      </c>
      <c r="C2692" t="s">
        <v>64</v>
      </c>
      <c r="D2692">
        <v>1</v>
      </c>
      <c r="E2692" s="8">
        <v>1</v>
      </c>
    </row>
    <row r="2694" spans="1:5" ht="72" x14ac:dyDescent="0.3">
      <c r="A2694" s="22" t="s">
        <v>669</v>
      </c>
    </row>
    <row r="2695" spans="1:5" x14ac:dyDescent="0.3">
      <c r="A2695" s="22" t="s">
        <v>66</v>
      </c>
      <c r="B2695" t="s">
        <v>62</v>
      </c>
      <c r="C2695" t="s">
        <v>57</v>
      </c>
      <c r="D2695" t="s">
        <v>63</v>
      </c>
      <c r="E2695">
        <v>2</v>
      </c>
    </row>
    <row r="2696" spans="1:5" x14ac:dyDescent="0.3">
      <c r="A2696" s="22" t="s">
        <v>67</v>
      </c>
      <c r="B2696">
        <v>1</v>
      </c>
      <c r="C2696" t="s">
        <v>64</v>
      </c>
      <c r="D2696">
        <v>1</v>
      </c>
      <c r="E2696" s="8">
        <v>1</v>
      </c>
    </row>
    <row r="2698" spans="1:5" ht="72" x14ac:dyDescent="0.3">
      <c r="A2698" s="22" t="s">
        <v>670</v>
      </c>
    </row>
    <row r="2699" spans="1:5" x14ac:dyDescent="0.3">
      <c r="A2699" s="22" t="s">
        <v>66</v>
      </c>
      <c r="B2699" t="s">
        <v>62</v>
      </c>
      <c r="C2699" t="s">
        <v>57</v>
      </c>
      <c r="D2699" t="s">
        <v>63</v>
      </c>
      <c r="E2699">
        <v>2</v>
      </c>
    </row>
    <row r="2700" spans="1:5" x14ac:dyDescent="0.3">
      <c r="A2700" s="22" t="s">
        <v>67</v>
      </c>
      <c r="B2700">
        <v>1</v>
      </c>
      <c r="C2700" t="s">
        <v>64</v>
      </c>
      <c r="D2700">
        <v>1</v>
      </c>
      <c r="E2700" s="8">
        <v>1</v>
      </c>
    </row>
    <row r="2702" spans="1:5" ht="57.6" x14ac:dyDescent="0.3">
      <c r="A2702" s="22" t="s">
        <v>671</v>
      </c>
    </row>
    <row r="2703" spans="1:5" x14ac:dyDescent="0.3">
      <c r="A2703" s="22" t="s">
        <v>66</v>
      </c>
      <c r="B2703" t="s">
        <v>62</v>
      </c>
      <c r="C2703" t="s">
        <v>57</v>
      </c>
      <c r="D2703" t="s">
        <v>63</v>
      </c>
      <c r="E2703">
        <v>2</v>
      </c>
    </row>
    <row r="2704" spans="1:5" x14ac:dyDescent="0.3">
      <c r="A2704" s="22" t="s">
        <v>68</v>
      </c>
      <c r="B2704">
        <v>1</v>
      </c>
      <c r="C2704" t="s">
        <v>64</v>
      </c>
      <c r="D2704">
        <v>1</v>
      </c>
      <c r="E2704" s="8">
        <v>1</v>
      </c>
    </row>
    <row r="2706" spans="1:9" ht="72" x14ac:dyDescent="0.3">
      <c r="A2706" s="22" t="s">
        <v>672</v>
      </c>
    </row>
    <row r="2707" spans="1:9" x14ac:dyDescent="0.3">
      <c r="A2707" s="22" t="s">
        <v>66</v>
      </c>
      <c r="B2707" t="s">
        <v>62</v>
      </c>
      <c r="C2707" t="s">
        <v>57</v>
      </c>
      <c r="D2707" t="s">
        <v>63</v>
      </c>
      <c r="E2707">
        <v>2</v>
      </c>
    </row>
    <row r="2708" spans="1:9" x14ac:dyDescent="0.3">
      <c r="A2708" s="22" t="s">
        <v>67</v>
      </c>
      <c r="B2708">
        <v>1</v>
      </c>
      <c r="C2708" t="s">
        <v>64</v>
      </c>
      <c r="D2708">
        <v>1</v>
      </c>
      <c r="E2708" s="8">
        <v>1</v>
      </c>
    </row>
    <row r="2710" spans="1:9" ht="57.6" x14ac:dyDescent="0.3">
      <c r="A2710" s="28" t="s">
        <v>673</v>
      </c>
    </row>
    <row r="2711" spans="1:9" x14ac:dyDescent="0.3">
      <c r="A2711" s="22" t="s">
        <v>66</v>
      </c>
      <c r="B2711" t="s">
        <v>62</v>
      </c>
      <c r="C2711" t="s">
        <v>57</v>
      </c>
      <c r="D2711" t="s">
        <v>63</v>
      </c>
      <c r="E2711">
        <v>2</v>
      </c>
    </row>
    <row r="2712" spans="1:9" x14ac:dyDescent="0.3">
      <c r="A2712" s="22" t="s">
        <v>81</v>
      </c>
      <c r="B2712">
        <v>1</v>
      </c>
      <c r="C2712" t="s">
        <v>64</v>
      </c>
      <c r="D2712">
        <v>1</v>
      </c>
      <c r="E2712" s="8">
        <v>1</v>
      </c>
    </row>
    <row r="2714" spans="1:9" ht="43.2" x14ac:dyDescent="0.3">
      <c r="A2714" s="28" t="s">
        <v>674</v>
      </c>
    </row>
    <row r="2715" spans="1:9" x14ac:dyDescent="0.3">
      <c r="A2715" s="22" t="s">
        <v>62</v>
      </c>
      <c r="B2715" t="s">
        <v>57</v>
      </c>
      <c r="C2715" t="s">
        <v>63</v>
      </c>
      <c r="D2715">
        <v>1</v>
      </c>
      <c r="E2715">
        <v>2</v>
      </c>
      <c r="F2715">
        <v>3</v>
      </c>
      <c r="G2715">
        <v>4</v>
      </c>
      <c r="H2715">
        <v>5</v>
      </c>
    </row>
    <row r="2716" spans="1:9" x14ac:dyDescent="0.3">
      <c r="A2716" s="22">
        <v>95</v>
      </c>
      <c r="B2716" t="s">
        <v>64</v>
      </c>
      <c r="C2716">
        <v>95</v>
      </c>
      <c r="D2716" s="8">
        <v>0.31580000000000003</v>
      </c>
      <c r="E2716" s="8">
        <v>0.2</v>
      </c>
      <c r="F2716" s="8">
        <v>0.32629999999999998</v>
      </c>
      <c r="G2716" s="8">
        <v>0.1158</v>
      </c>
      <c r="H2716" s="8">
        <v>4.2099999999999999E-2</v>
      </c>
    </row>
    <row r="2718" spans="1:9" ht="72" x14ac:dyDescent="0.3">
      <c r="A2718" s="22" t="s">
        <v>675</v>
      </c>
    </row>
    <row r="2719" spans="1:9" x14ac:dyDescent="0.3">
      <c r="A2719" s="22" t="s">
        <v>66</v>
      </c>
      <c r="B2719" t="s">
        <v>62</v>
      </c>
      <c r="C2719" t="s">
        <v>57</v>
      </c>
      <c r="D2719" t="s">
        <v>63</v>
      </c>
      <c r="E2719">
        <v>1</v>
      </c>
      <c r="F2719">
        <v>2</v>
      </c>
      <c r="G2719">
        <v>3</v>
      </c>
      <c r="H2719">
        <v>4</v>
      </c>
      <c r="I2719">
        <v>5</v>
      </c>
    </row>
    <row r="2720" spans="1:9" x14ac:dyDescent="0.3">
      <c r="A2720" s="22" t="s">
        <v>67</v>
      </c>
      <c r="B2720">
        <v>89</v>
      </c>
      <c r="C2720" t="s">
        <v>64</v>
      </c>
      <c r="D2720">
        <v>95</v>
      </c>
      <c r="E2720" s="8">
        <v>0.32579999999999998</v>
      </c>
      <c r="F2720" s="8">
        <v>0.20219999999999999</v>
      </c>
      <c r="G2720" s="8">
        <v>0.32579999999999998</v>
      </c>
      <c r="H2720" s="8">
        <v>0.1124</v>
      </c>
      <c r="I2720" s="8">
        <v>3.3700000000000001E-2</v>
      </c>
    </row>
    <row r="2721" spans="1:9" x14ac:dyDescent="0.3">
      <c r="A2721" s="22" t="s">
        <v>68</v>
      </c>
      <c r="B2721">
        <v>6</v>
      </c>
      <c r="C2721" t="s">
        <v>64</v>
      </c>
      <c r="D2721">
        <v>95</v>
      </c>
      <c r="E2721" s="8">
        <v>0.16669999999999999</v>
      </c>
      <c r="F2721" s="8">
        <v>0.16669999999999999</v>
      </c>
      <c r="G2721" s="8">
        <v>0.33329999999999999</v>
      </c>
      <c r="H2721" s="8">
        <v>0.16669999999999999</v>
      </c>
      <c r="I2721" s="8">
        <v>0.16669999999999999</v>
      </c>
    </row>
    <row r="2723" spans="1:9" x14ac:dyDescent="0.3">
      <c r="A2723"/>
    </row>
    <row r="2724" spans="1:9" x14ac:dyDescent="0.3">
      <c r="A2724"/>
    </row>
    <row r="2725" spans="1:9" x14ac:dyDescent="0.3">
      <c r="A2725"/>
    </row>
    <row r="2727" spans="1:9" ht="72" x14ac:dyDescent="0.3">
      <c r="A2727" s="22" t="s">
        <v>676</v>
      </c>
    </row>
    <row r="2728" spans="1:9" x14ac:dyDescent="0.3">
      <c r="A2728" s="22" t="s">
        <v>66</v>
      </c>
      <c r="B2728" t="s">
        <v>62</v>
      </c>
      <c r="C2728" t="s">
        <v>57</v>
      </c>
      <c r="D2728" t="s">
        <v>63</v>
      </c>
      <c r="E2728">
        <v>1</v>
      </c>
      <c r="F2728">
        <v>2</v>
      </c>
      <c r="G2728">
        <v>3</v>
      </c>
      <c r="H2728">
        <v>4</v>
      </c>
      <c r="I2728">
        <v>5</v>
      </c>
    </row>
    <row r="2729" spans="1:9" x14ac:dyDescent="0.3">
      <c r="A2729" s="22" t="s">
        <v>67</v>
      </c>
      <c r="B2729">
        <v>90</v>
      </c>
      <c r="C2729" t="s">
        <v>64</v>
      </c>
      <c r="D2729">
        <v>95</v>
      </c>
      <c r="E2729" s="8">
        <v>0.31109999999999999</v>
      </c>
      <c r="F2729" s="8">
        <v>0.21110000000000001</v>
      </c>
      <c r="G2729" s="8">
        <v>0.32219999999999999</v>
      </c>
      <c r="H2729" s="8">
        <v>0.1111</v>
      </c>
      <c r="I2729" s="8">
        <v>4.4400000000000002E-2</v>
      </c>
    </row>
    <row r="2730" spans="1:9" x14ac:dyDescent="0.3">
      <c r="A2730" s="22" t="s">
        <v>68</v>
      </c>
      <c r="B2730">
        <v>5</v>
      </c>
      <c r="C2730" t="s">
        <v>64</v>
      </c>
      <c r="D2730">
        <v>95</v>
      </c>
      <c r="E2730" s="8">
        <v>0.4</v>
      </c>
      <c r="G2730" s="8">
        <v>0.4</v>
      </c>
      <c r="H2730" s="8">
        <v>0.2</v>
      </c>
    </row>
    <row r="2732" spans="1:9" ht="57.6" x14ac:dyDescent="0.3">
      <c r="A2732" s="22" t="s">
        <v>677</v>
      </c>
    </row>
    <row r="2733" spans="1:9" x14ac:dyDescent="0.3">
      <c r="A2733" s="22" t="s">
        <v>66</v>
      </c>
      <c r="B2733" t="s">
        <v>62</v>
      </c>
      <c r="C2733" t="s">
        <v>57</v>
      </c>
      <c r="D2733" t="s">
        <v>63</v>
      </c>
      <c r="E2733">
        <v>1</v>
      </c>
      <c r="F2733">
        <v>2</v>
      </c>
      <c r="G2733">
        <v>3</v>
      </c>
      <c r="H2733">
        <v>4</v>
      </c>
      <c r="I2733">
        <v>5</v>
      </c>
    </row>
    <row r="2734" spans="1:9" x14ac:dyDescent="0.3">
      <c r="A2734" s="22" t="s">
        <v>67</v>
      </c>
      <c r="B2734">
        <v>94</v>
      </c>
      <c r="C2734" t="s">
        <v>64</v>
      </c>
      <c r="D2734">
        <v>95</v>
      </c>
      <c r="E2734" s="8">
        <v>0.3085</v>
      </c>
      <c r="F2734" s="8">
        <v>0.2021</v>
      </c>
      <c r="G2734" s="8">
        <v>0.32979999999999998</v>
      </c>
      <c r="H2734" s="8">
        <v>0.11700000000000001</v>
      </c>
      <c r="I2734" s="8">
        <v>4.2599999999999999E-2</v>
      </c>
    </row>
    <row r="2735" spans="1:9" x14ac:dyDescent="0.3">
      <c r="A2735" s="22" t="s">
        <v>68</v>
      </c>
      <c r="B2735">
        <v>1</v>
      </c>
      <c r="C2735" t="s">
        <v>64</v>
      </c>
      <c r="D2735">
        <v>95</v>
      </c>
      <c r="E2735" s="8">
        <v>1</v>
      </c>
    </row>
    <row r="2737" spans="1:9" ht="72" x14ac:dyDescent="0.3">
      <c r="A2737" s="22" t="s">
        <v>678</v>
      </c>
    </row>
    <row r="2738" spans="1:9" x14ac:dyDescent="0.3">
      <c r="A2738" s="22" t="s">
        <v>66</v>
      </c>
      <c r="B2738" t="s">
        <v>62</v>
      </c>
      <c r="C2738" t="s">
        <v>57</v>
      </c>
      <c r="D2738" t="s">
        <v>63</v>
      </c>
      <c r="E2738">
        <v>1</v>
      </c>
      <c r="F2738">
        <v>2</v>
      </c>
      <c r="G2738">
        <v>3</v>
      </c>
      <c r="H2738">
        <v>4</v>
      </c>
      <c r="I2738">
        <v>5</v>
      </c>
    </row>
    <row r="2739" spans="1:9" x14ac:dyDescent="0.3">
      <c r="A2739" s="22" t="s">
        <v>67</v>
      </c>
      <c r="B2739">
        <v>88</v>
      </c>
      <c r="C2739" t="s">
        <v>64</v>
      </c>
      <c r="D2739">
        <v>95</v>
      </c>
      <c r="E2739" s="8">
        <v>0.31819999999999998</v>
      </c>
      <c r="F2739" s="8">
        <v>0.18179999999999999</v>
      </c>
      <c r="G2739" s="8">
        <v>0.34089999999999998</v>
      </c>
      <c r="H2739" s="8">
        <v>0.125</v>
      </c>
      <c r="I2739" s="8">
        <v>3.4099999999999998E-2</v>
      </c>
    </row>
    <row r="2740" spans="1:9" x14ac:dyDescent="0.3">
      <c r="A2740" s="22" t="s">
        <v>68</v>
      </c>
      <c r="B2740">
        <v>7</v>
      </c>
      <c r="C2740" t="s">
        <v>64</v>
      </c>
      <c r="D2740">
        <v>95</v>
      </c>
      <c r="E2740" s="8">
        <v>0.28570000000000001</v>
      </c>
      <c r="F2740" s="8">
        <v>0.42859999999999998</v>
      </c>
      <c r="G2740" s="8">
        <v>0.1429</v>
      </c>
      <c r="I2740" s="8">
        <v>0.1429</v>
      </c>
    </row>
    <row r="2742" spans="1:9" ht="72" x14ac:dyDescent="0.3">
      <c r="A2742" s="22" t="s">
        <v>679</v>
      </c>
    </row>
    <row r="2743" spans="1:9" x14ac:dyDescent="0.3">
      <c r="A2743" s="22" t="s">
        <v>66</v>
      </c>
      <c r="B2743" t="s">
        <v>62</v>
      </c>
      <c r="C2743" t="s">
        <v>57</v>
      </c>
      <c r="D2743" t="s">
        <v>63</v>
      </c>
      <c r="E2743">
        <v>1</v>
      </c>
      <c r="F2743">
        <v>2</v>
      </c>
      <c r="G2743">
        <v>3</v>
      </c>
      <c r="H2743">
        <v>4</v>
      </c>
      <c r="I2743">
        <v>5</v>
      </c>
    </row>
    <row r="2744" spans="1:9" x14ac:dyDescent="0.3">
      <c r="A2744" s="22" t="s">
        <v>67</v>
      </c>
      <c r="B2744">
        <v>3</v>
      </c>
      <c r="C2744" t="s">
        <v>64</v>
      </c>
      <c r="D2744">
        <v>95</v>
      </c>
      <c r="E2744" s="8">
        <v>0.33329999999999999</v>
      </c>
      <c r="G2744" s="8">
        <v>0.33329999999999999</v>
      </c>
      <c r="H2744" s="8">
        <v>0.33329999999999999</v>
      </c>
    </row>
    <row r="2745" spans="1:9" x14ac:dyDescent="0.3">
      <c r="A2745" s="22" t="s">
        <v>68</v>
      </c>
      <c r="B2745">
        <v>92</v>
      </c>
      <c r="C2745" t="s">
        <v>64</v>
      </c>
      <c r="D2745">
        <v>95</v>
      </c>
      <c r="E2745" s="8">
        <v>0.31519999999999998</v>
      </c>
      <c r="F2745" s="8">
        <v>0.20649999999999999</v>
      </c>
      <c r="G2745" s="8">
        <v>0.3261</v>
      </c>
      <c r="H2745" s="8">
        <v>0.1087</v>
      </c>
      <c r="I2745" s="8">
        <v>4.3499999999999997E-2</v>
      </c>
    </row>
    <row r="2747" spans="1:9" ht="72" x14ac:dyDescent="0.3">
      <c r="A2747" s="22" t="s">
        <v>680</v>
      </c>
    </row>
    <row r="2748" spans="1:9" x14ac:dyDescent="0.3">
      <c r="A2748" s="22" t="s">
        <v>66</v>
      </c>
      <c r="B2748" t="s">
        <v>62</v>
      </c>
      <c r="C2748" t="s">
        <v>57</v>
      </c>
      <c r="D2748" t="s">
        <v>63</v>
      </c>
      <c r="E2748">
        <v>1</v>
      </c>
      <c r="F2748">
        <v>2</v>
      </c>
      <c r="G2748">
        <v>3</v>
      </c>
      <c r="H2748">
        <v>4</v>
      </c>
      <c r="I2748">
        <v>5</v>
      </c>
    </row>
    <row r="2749" spans="1:9" x14ac:dyDescent="0.3">
      <c r="A2749" s="22" t="s">
        <v>67</v>
      </c>
      <c r="B2749">
        <v>82</v>
      </c>
      <c r="C2749" t="s">
        <v>64</v>
      </c>
      <c r="D2749">
        <v>95</v>
      </c>
      <c r="E2749" s="8">
        <v>0.3049</v>
      </c>
      <c r="F2749" s="8">
        <v>0.17069999999999999</v>
      </c>
      <c r="G2749" s="8">
        <v>0.34150000000000003</v>
      </c>
      <c r="H2749" s="8">
        <v>0.1341</v>
      </c>
      <c r="I2749" s="8">
        <v>4.8800000000000003E-2</v>
      </c>
    </row>
    <row r="2750" spans="1:9" x14ac:dyDescent="0.3">
      <c r="A2750" s="22" t="s">
        <v>68</v>
      </c>
      <c r="B2750">
        <v>13</v>
      </c>
      <c r="C2750" t="s">
        <v>64</v>
      </c>
      <c r="D2750">
        <v>95</v>
      </c>
      <c r="E2750" s="8">
        <v>0.3846</v>
      </c>
      <c r="F2750" s="8">
        <v>0.3846</v>
      </c>
      <c r="G2750" s="8">
        <v>0.23080000000000001</v>
      </c>
    </row>
    <row r="2752" spans="1:9" ht="57.6" x14ac:dyDescent="0.3">
      <c r="A2752" s="22" t="s">
        <v>681</v>
      </c>
    </row>
    <row r="2753" spans="1:9" x14ac:dyDescent="0.3">
      <c r="A2753" s="22" t="s">
        <v>66</v>
      </c>
      <c r="B2753" t="s">
        <v>62</v>
      </c>
      <c r="C2753" t="s">
        <v>57</v>
      </c>
      <c r="D2753" t="s">
        <v>63</v>
      </c>
      <c r="E2753">
        <v>1</v>
      </c>
      <c r="F2753">
        <v>2</v>
      </c>
      <c r="G2753">
        <v>3</v>
      </c>
      <c r="H2753">
        <v>4</v>
      </c>
      <c r="I2753">
        <v>5</v>
      </c>
    </row>
    <row r="2754" spans="1:9" x14ac:dyDescent="0.3">
      <c r="A2754" s="22" t="s">
        <v>67</v>
      </c>
      <c r="B2754">
        <v>76</v>
      </c>
      <c r="C2754" t="s">
        <v>64</v>
      </c>
      <c r="D2754">
        <v>95</v>
      </c>
      <c r="E2754" s="8">
        <v>0.32890000000000003</v>
      </c>
      <c r="F2754" s="8">
        <v>0.21049999999999999</v>
      </c>
      <c r="G2754" s="8">
        <v>0.32890000000000003</v>
      </c>
      <c r="H2754" s="8">
        <v>9.2100000000000001E-2</v>
      </c>
      <c r="I2754" s="8">
        <v>3.95E-2</v>
      </c>
    </row>
    <row r="2755" spans="1:9" x14ac:dyDescent="0.3">
      <c r="A2755" s="22" t="s">
        <v>68</v>
      </c>
      <c r="B2755">
        <v>19</v>
      </c>
      <c r="C2755" t="s">
        <v>64</v>
      </c>
      <c r="D2755">
        <v>95</v>
      </c>
      <c r="E2755" s="8">
        <v>0.26319999999999999</v>
      </c>
      <c r="F2755" s="8">
        <v>0.15790000000000001</v>
      </c>
      <c r="G2755" s="8">
        <v>0.31580000000000003</v>
      </c>
      <c r="H2755" s="8">
        <v>0.21049999999999999</v>
      </c>
      <c r="I2755" s="8">
        <v>5.2600000000000001E-2</v>
      </c>
    </row>
    <row r="2757" spans="1:9" ht="72" x14ac:dyDescent="0.3">
      <c r="A2757" s="22" t="s">
        <v>682</v>
      </c>
    </row>
    <row r="2758" spans="1:9" x14ac:dyDescent="0.3">
      <c r="A2758" s="22" t="s">
        <v>66</v>
      </c>
      <c r="B2758" t="s">
        <v>62</v>
      </c>
      <c r="C2758" t="s">
        <v>57</v>
      </c>
      <c r="D2758" t="s">
        <v>63</v>
      </c>
      <c r="E2758">
        <v>1</v>
      </c>
      <c r="F2758">
        <v>2</v>
      </c>
      <c r="G2758">
        <v>3</v>
      </c>
      <c r="H2758">
        <v>4</v>
      </c>
      <c r="I2758">
        <v>5</v>
      </c>
    </row>
    <row r="2759" spans="1:9" x14ac:dyDescent="0.3">
      <c r="A2759" s="22" t="s">
        <v>67</v>
      </c>
      <c r="B2759">
        <v>69</v>
      </c>
      <c r="C2759" t="s">
        <v>64</v>
      </c>
      <c r="D2759">
        <v>95</v>
      </c>
      <c r="E2759" s="8">
        <v>0.36230000000000001</v>
      </c>
      <c r="F2759" s="8">
        <v>0.2319</v>
      </c>
      <c r="G2759" s="8">
        <v>0.28989999999999999</v>
      </c>
      <c r="H2759" s="8">
        <v>7.2499999999999995E-2</v>
      </c>
      <c r="I2759" s="8">
        <v>4.3499999999999997E-2</v>
      </c>
    </row>
    <row r="2760" spans="1:9" x14ac:dyDescent="0.3">
      <c r="A2760" s="22" t="s">
        <v>68</v>
      </c>
      <c r="B2760">
        <v>26</v>
      </c>
      <c r="C2760" t="s">
        <v>64</v>
      </c>
      <c r="D2760">
        <v>95</v>
      </c>
      <c r="E2760" s="8">
        <v>0.1923</v>
      </c>
      <c r="F2760" s="8">
        <v>0.1154</v>
      </c>
      <c r="G2760" s="8">
        <v>0.42309999999999998</v>
      </c>
      <c r="H2760" s="8">
        <v>0.23080000000000001</v>
      </c>
      <c r="I2760" s="8">
        <v>3.85E-2</v>
      </c>
    </row>
    <row r="2762" spans="1:9" ht="72" x14ac:dyDescent="0.3">
      <c r="A2762" s="22" t="s">
        <v>683</v>
      </c>
    </row>
    <row r="2763" spans="1:9" x14ac:dyDescent="0.3">
      <c r="A2763" s="22" t="s">
        <v>66</v>
      </c>
      <c r="B2763" t="s">
        <v>62</v>
      </c>
      <c r="C2763" t="s">
        <v>57</v>
      </c>
      <c r="D2763" t="s">
        <v>63</v>
      </c>
      <c r="E2763">
        <v>1</v>
      </c>
      <c r="F2763">
        <v>2</v>
      </c>
      <c r="G2763">
        <v>3</v>
      </c>
      <c r="H2763">
        <v>4</v>
      </c>
      <c r="I2763">
        <v>5</v>
      </c>
    </row>
    <row r="2764" spans="1:9" x14ac:dyDescent="0.3">
      <c r="A2764" s="22" t="s">
        <v>67</v>
      </c>
      <c r="B2764">
        <v>87</v>
      </c>
      <c r="C2764" t="s">
        <v>64</v>
      </c>
      <c r="D2764">
        <v>95</v>
      </c>
      <c r="E2764" s="8">
        <v>0.33329999999999999</v>
      </c>
      <c r="F2764" s="8">
        <v>0.2069</v>
      </c>
      <c r="G2764" s="8">
        <v>0.2989</v>
      </c>
      <c r="H2764" s="8">
        <v>0.1149</v>
      </c>
      <c r="I2764" s="8">
        <v>4.5999999999999999E-2</v>
      </c>
    </row>
    <row r="2765" spans="1:9" x14ac:dyDescent="0.3">
      <c r="A2765" s="22" t="s">
        <v>68</v>
      </c>
      <c r="B2765">
        <v>8</v>
      </c>
      <c r="C2765" t="s">
        <v>64</v>
      </c>
      <c r="D2765">
        <v>95</v>
      </c>
      <c r="E2765" s="8">
        <v>0.125</v>
      </c>
      <c r="F2765" s="8">
        <v>0.125</v>
      </c>
      <c r="G2765" s="8">
        <v>0.625</v>
      </c>
      <c r="H2765" s="8">
        <v>0.125</v>
      </c>
    </row>
    <row r="2767" spans="1:9" ht="72" x14ac:dyDescent="0.3">
      <c r="A2767" s="22" t="s">
        <v>684</v>
      </c>
    </row>
    <row r="2768" spans="1:9" x14ac:dyDescent="0.3">
      <c r="A2768" s="22" t="s">
        <v>66</v>
      </c>
      <c r="B2768" t="s">
        <v>62</v>
      </c>
      <c r="C2768" t="s">
        <v>57</v>
      </c>
      <c r="D2768" t="s">
        <v>63</v>
      </c>
      <c r="E2768">
        <v>1</v>
      </c>
      <c r="F2768">
        <v>2</v>
      </c>
      <c r="G2768">
        <v>3</v>
      </c>
      <c r="H2768">
        <v>4</v>
      </c>
      <c r="I2768">
        <v>5</v>
      </c>
    </row>
    <row r="2769" spans="1:9" x14ac:dyDescent="0.3">
      <c r="A2769" s="22" t="s">
        <v>67</v>
      </c>
      <c r="B2769">
        <v>95</v>
      </c>
      <c r="C2769" t="s">
        <v>64</v>
      </c>
      <c r="D2769">
        <v>95</v>
      </c>
      <c r="E2769" s="8">
        <v>0.31580000000000003</v>
      </c>
      <c r="F2769" s="8">
        <v>0.2</v>
      </c>
      <c r="G2769" s="8">
        <v>0.32629999999999998</v>
      </c>
      <c r="H2769" s="8">
        <v>0.1158</v>
      </c>
      <c r="I2769" s="8">
        <v>4.2099999999999999E-2</v>
      </c>
    </row>
    <row r="2771" spans="1:9" ht="57.6" x14ac:dyDescent="0.3">
      <c r="A2771" s="22" t="s">
        <v>685</v>
      </c>
    </row>
    <row r="2772" spans="1:9" x14ac:dyDescent="0.3">
      <c r="A2772" s="22" t="s">
        <v>66</v>
      </c>
      <c r="B2772" t="s">
        <v>62</v>
      </c>
      <c r="C2772" t="s">
        <v>57</v>
      </c>
      <c r="D2772" t="s">
        <v>63</v>
      </c>
      <c r="E2772">
        <v>1</v>
      </c>
      <c r="F2772">
        <v>2</v>
      </c>
      <c r="G2772">
        <v>3</v>
      </c>
      <c r="H2772">
        <v>4</v>
      </c>
      <c r="I2772">
        <v>5</v>
      </c>
    </row>
    <row r="2773" spans="1:9" x14ac:dyDescent="0.3">
      <c r="A2773" s="22" t="s">
        <v>67</v>
      </c>
      <c r="B2773">
        <v>54</v>
      </c>
      <c r="C2773" t="s">
        <v>64</v>
      </c>
      <c r="D2773">
        <v>95</v>
      </c>
      <c r="E2773" s="8">
        <v>0.29630000000000001</v>
      </c>
      <c r="F2773" s="8">
        <v>0.22220000000000001</v>
      </c>
      <c r="G2773" s="8">
        <v>0.29630000000000001</v>
      </c>
      <c r="H2773" s="8">
        <v>0.12959999999999999</v>
      </c>
      <c r="I2773" s="8">
        <v>5.5599999999999997E-2</v>
      </c>
    </row>
    <row r="2774" spans="1:9" x14ac:dyDescent="0.3">
      <c r="A2774" s="22" t="s">
        <v>68</v>
      </c>
      <c r="B2774">
        <v>41</v>
      </c>
      <c r="C2774" t="s">
        <v>64</v>
      </c>
      <c r="D2774">
        <v>95</v>
      </c>
      <c r="E2774" s="8">
        <v>0.34150000000000003</v>
      </c>
      <c r="F2774" s="8">
        <v>0.17069999999999999</v>
      </c>
      <c r="G2774" s="8">
        <v>0.3659</v>
      </c>
      <c r="H2774" s="8">
        <v>9.7600000000000006E-2</v>
      </c>
      <c r="I2774" s="8">
        <v>2.4400000000000002E-2</v>
      </c>
    </row>
    <row r="2776" spans="1:9" ht="72" x14ac:dyDescent="0.3">
      <c r="A2776" s="22" t="s">
        <v>686</v>
      </c>
    </row>
    <row r="2777" spans="1:9" x14ac:dyDescent="0.3">
      <c r="A2777" s="22" t="s">
        <v>66</v>
      </c>
      <c r="B2777" t="s">
        <v>62</v>
      </c>
      <c r="C2777" t="s">
        <v>57</v>
      </c>
      <c r="D2777" t="s">
        <v>63</v>
      </c>
      <c r="E2777">
        <v>1</v>
      </c>
      <c r="F2777">
        <v>2</v>
      </c>
      <c r="G2777">
        <v>3</v>
      </c>
      <c r="H2777">
        <v>4</v>
      </c>
      <c r="I2777">
        <v>5</v>
      </c>
    </row>
    <row r="2778" spans="1:9" x14ac:dyDescent="0.3">
      <c r="A2778" s="22" t="s">
        <v>67</v>
      </c>
      <c r="B2778">
        <v>89</v>
      </c>
      <c r="C2778" t="s">
        <v>64</v>
      </c>
      <c r="D2778">
        <v>95</v>
      </c>
      <c r="E2778" s="8">
        <v>0.31459999999999999</v>
      </c>
      <c r="F2778" s="8">
        <v>0.2135</v>
      </c>
      <c r="G2778" s="8">
        <v>0.32579999999999998</v>
      </c>
      <c r="H2778" s="8">
        <v>0.1011</v>
      </c>
      <c r="I2778" s="8">
        <v>4.4900000000000002E-2</v>
      </c>
    </row>
    <row r="2779" spans="1:9" x14ac:dyDescent="0.3">
      <c r="A2779" s="22" t="s">
        <v>68</v>
      </c>
      <c r="B2779">
        <v>6</v>
      </c>
      <c r="C2779" t="s">
        <v>64</v>
      </c>
      <c r="D2779">
        <v>95</v>
      </c>
      <c r="E2779" s="8">
        <v>0.33329999999999999</v>
      </c>
      <c r="G2779" s="8">
        <v>0.33329999999999999</v>
      </c>
      <c r="H2779" s="8">
        <v>0.33329999999999999</v>
      </c>
    </row>
    <row r="2781" spans="1:9" ht="57.6" x14ac:dyDescent="0.3">
      <c r="A2781" s="27" t="s">
        <v>687</v>
      </c>
    </row>
    <row r="2782" spans="1:9" x14ac:dyDescent="0.3">
      <c r="A2782" s="22" t="s">
        <v>66</v>
      </c>
      <c r="B2782" t="s">
        <v>62</v>
      </c>
      <c r="C2782" t="s">
        <v>57</v>
      </c>
      <c r="D2782" t="s">
        <v>63</v>
      </c>
      <c r="E2782">
        <v>1</v>
      </c>
      <c r="F2782">
        <v>2</v>
      </c>
      <c r="G2782">
        <v>3</v>
      </c>
      <c r="H2782">
        <v>4</v>
      </c>
      <c r="I2782">
        <v>5</v>
      </c>
    </row>
    <row r="2783" spans="1:9" x14ac:dyDescent="0.3">
      <c r="A2783" s="22" t="s">
        <v>81</v>
      </c>
      <c r="B2783">
        <v>24</v>
      </c>
      <c r="C2783" t="s">
        <v>64</v>
      </c>
      <c r="D2783">
        <v>95</v>
      </c>
      <c r="E2783" s="8">
        <v>0.20830000000000001</v>
      </c>
      <c r="F2783" s="8">
        <v>0.33329999999999999</v>
      </c>
      <c r="G2783" s="8">
        <v>0.41670000000000001</v>
      </c>
      <c r="I2783" s="8">
        <v>4.1700000000000001E-2</v>
      </c>
    </row>
    <row r="2784" spans="1:9" x14ac:dyDescent="0.3">
      <c r="A2784" s="22" t="s">
        <v>82</v>
      </c>
      <c r="B2784">
        <v>18</v>
      </c>
      <c r="C2784" t="s">
        <v>64</v>
      </c>
      <c r="D2784">
        <v>95</v>
      </c>
      <c r="E2784" s="8">
        <v>0.33329999999999999</v>
      </c>
      <c r="F2784" s="8">
        <v>0.27779999999999999</v>
      </c>
      <c r="G2784" s="8">
        <v>0.22220000000000001</v>
      </c>
      <c r="H2784" s="8">
        <v>0.1111</v>
      </c>
      <c r="I2784" s="8">
        <v>5.5599999999999997E-2</v>
      </c>
    </row>
    <row r="2785" spans="1:9" x14ac:dyDescent="0.3">
      <c r="A2785" s="22" t="s">
        <v>83</v>
      </c>
      <c r="B2785">
        <v>22</v>
      </c>
      <c r="C2785" t="s">
        <v>64</v>
      </c>
      <c r="D2785">
        <v>95</v>
      </c>
      <c r="E2785" s="8">
        <v>0.36359999999999998</v>
      </c>
      <c r="F2785" s="8">
        <v>0.18179999999999999</v>
      </c>
      <c r="G2785" s="8">
        <v>0.2273</v>
      </c>
      <c r="H2785" s="8">
        <v>0.18179999999999999</v>
      </c>
      <c r="I2785" s="8">
        <v>4.5499999999999999E-2</v>
      </c>
    </row>
    <row r="2786" spans="1:9" x14ac:dyDescent="0.3">
      <c r="A2786" s="22" t="s">
        <v>84</v>
      </c>
      <c r="B2786">
        <v>31</v>
      </c>
      <c r="C2786" t="s">
        <v>64</v>
      </c>
      <c r="D2786">
        <v>95</v>
      </c>
      <c r="E2786" s="8">
        <v>0.3548</v>
      </c>
      <c r="F2786" s="8">
        <v>6.4500000000000002E-2</v>
      </c>
      <c r="G2786" s="8">
        <v>0.3871</v>
      </c>
      <c r="H2786" s="8">
        <v>0.1613</v>
      </c>
      <c r="I2786" s="8">
        <v>3.2300000000000002E-2</v>
      </c>
    </row>
    <row r="2788" spans="1:9" ht="43.2" x14ac:dyDescent="0.3">
      <c r="A2788" s="27" t="s">
        <v>688</v>
      </c>
    </row>
    <row r="2789" spans="1:9" x14ac:dyDescent="0.3">
      <c r="A2789" s="22" t="s">
        <v>62</v>
      </c>
      <c r="B2789" t="s">
        <v>57</v>
      </c>
      <c r="C2789" t="s">
        <v>63</v>
      </c>
      <c r="D2789">
        <v>1</v>
      </c>
    </row>
    <row r="2790" spans="1:9" x14ac:dyDescent="0.3">
      <c r="A2790" s="22" t="s">
        <v>68</v>
      </c>
      <c r="B2790" t="s">
        <v>64</v>
      </c>
      <c r="C2790">
        <v>1</v>
      </c>
      <c r="D2790" s="8">
        <v>1</v>
      </c>
    </row>
    <row r="2792" spans="1:9" ht="72" x14ac:dyDescent="0.3">
      <c r="A2792" s="22" t="s">
        <v>689</v>
      </c>
    </row>
    <row r="2793" spans="1:9" x14ac:dyDescent="0.3">
      <c r="A2793" s="22" t="s">
        <v>66</v>
      </c>
      <c r="B2793" t="s">
        <v>62</v>
      </c>
      <c r="C2793" t="s">
        <v>57</v>
      </c>
      <c r="D2793" t="s">
        <v>63</v>
      </c>
      <c r="E2793">
        <v>1</v>
      </c>
    </row>
    <row r="2794" spans="1:9" x14ac:dyDescent="0.3">
      <c r="A2794" s="22" t="s">
        <v>67</v>
      </c>
      <c r="B2794">
        <v>1</v>
      </c>
      <c r="C2794" t="s">
        <v>64</v>
      </c>
      <c r="D2794">
        <v>1</v>
      </c>
      <c r="E2794" s="8">
        <v>1</v>
      </c>
    </row>
    <row r="2796" spans="1:9" x14ac:dyDescent="0.3">
      <c r="A2796"/>
    </row>
    <row r="2797" spans="1:9" x14ac:dyDescent="0.3">
      <c r="A2797"/>
    </row>
    <row r="2798" spans="1:9" x14ac:dyDescent="0.3">
      <c r="A2798"/>
    </row>
    <row r="2800" spans="1:9" ht="72" x14ac:dyDescent="0.3">
      <c r="A2800" s="22" t="s">
        <v>690</v>
      </c>
    </row>
    <row r="2801" spans="1:5" x14ac:dyDescent="0.3">
      <c r="A2801" s="22" t="s">
        <v>66</v>
      </c>
      <c r="B2801" t="s">
        <v>62</v>
      </c>
      <c r="C2801" t="s">
        <v>57</v>
      </c>
      <c r="D2801" t="s">
        <v>63</v>
      </c>
      <c r="E2801">
        <v>1</v>
      </c>
    </row>
    <row r="2802" spans="1:5" x14ac:dyDescent="0.3">
      <c r="A2802" s="22" t="s">
        <v>67</v>
      </c>
      <c r="B2802">
        <v>1</v>
      </c>
      <c r="C2802" t="s">
        <v>64</v>
      </c>
      <c r="D2802">
        <v>1</v>
      </c>
      <c r="E2802" s="8">
        <v>1</v>
      </c>
    </row>
    <row r="2804" spans="1:5" ht="57.6" x14ac:dyDescent="0.3">
      <c r="A2804" s="22" t="s">
        <v>691</v>
      </c>
    </row>
    <row r="2805" spans="1:5" x14ac:dyDescent="0.3">
      <c r="A2805" s="22" t="s">
        <v>66</v>
      </c>
      <c r="B2805" t="s">
        <v>62</v>
      </c>
      <c r="C2805" t="s">
        <v>57</v>
      </c>
      <c r="D2805" t="s">
        <v>63</v>
      </c>
      <c r="E2805">
        <v>1</v>
      </c>
    </row>
    <row r="2806" spans="1:5" x14ac:dyDescent="0.3">
      <c r="A2806" s="22" t="s">
        <v>67</v>
      </c>
      <c r="B2806">
        <v>1</v>
      </c>
      <c r="C2806" t="s">
        <v>64</v>
      </c>
      <c r="D2806">
        <v>1</v>
      </c>
      <c r="E2806" s="8">
        <v>1</v>
      </c>
    </row>
    <row r="2808" spans="1:5" ht="72" x14ac:dyDescent="0.3">
      <c r="A2808" s="22" t="s">
        <v>692</v>
      </c>
    </row>
    <row r="2809" spans="1:5" x14ac:dyDescent="0.3">
      <c r="A2809" s="22" t="s">
        <v>66</v>
      </c>
      <c r="B2809" t="s">
        <v>62</v>
      </c>
      <c r="C2809" t="s">
        <v>57</v>
      </c>
      <c r="D2809" t="s">
        <v>63</v>
      </c>
      <c r="E2809">
        <v>1</v>
      </c>
    </row>
    <row r="2810" spans="1:5" x14ac:dyDescent="0.3">
      <c r="A2810" s="22" t="s">
        <v>68</v>
      </c>
      <c r="B2810">
        <v>1</v>
      </c>
      <c r="C2810" t="s">
        <v>64</v>
      </c>
      <c r="D2810">
        <v>1</v>
      </c>
      <c r="E2810" s="8">
        <v>1</v>
      </c>
    </row>
    <row r="2812" spans="1:5" ht="72" x14ac:dyDescent="0.3">
      <c r="A2812" s="22" t="s">
        <v>693</v>
      </c>
    </row>
    <row r="2813" spans="1:5" x14ac:dyDescent="0.3">
      <c r="A2813" s="22" t="s">
        <v>66</v>
      </c>
      <c r="B2813" t="s">
        <v>62</v>
      </c>
      <c r="C2813" t="s">
        <v>57</v>
      </c>
      <c r="D2813" t="s">
        <v>63</v>
      </c>
      <c r="E2813">
        <v>1</v>
      </c>
    </row>
    <row r="2814" spans="1:5" x14ac:dyDescent="0.3">
      <c r="A2814" s="22" t="s">
        <v>68</v>
      </c>
      <c r="B2814">
        <v>1</v>
      </c>
      <c r="C2814" t="s">
        <v>64</v>
      </c>
      <c r="D2814">
        <v>1</v>
      </c>
      <c r="E2814" s="8">
        <v>1</v>
      </c>
    </row>
    <row r="2816" spans="1:5" ht="72" x14ac:dyDescent="0.3">
      <c r="A2816" s="22" t="s">
        <v>694</v>
      </c>
    </row>
    <row r="2817" spans="1:5" x14ac:dyDescent="0.3">
      <c r="A2817" s="22" t="s">
        <v>66</v>
      </c>
      <c r="B2817" t="s">
        <v>62</v>
      </c>
      <c r="C2817" t="s">
        <v>57</v>
      </c>
      <c r="D2817" t="s">
        <v>63</v>
      </c>
      <c r="E2817">
        <v>1</v>
      </c>
    </row>
    <row r="2818" spans="1:5" x14ac:dyDescent="0.3">
      <c r="A2818" s="22" t="s">
        <v>68</v>
      </c>
      <c r="B2818">
        <v>1</v>
      </c>
      <c r="C2818" t="s">
        <v>64</v>
      </c>
      <c r="D2818">
        <v>1</v>
      </c>
      <c r="E2818" s="8">
        <v>1</v>
      </c>
    </row>
    <row r="2820" spans="1:5" ht="57.6" x14ac:dyDescent="0.3">
      <c r="A2820" s="22" t="s">
        <v>695</v>
      </c>
    </row>
    <row r="2821" spans="1:5" x14ac:dyDescent="0.3">
      <c r="A2821" s="22" t="s">
        <v>66</v>
      </c>
      <c r="B2821" t="s">
        <v>62</v>
      </c>
      <c r="C2821" t="s">
        <v>57</v>
      </c>
      <c r="D2821" t="s">
        <v>63</v>
      </c>
      <c r="E2821">
        <v>1</v>
      </c>
    </row>
    <row r="2822" spans="1:5" x14ac:dyDescent="0.3">
      <c r="A2822" s="22" t="s">
        <v>67</v>
      </c>
      <c r="B2822">
        <v>1</v>
      </c>
      <c r="C2822" t="s">
        <v>64</v>
      </c>
      <c r="D2822">
        <v>1</v>
      </c>
      <c r="E2822" s="8">
        <v>1</v>
      </c>
    </row>
    <row r="2824" spans="1:5" ht="72" x14ac:dyDescent="0.3">
      <c r="A2824" s="22" t="s">
        <v>696</v>
      </c>
    </row>
    <row r="2825" spans="1:5" x14ac:dyDescent="0.3">
      <c r="A2825" s="22" t="s">
        <v>66</v>
      </c>
      <c r="B2825" t="s">
        <v>62</v>
      </c>
      <c r="C2825" t="s">
        <v>57</v>
      </c>
      <c r="D2825" t="s">
        <v>63</v>
      </c>
      <c r="E2825">
        <v>1</v>
      </c>
    </row>
    <row r="2826" spans="1:5" x14ac:dyDescent="0.3">
      <c r="A2826" s="22" t="s">
        <v>67</v>
      </c>
      <c r="B2826">
        <v>1</v>
      </c>
      <c r="C2826" t="s">
        <v>64</v>
      </c>
      <c r="D2826">
        <v>1</v>
      </c>
      <c r="E2826" s="8">
        <v>1</v>
      </c>
    </row>
    <row r="2828" spans="1:5" ht="72" x14ac:dyDescent="0.3">
      <c r="A2828" s="22" t="s">
        <v>697</v>
      </c>
    </row>
    <row r="2829" spans="1:5" x14ac:dyDescent="0.3">
      <c r="A2829" s="22" t="s">
        <v>66</v>
      </c>
      <c r="B2829" t="s">
        <v>62</v>
      </c>
      <c r="C2829" t="s">
        <v>57</v>
      </c>
      <c r="D2829" t="s">
        <v>63</v>
      </c>
      <c r="E2829">
        <v>1</v>
      </c>
    </row>
    <row r="2830" spans="1:5" x14ac:dyDescent="0.3">
      <c r="A2830" s="22" t="s">
        <v>67</v>
      </c>
      <c r="B2830">
        <v>1</v>
      </c>
      <c r="C2830" t="s">
        <v>64</v>
      </c>
      <c r="D2830">
        <v>1</v>
      </c>
      <c r="E2830" s="8">
        <v>1</v>
      </c>
    </row>
    <row r="2832" spans="1:5" ht="72" x14ac:dyDescent="0.3">
      <c r="A2832" s="22" t="s">
        <v>698</v>
      </c>
    </row>
    <row r="2833" spans="1:5" x14ac:dyDescent="0.3">
      <c r="A2833" s="22" t="s">
        <v>66</v>
      </c>
      <c r="B2833" t="s">
        <v>62</v>
      </c>
      <c r="C2833" t="s">
        <v>57</v>
      </c>
      <c r="D2833" t="s">
        <v>63</v>
      </c>
      <c r="E2833">
        <v>1</v>
      </c>
    </row>
    <row r="2834" spans="1:5" x14ac:dyDescent="0.3">
      <c r="A2834" s="22" t="s">
        <v>67</v>
      </c>
      <c r="B2834">
        <v>1</v>
      </c>
      <c r="C2834" t="s">
        <v>64</v>
      </c>
      <c r="D2834">
        <v>1</v>
      </c>
      <c r="E2834" s="8">
        <v>1</v>
      </c>
    </row>
    <row r="2836" spans="1:5" ht="57.6" x14ac:dyDescent="0.3">
      <c r="A2836" s="22" t="s">
        <v>699</v>
      </c>
    </row>
    <row r="2837" spans="1:5" x14ac:dyDescent="0.3">
      <c r="A2837" s="22" t="s">
        <v>66</v>
      </c>
      <c r="B2837" t="s">
        <v>62</v>
      </c>
      <c r="C2837" t="s">
        <v>57</v>
      </c>
      <c r="D2837" t="s">
        <v>63</v>
      </c>
      <c r="E2837">
        <v>1</v>
      </c>
    </row>
    <row r="2838" spans="1:5" x14ac:dyDescent="0.3">
      <c r="A2838" s="22" t="s">
        <v>67</v>
      </c>
      <c r="B2838">
        <v>1</v>
      </c>
      <c r="C2838" t="s">
        <v>64</v>
      </c>
      <c r="D2838">
        <v>1</v>
      </c>
      <c r="E2838" s="8">
        <v>1</v>
      </c>
    </row>
    <row r="2840" spans="1:5" ht="72" x14ac:dyDescent="0.3">
      <c r="A2840" s="22" t="s">
        <v>700</v>
      </c>
    </row>
    <row r="2841" spans="1:5" x14ac:dyDescent="0.3">
      <c r="A2841" s="22" t="s">
        <v>66</v>
      </c>
      <c r="B2841" t="s">
        <v>62</v>
      </c>
      <c r="C2841" t="s">
        <v>57</v>
      </c>
      <c r="D2841" t="s">
        <v>63</v>
      </c>
      <c r="E2841">
        <v>1</v>
      </c>
    </row>
    <row r="2842" spans="1:5" x14ac:dyDescent="0.3">
      <c r="A2842" s="22" t="s">
        <v>67</v>
      </c>
      <c r="B2842">
        <v>1</v>
      </c>
      <c r="C2842" t="s">
        <v>64</v>
      </c>
      <c r="D2842">
        <v>1</v>
      </c>
      <c r="E2842" s="8">
        <v>1</v>
      </c>
    </row>
    <row r="2844" spans="1:5" ht="57.6" x14ac:dyDescent="0.3">
      <c r="A2844" s="27" t="s">
        <v>701</v>
      </c>
    </row>
    <row r="2845" spans="1:5" x14ac:dyDescent="0.3">
      <c r="A2845" s="22" t="s">
        <v>66</v>
      </c>
      <c r="B2845" t="s">
        <v>62</v>
      </c>
      <c r="C2845" t="s">
        <v>57</v>
      </c>
      <c r="D2845" t="s">
        <v>63</v>
      </c>
      <c r="E2845">
        <v>1</v>
      </c>
    </row>
    <row r="2846" spans="1:5" x14ac:dyDescent="0.3">
      <c r="A2846" s="22" t="s">
        <v>81</v>
      </c>
      <c r="B2846">
        <v>1</v>
      </c>
      <c r="C2846" t="s">
        <v>64</v>
      </c>
      <c r="D2846">
        <v>1</v>
      </c>
      <c r="E2846" s="8">
        <v>1</v>
      </c>
    </row>
    <row r="2848" spans="1:5" ht="43.2" x14ac:dyDescent="0.3">
      <c r="A2848" s="27" t="s">
        <v>702</v>
      </c>
    </row>
    <row r="2849" spans="1:8" x14ac:dyDescent="0.3">
      <c r="A2849" s="22" t="s">
        <v>62</v>
      </c>
      <c r="B2849" t="s">
        <v>57</v>
      </c>
      <c r="C2849" t="s">
        <v>63</v>
      </c>
      <c r="D2849">
        <v>1</v>
      </c>
      <c r="E2849">
        <v>3</v>
      </c>
      <c r="F2849">
        <v>4</v>
      </c>
      <c r="G2849">
        <v>5</v>
      </c>
    </row>
    <row r="2850" spans="1:8" x14ac:dyDescent="0.3">
      <c r="A2850" s="22">
        <v>5</v>
      </c>
      <c r="B2850" t="s">
        <v>64</v>
      </c>
      <c r="C2850">
        <v>5</v>
      </c>
      <c r="D2850" s="8">
        <v>0.4</v>
      </c>
      <c r="E2850" s="8">
        <v>0.2</v>
      </c>
      <c r="F2850" s="8">
        <v>0.2</v>
      </c>
      <c r="G2850" s="8">
        <v>0.2</v>
      </c>
    </row>
    <row r="2852" spans="1:8" ht="72" x14ac:dyDescent="0.3">
      <c r="A2852" s="22" t="s">
        <v>703</v>
      </c>
    </row>
    <row r="2853" spans="1:8" x14ac:dyDescent="0.3">
      <c r="A2853" s="22" t="s">
        <v>66</v>
      </c>
      <c r="B2853" t="s">
        <v>62</v>
      </c>
      <c r="C2853" t="s">
        <v>57</v>
      </c>
      <c r="D2853" t="s">
        <v>63</v>
      </c>
      <c r="E2853">
        <v>1</v>
      </c>
      <c r="F2853">
        <v>3</v>
      </c>
      <c r="G2853">
        <v>4</v>
      </c>
      <c r="H2853">
        <v>5</v>
      </c>
    </row>
    <row r="2854" spans="1:8" x14ac:dyDescent="0.3">
      <c r="A2854" s="22" t="s">
        <v>67</v>
      </c>
      <c r="B2854">
        <v>5</v>
      </c>
      <c r="C2854" t="s">
        <v>64</v>
      </c>
      <c r="D2854">
        <v>5</v>
      </c>
      <c r="E2854" s="8">
        <v>0.4</v>
      </c>
      <c r="F2854" s="8">
        <v>0.2</v>
      </c>
      <c r="G2854" s="8">
        <v>0.2</v>
      </c>
      <c r="H2854" s="8">
        <v>0.2</v>
      </c>
    </row>
    <row r="2856" spans="1:8" x14ac:dyDescent="0.3">
      <c r="A2856"/>
    </row>
    <row r="2857" spans="1:8" x14ac:dyDescent="0.3">
      <c r="A2857"/>
    </row>
    <row r="2858" spans="1:8" x14ac:dyDescent="0.3">
      <c r="A2858"/>
    </row>
    <row r="2860" spans="1:8" ht="72" x14ac:dyDescent="0.3">
      <c r="A2860" s="22" t="s">
        <v>704</v>
      </c>
    </row>
    <row r="2861" spans="1:8" x14ac:dyDescent="0.3">
      <c r="A2861" s="22" t="s">
        <v>66</v>
      </c>
      <c r="B2861" t="s">
        <v>62</v>
      </c>
      <c r="C2861" t="s">
        <v>57</v>
      </c>
      <c r="D2861" t="s">
        <v>63</v>
      </c>
      <c r="E2861">
        <v>1</v>
      </c>
      <c r="F2861">
        <v>3</v>
      </c>
      <c r="G2861">
        <v>4</v>
      </c>
      <c r="H2861">
        <v>5</v>
      </c>
    </row>
    <row r="2862" spans="1:8" x14ac:dyDescent="0.3">
      <c r="A2862" s="22" t="s">
        <v>67</v>
      </c>
      <c r="B2862">
        <v>5</v>
      </c>
      <c r="C2862" t="s">
        <v>64</v>
      </c>
      <c r="D2862">
        <v>5</v>
      </c>
      <c r="E2862" s="8">
        <v>0.4</v>
      </c>
      <c r="F2862" s="8">
        <v>0.2</v>
      </c>
      <c r="G2862" s="8">
        <v>0.2</v>
      </c>
      <c r="H2862" s="8">
        <v>0.2</v>
      </c>
    </row>
    <row r="2864" spans="1:8" ht="57.6" x14ac:dyDescent="0.3">
      <c r="A2864" s="22" t="s">
        <v>705</v>
      </c>
    </row>
    <row r="2865" spans="1:8" x14ac:dyDescent="0.3">
      <c r="A2865" s="22" t="s">
        <v>66</v>
      </c>
      <c r="B2865" t="s">
        <v>62</v>
      </c>
      <c r="C2865" t="s">
        <v>57</v>
      </c>
      <c r="D2865" t="s">
        <v>63</v>
      </c>
      <c r="E2865">
        <v>1</v>
      </c>
      <c r="F2865">
        <v>3</v>
      </c>
      <c r="G2865">
        <v>4</v>
      </c>
      <c r="H2865">
        <v>5</v>
      </c>
    </row>
    <row r="2866" spans="1:8" x14ac:dyDescent="0.3">
      <c r="A2866" s="22" t="s">
        <v>67</v>
      </c>
      <c r="B2866">
        <v>5</v>
      </c>
      <c r="C2866" t="s">
        <v>64</v>
      </c>
      <c r="D2866">
        <v>5</v>
      </c>
      <c r="E2866" s="8">
        <v>0.4</v>
      </c>
      <c r="F2866" s="8">
        <v>0.2</v>
      </c>
      <c r="G2866" s="8">
        <v>0.2</v>
      </c>
      <c r="H2866" s="8">
        <v>0.2</v>
      </c>
    </row>
    <row r="2868" spans="1:8" ht="72" x14ac:dyDescent="0.3">
      <c r="A2868" s="22" t="s">
        <v>706</v>
      </c>
    </row>
    <row r="2869" spans="1:8" x14ac:dyDescent="0.3">
      <c r="A2869" s="22" t="s">
        <v>66</v>
      </c>
      <c r="B2869" t="s">
        <v>62</v>
      </c>
      <c r="C2869" t="s">
        <v>57</v>
      </c>
      <c r="D2869" t="s">
        <v>63</v>
      </c>
      <c r="E2869">
        <v>1</v>
      </c>
      <c r="F2869">
        <v>3</v>
      </c>
      <c r="G2869">
        <v>4</v>
      </c>
      <c r="H2869">
        <v>5</v>
      </c>
    </row>
    <row r="2870" spans="1:8" x14ac:dyDescent="0.3">
      <c r="A2870" s="22" t="s">
        <v>67</v>
      </c>
      <c r="B2870">
        <v>5</v>
      </c>
      <c r="C2870" t="s">
        <v>64</v>
      </c>
      <c r="D2870">
        <v>5</v>
      </c>
      <c r="E2870" s="8">
        <v>0.4</v>
      </c>
      <c r="F2870" s="8">
        <v>0.2</v>
      </c>
      <c r="G2870" s="8">
        <v>0.2</v>
      </c>
      <c r="H2870" s="8">
        <v>0.2</v>
      </c>
    </row>
    <row r="2872" spans="1:8" ht="72" x14ac:dyDescent="0.3">
      <c r="A2872" s="22" t="s">
        <v>707</v>
      </c>
    </row>
    <row r="2873" spans="1:8" x14ac:dyDescent="0.3">
      <c r="A2873" s="22" t="s">
        <v>66</v>
      </c>
      <c r="B2873" t="s">
        <v>62</v>
      </c>
      <c r="C2873" t="s">
        <v>57</v>
      </c>
      <c r="D2873" t="s">
        <v>63</v>
      </c>
      <c r="E2873">
        <v>1</v>
      </c>
      <c r="F2873">
        <v>3</v>
      </c>
      <c r="G2873">
        <v>4</v>
      </c>
      <c r="H2873">
        <v>5</v>
      </c>
    </row>
    <row r="2874" spans="1:8" x14ac:dyDescent="0.3">
      <c r="A2874" s="22" t="s">
        <v>68</v>
      </c>
      <c r="B2874">
        <v>5</v>
      </c>
      <c r="C2874" t="s">
        <v>64</v>
      </c>
      <c r="D2874">
        <v>5</v>
      </c>
      <c r="E2874" s="8">
        <v>0.4</v>
      </c>
      <c r="F2874" s="8">
        <v>0.2</v>
      </c>
      <c r="G2874" s="8">
        <v>0.2</v>
      </c>
      <c r="H2874" s="8">
        <v>0.2</v>
      </c>
    </row>
    <row r="2876" spans="1:8" ht="72" x14ac:dyDescent="0.3">
      <c r="A2876" s="22" t="s">
        <v>708</v>
      </c>
    </row>
    <row r="2877" spans="1:8" x14ac:dyDescent="0.3">
      <c r="A2877" s="22" t="s">
        <v>66</v>
      </c>
      <c r="B2877" t="s">
        <v>62</v>
      </c>
      <c r="C2877" t="s">
        <v>57</v>
      </c>
      <c r="D2877" t="s">
        <v>63</v>
      </c>
      <c r="E2877">
        <v>1</v>
      </c>
      <c r="F2877">
        <v>3</v>
      </c>
      <c r="G2877">
        <v>4</v>
      </c>
      <c r="H2877">
        <v>5</v>
      </c>
    </row>
    <row r="2878" spans="1:8" x14ac:dyDescent="0.3">
      <c r="A2878" s="22" t="s">
        <v>67</v>
      </c>
      <c r="B2878">
        <v>5</v>
      </c>
      <c r="C2878" t="s">
        <v>64</v>
      </c>
      <c r="D2878">
        <v>5</v>
      </c>
      <c r="E2878" s="8">
        <v>0.4</v>
      </c>
      <c r="F2878" s="8">
        <v>0.2</v>
      </c>
      <c r="G2878" s="8">
        <v>0.2</v>
      </c>
      <c r="H2878" s="8">
        <v>0.2</v>
      </c>
    </row>
    <row r="2880" spans="1:8" ht="57.6" x14ac:dyDescent="0.3">
      <c r="A2880" s="22" t="s">
        <v>709</v>
      </c>
    </row>
    <row r="2881" spans="1:8" x14ac:dyDescent="0.3">
      <c r="A2881" s="22" t="s">
        <v>66</v>
      </c>
      <c r="B2881" t="s">
        <v>62</v>
      </c>
      <c r="C2881" t="s">
        <v>57</v>
      </c>
      <c r="D2881" t="s">
        <v>63</v>
      </c>
      <c r="E2881">
        <v>1</v>
      </c>
      <c r="F2881">
        <v>3</v>
      </c>
      <c r="G2881">
        <v>4</v>
      </c>
      <c r="H2881">
        <v>5</v>
      </c>
    </row>
    <row r="2882" spans="1:8" x14ac:dyDescent="0.3">
      <c r="A2882" s="22" t="s">
        <v>67</v>
      </c>
      <c r="B2882">
        <v>4</v>
      </c>
      <c r="C2882" t="s">
        <v>64</v>
      </c>
      <c r="D2882">
        <v>5</v>
      </c>
      <c r="E2882" s="8">
        <v>0.5</v>
      </c>
      <c r="G2882" s="8">
        <v>0.25</v>
      </c>
      <c r="H2882" s="8">
        <v>0.25</v>
      </c>
    </row>
    <row r="2883" spans="1:8" x14ac:dyDescent="0.3">
      <c r="A2883" s="22" t="s">
        <v>68</v>
      </c>
      <c r="B2883">
        <v>1</v>
      </c>
      <c r="C2883" t="s">
        <v>64</v>
      </c>
      <c r="D2883">
        <v>5</v>
      </c>
      <c r="F2883" s="8">
        <v>1</v>
      </c>
    </row>
    <row r="2885" spans="1:8" ht="72" x14ac:dyDescent="0.3">
      <c r="A2885" s="22" t="s">
        <v>710</v>
      </c>
    </row>
    <row r="2886" spans="1:8" x14ac:dyDescent="0.3">
      <c r="A2886" s="22" t="s">
        <v>66</v>
      </c>
      <c r="B2886" t="s">
        <v>62</v>
      </c>
      <c r="C2886" t="s">
        <v>57</v>
      </c>
      <c r="D2886" t="s">
        <v>63</v>
      </c>
      <c r="E2886">
        <v>1</v>
      </c>
      <c r="F2886">
        <v>3</v>
      </c>
      <c r="G2886">
        <v>4</v>
      </c>
      <c r="H2886">
        <v>5</v>
      </c>
    </row>
    <row r="2887" spans="1:8" x14ac:dyDescent="0.3">
      <c r="A2887" s="22" t="s">
        <v>67</v>
      </c>
      <c r="B2887">
        <v>4</v>
      </c>
      <c r="C2887" t="s">
        <v>64</v>
      </c>
      <c r="D2887">
        <v>5</v>
      </c>
      <c r="E2887" s="8">
        <v>0.5</v>
      </c>
      <c r="F2887" s="8">
        <v>0.25</v>
      </c>
      <c r="H2887" s="8">
        <v>0.25</v>
      </c>
    </row>
    <row r="2888" spans="1:8" x14ac:dyDescent="0.3">
      <c r="A2888" s="22" t="s">
        <v>68</v>
      </c>
      <c r="B2888">
        <v>1</v>
      </c>
      <c r="C2888" t="s">
        <v>64</v>
      </c>
      <c r="D2888">
        <v>5</v>
      </c>
      <c r="G2888" s="8">
        <v>1</v>
      </c>
    </row>
    <row r="2890" spans="1:8" ht="72" x14ac:dyDescent="0.3">
      <c r="A2890" s="22" t="s">
        <v>711</v>
      </c>
    </row>
    <row r="2891" spans="1:8" x14ac:dyDescent="0.3">
      <c r="A2891" s="22" t="s">
        <v>66</v>
      </c>
      <c r="B2891" t="s">
        <v>62</v>
      </c>
      <c r="C2891" t="s">
        <v>57</v>
      </c>
      <c r="D2891" t="s">
        <v>63</v>
      </c>
      <c r="E2891">
        <v>1</v>
      </c>
      <c r="F2891">
        <v>3</v>
      </c>
      <c r="G2891">
        <v>4</v>
      </c>
      <c r="H2891">
        <v>5</v>
      </c>
    </row>
    <row r="2892" spans="1:8" x14ac:dyDescent="0.3">
      <c r="A2892" s="22" t="s">
        <v>67</v>
      </c>
      <c r="B2892">
        <v>2</v>
      </c>
      <c r="C2892" t="s">
        <v>64</v>
      </c>
      <c r="D2892">
        <v>5</v>
      </c>
      <c r="E2892" s="8">
        <v>0.5</v>
      </c>
      <c r="G2892" s="8">
        <v>0.5</v>
      </c>
    </row>
    <row r="2893" spans="1:8" x14ac:dyDescent="0.3">
      <c r="A2893" s="22" t="s">
        <v>68</v>
      </c>
      <c r="B2893">
        <v>3</v>
      </c>
      <c r="C2893" t="s">
        <v>64</v>
      </c>
      <c r="D2893">
        <v>5</v>
      </c>
      <c r="E2893" s="8">
        <v>0.33329999999999999</v>
      </c>
      <c r="F2893" s="8">
        <v>0.33329999999999999</v>
      </c>
      <c r="H2893" s="8">
        <v>0.33329999999999999</v>
      </c>
    </row>
    <row r="2895" spans="1:8" ht="72" x14ac:dyDescent="0.3">
      <c r="A2895" s="22" t="s">
        <v>712</v>
      </c>
    </row>
    <row r="2896" spans="1:8" x14ac:dyDescent="0.3">
      <c r="A2896" s="22" t="s">
        <v>66</v>
      </c>
      <c r="B2896" t="s">
        <v>62</v>
      </c>
      <c r="C2896" t="s">
        <v>57</v>
      </c>
      <c r="D2896" t="s">
        <v>63</v>
      </c>
      <c r="E2896">
        <v>1</v>
      </c>
      <c r="F2896">
        <v>3</v>
      </c>
      <c r="G2896">
        <v>4</v>
      </c>
      <c r="H2896">
        <v>5</v>
      </c>
    </row>
    <row r="2897" spans="1:8" x14ac:dyDescent="0.3">
      <c r="A2897" s="22" t="s">
        <v>67</v>
      </c>
      <c r="B2897">
        <v>5</v>
      </c>
      <c r="C2897" t="s">
        <v>64</v>
      </c>
      <c r="D2897">
        <v>5</v>
      </c>
      <c r="E2897" s="8">
        <v>0.4</v>
      </c>
      <c r="F2897" s="8">
        <v>0.2</v>
      </c>
      <c r="G2897" s="8">
        <v>0.2</v>
      </c>
      <c r="H2897" s="8">
        <v>0.2</v>
      </c>
    </row>
    <row r="2899" spans="1:8" ht="57.6" x14ac:dyDescent="0.3">
      <c r="A2899" s="22" t="s">
        <v>713</v>
      </c>
    </row>
    <row r="2900" spans="1:8" x14ac:dyDescent="0.3">
      <c r="A2900" s="22" t="s">
        <v>66</v>
      </c>
      <c r="B2900" t="s">
        <v>62</v>
      </c>
      <c r="C2900" t="s">
        <v>57</v>
      </c>
      <c r="D2900" t="s">
        <v>63</v>
      </c>
      <c r="E2900">
        <v>1</v>
      </c>
      <c r="F2900">
        <v>3</v>
      </c>
      <c r="G2900">
        <v>4</v>
      </c>
      <c r="H2900">
        <v>5</v>
      </c>
    </row>
    <row r="2901" spans="1:8" x14ac:dyDescent="0.3">
      <c r="A2901" s="22" t="s">
        <v>67</v>
      </c>
      <c r="B2901">
        <v>2</v>
      </c>
      <c r="C2901" t="s">
        <v>64</v>
      </c>
      <c r="D2901">
        <v>5</v>
      </c>
      <c r="E2901" s="8">
        <v>0.5</v>
      </c>
      <c r="G2901" s="8">
        <v>0.5</v>
      </c>
    </row>
    <row r="2902" spans="1:8" x14ac:dyDescent="0.3">
      <c r="A2902" s="22" t="s">
        <v>68</v>
      </c>
      <c r="B2902">
        <v>3</v>
      </c>
      <c r="C2902" t="s">
        <v>64</v>
      </c>
      <c r="D2902">
        <v>5</v>
      </c>
      <c r="E2902" s="8">
        <v>0.33329999999999999</v>
      </c>
      <c r="F2902" s="8">
        <v>0.33329999999999999</v>
      </c>
      <c r="H2902" s="8">
        <v>0.33329999999999999</v>
      </c>
    </row>
    <row r="2904" spans="1:8" ht="72" x14ac:dyDescent="0.3">
      <c r="A2904" s="22" t="s">
        <v>714</v>
      </c>
    </row>
    <row r="2905" spans="1:8" x14ac:dyDescent="0.3">
      <c r="A2905" s="22" t="s">
        <v>66</v>
      </c>
      <c r="B2905" t="s">
        <v>62</v>
      </c>
      <c r="C2905" t="s">
        <v>57</v>
      </c>
      <c r="D2905" t="s">
        <v>63</v>
      </c>
      <c r="E2905">
        <v>1</v>
      </c>
      <c r="F2905">
        <v>3</v>
      </c>
      <c r="G2905">
        <v>4</v>
      </c>
      <c r="H2905">
        <v>5</v>
      </c>
    </row>
    <row r="2906" spans="1:8" x14ac:dyDescent="0.3">
      <c r="A2906" s="22" t="s">
        <v>67</v>
      </c>
      <c r="B2906">
        <v>5</v>
      </c>
      <c r="C2906" t="s">
        <v>64</v>
      </c>
      <c r="D2906">
        <v>5</v>
      </c>
      <c r="E2906" s="8">
        <v>0.4</v>
      </c>
      <c r="F2906" s="8">
        <v>0.2</v>
      </c>
      <c r="G2906" s="8">
        <v>0.2</v>
      </c>
      <c r="H2906" s="8">
        <v>0.2</v>
      </c>
    </row>
    <row r="2908" spans="1:8" ht="57.6" x14ac:dyDescent="0.3">
      <c r="A2908" s="27" t="s">
        <v>715</v>
      </c>
    </row>
    <row r="2909" spans="1:8" x14ac:dyDescent="0.3">
      <c r="A2909" s="22" t="s">
        <v>66</v>
      </c>
      <c r="B2909" t="s">
        <v>62</v>
      </c>
      <c r="C2909" t="s">
        <v>57</v>
      </c>
      <c r="D2909" t="s">
        <v>63</v>
      </c>
      <c r="E2909">
        <v>1</v>
      </c>
      <c r="F2909">
        <v>3</v>
      </c>
      <c r="G2909">
        <v>4</v>
      </c>
      <c r="H2909">
        <v>5</v>
      </c>
    </row>
    <row r="2910" spans="1:8" x14ac:dyDescent="0.3">
      <c r="A2910" s="22" t="s">
        <v>81</v>
      </c>
      <c r="B2910">
        <v>1</v>
      </c>
      <c r="C2910" t="s">
        <v>64</v>
      </c>
      <c r="D2910">
        <v>5</v>
      </c>
      <c r="G2910" s="8">
        <v>1</v>
      </c>
    </row>
    <row r="2911" spans="1:8" x14ac:dyDescent="0.3">
      <c r="A2911" s="22" t="s">
        <v>83</v>
      </c>
      <c r="B2911">
        <v>3</v>
      </c>
      <c r="C2911" t="s">
        <v>64</v>
      </c>
      <c r="D2911">
        <v>5</v>
      </c>
      <c r="E2911" s="8">
        <v>0.66669999999999996</v>
      </c>
      <c r="F2911" s="8">
        <v>0.33329999999999999</v>
      </c>
    </row>
    <row r="2912" spans="1:8" x14ac:dyDescent="0.3">
      <c r="A2912" s="22" t="s">
        <v>84</v>
      </c>
      <c r="B2912">
        <v>1</v>
      </c>
      <c r="C2912" t="s">
        <v>64</v>
      </c>
      <c r="D2912">
        <v>5</v>
      </c>
      <c r="H2912" s="8">
        <v>1</v>
      </c>
    </row>
    <row r="2914" spans="1:9" ht="43.2" x14ac:dyDescent="0.3">
      <c r="A2914" s="27" t="s">
        <v>716</v>
      </c>
    </row>
    <row r="2915" spans="1:9" x14ac:dyDescent="0.3">
      <c r="A2915" s="22" t="s">
        <v>62</v>
      </c>
      <c r="B2915" t="s">
        <v>57</v>
      </c>
      <c r="C2915" t="s">
        <v>63</v>
      </c>
      <c r="D2915">
        <v>1</v>
      </c>
      <c r="E2915">
        <v>2</v>
      </c>
      <c r="F2915">
        <v>3</v>
      </c>
      <c r="G2915">
        <v>4</v>
      </c>
      <c r="H2915">
        <v>5</v>
      </c>
    </row>
    <row r="2916" spans="1:9" x14ac:dyDescent="0.3">
      <c r="A2916" s="22">
        <v>98</v>
      </c>
      <c r="B2916" t="s">
        <v>64</v>
      </c>
      <c r="C2916">
        <v>98</v>
      </c>
      <c r="D2916" s="8">
        <v>0.31630000000000003</v>
      </c>
      <c r="E2916" s="8">
        <v>0.30609999999999998</v>
      </c>
      <c r="F2916" s="8">
        <v>0.2041</v>
      </c>
      <c r="G2916" s="8">
        <v>0.13270000000000001</v>
      </c>
      <c r="H2916" s="8">
        <v>4.0800000000000003E-2</v>
      </c>
    </row>
    <row r="2918" spans="1:9" ht="72" x14ac:dyDescent="0.3">
      <c r="A2918" s="22" t="s">
        <v>717</v>
      </c>
    </row>
    <row r="2919" spans="1:9" x14ac:dyDescent="0.3">
      <c r="A2919" s="22" t="s">
        <v>66</v>
      </c>
      <c r="B2919" t="s">
        <v>62</v>
      </c>
      <c r="C2919" t="s">
        <v>57</v>
      </c>
      <c r="D2919" t="s">
        <v>63</v>
      </c>
      <c r="E2919">
        <v>1</v>
      </c>
      <c r="F2919">
        <v>2</v>
      </c>
      <c r="G2919">
        <v>3</v>
      </c>
      <c r="H2919">
        <v>4</v>
      </c>
      <c r="I2919">
        <v>5</v>
      </c>
    </row>
    <row r="2920" spans="1:9" x14ac:dyDescent="0.3">
      <c r="A2920" s="22" t="s">
        <v>67</v>
      </c>
      <c r="B2920">
        <v>96</v>
      </c>
      <c r="C2920" t="s">
        <v>64</v>
      </c>
      <c r="D2920">
        <v>98</v>
      </c>
      <c r="E2920" s="8">
        <v>0.30209999999999998</v>
      </c>
      <c r="F2920" s="8">
        <v>0.3125</v>
      </c>
      <c r="G2920" s="8">
        <v>0.20830000000000001</v>
      </c>
      <c r="H2920" s="8">
        <v>0.13539999999999999</v>
      </c>
      <c r="I2920" s="8">
        <v>4.1700000000000001E-2</v>
      </c>
    </row>
    <row r="2921" spans="1:9" x14ac:dyDescent="0.3">
      <c r="A2921" s="22" t="s">
        <v>68</v>
      </c>
      <c r="B2921">
        <v>2</v>
      </c>
      <c r="C2921" t="s">
        <v>64</v>
      </c>
      <c r="D2921">
        <v>98</v>
      </c>
      <c r="E2921" s="8">
        <v>1</v>
      </c>
    </row>
    <row r="2923" spans="1:9" x14ac:dyDescent="0.3">
      <c r="A2923"/>
    </row>
    <row r="2924" spans="1:9" x14ac:dyDescent="0.3">
      <c r="A2924"/>
    </row>
    <row r="2925" spans="1:9" x14ac:dyDescent="0.3">
      <c r="A2925"/>
    </row>
    <row r="2927" spans="1:9" ht="72" x14ac:dyDescent="0.3">
      <c r="A2927" s="22" t="s">
        <v>718</v>
      </c>
    </row>
    <row r="2928" spans="1:9" x14ac:dyDescent="0.3">
      <c r="A2928" s="22" t="s">
        <v>66</v>
      </c>
      <c r="B2928" t="s">
        <v>62</v>
      </c>
      <c r="C2928" t="s">
        <v>57</v>
      </c>
      <c r="D2928" t="s">
        <v>63</v>
      </c>
      <c r="E2928">
        <v>1</v>
      </c>
      <c r="F2928">
        <v>2</v>
      </c>
      <c r="G2928">
        <v>3</v>
      </c>
      <c r="H2928">
        <v>4</v>
      </c>
      <c r="I2928">
        <v>5</v>
      </c>
    </row>
    <row r="2929" spans="1:9" x14ac:dyDescent="0.3">
      <c r="A2929" s="22" t="s">
        <v>67</v>
      </c>
      <c r="B2929">
        <v>96</v>
      </c>
      <c r="C2929" t="s">
        <v>64</v>
      </c>
      <c r="D2929">
        <v>98</v>
      </c>
      <c r="E2929" s="8">
        <v>0.3125</v>
      </c>
      <c r="F2929" s="8">
        <v>0.30209999999999998</v>
      </c>
      <c r="G2929" s="8">
        <v>0.20830000000000001</v>
      </c>
      <c r="H2929" s="8">
        <v>0.13539999999999999</v>
      </c>
      <c r="I2929" s="8">
        <v>4.1700000000000001E-2</v>
      </c>
    </row>
    <row r="2930" spans="1:9" x14ac:dyDescent="0.3">
      <c r="A2930" s="22" t="s">
        <v>68</v>
      </c>
      <c r="B2930">
        <v>2</v>
      </c>
      <c r="C2930" t="s">
        <v>64</v>
      </c>
      <c r="D2930">
        <v>98</v>
      </c>
      <c r="E2930" s="8">
        <v>0.5</v>
      </c>
      <c r="F2930" s="8">
        <v>0.5</v>
      </c>
    </row>
    <row r="2932" spans="1:9" ht="57.6" x14ac:dyDescent="0.3">
      <c r="A2932" s="22" t="s">
        <v>719</v>
      </c>
    </row>
    <row r="2933" spans="1:9" x14ac:dyDescent="0.3">
      <c r="A2933" s="22" t="s">
        <v>66</v>
      </c>
      <c r="B2933" t="s">
        <v>62</v>
      </c>
      <c r="C2933" t="s">
        <v>57</v>
      </c>
      <c r="D2933" t="s">
        <v>63</v>
      </c>
      <c r="E2933">
        <v>1</v>
      </c>
      <c r="F2933">
        <v>2</v>
      </c>
      <c r="G2933">
        <v>3</v>
      </c>
      <c r="H2933">
        <v>4</v>
      </c>
      <c r="I2933">
        <v>5</v>
      </c>
    </row>
    <row r="2934" spans="1:9" x14ac:dyDescent="0.3">
      <c r="A2934" s="22" t="s">
        <v>67</v>
      </c>
      <c r="B2934">
        <v>97</v>
      </c>
      <c r="C2934" t="s">
        <v>64</v>
      </c>
      <c r="D2934">
        <v>98</v>
      </c>
      <c r="E2934" s="8">
        <v>0.3196</v>
      </c>
      <c r="F2934" s="8">
        <v>0.30930000000000002</v>
      </c>
      <c r="G2934" s="8">
        <v>0.19589999999999999</v>
      </c>
      <c r="H2934" s="8">
        <v>0.13400000000000001</v>
      </c>
      <c r="I2934" s="8">
        <v>4.1200000000000001E-2</v>
      </c>
    </row>
    <row r="2935" spans="1:9" x14ac:dyDescent="0.3">
      <c r="A2935" s="22" t="s">
        <v>68</v>
      </c>
      <c r="B2935">
        <v>1</v>
      </c>
      <c r="C2935" t="s">
        <v>64</v>
      </c>
      <c r="D2935">
        <v>98</v>
      </c>
      <c r="G2935" s="8">
        <v>1</v>
      </c>
    </row>
    <row r="2937" spans="1:9" ht="72" x14ac:dyDescent="0.3">
      <c r="A2937" s="22" t="s">
        <v>720</v>
      </c>
    </row>
    <row r="2938" spans="1:9" x14ac:dyDescent="0.3">
      <c r="A2938" s="22" t="s">
        <v>66</v>
      </c>
      <c r="B2938" t="s">
        <v>62</v>
      </c>
      <c r="C2938" t="s">
        <v>57</v>
      </c>
      <c r="D2938" t="s">
        <v>63</v>
      </c>
      <c r="E2938">
        <v>1</v>
      </c>
      <c r="F2938">
        <v>2</v>
      </c>
      <c r="G2938">
        <v>3</v>
      </c>
      <c r="H2938">
        <v>4</v>
      </c>
      <c r="I2938">
        <v>5</v>
      </c>
    </row>
    <row r="2939" spans="1:9" x14ac:dyDescent="0.3">
      <c r="A2939" s="22" t="s">
        <v>67</v>
      </c>
      <c r="B2939">
        <v>88</v>
      </c>
      <c r="C2939" t="s">
        <v>64</v>
      </c>
      <c r="D2939">
        <v>98</v>
      </c>
      <c r="E2939" s="8">
        <v>0.32950000000000002</v>
      </c>
      <c r="F2939" s="8">
        <v>0.31819999999999998</v>
      </c>
      <c r="G2939" s="8">
        <v>0.19320000000000001</v>
      </c>
      <c r="H2939" s="8">
        <v>0.11360000000000001</v>
      </c>
      <c r="I2939" s="8">
        <v>4.5499999999999999E-2</v>
      </c>
    </row>
    <row r="2940" spans="1:9" x14ac:dyDescent="0.3">
      <c r="A2940" s="22" t="s">
        <v>68</v>
      </c>
      <c r="B2940">
        <v>10</v>
      </c>
      <c r="C2940" t="s">
        <v>64</v>
      </c>
      <c r="D2940">
        <v>98</v>
      </c>
      <c r="E2940" s="8">
        <v>0.2</v>
      </c>
      <c r="F2940" s="8">
        <v>0.2</v>
      </c>
      <c r="G2940" s="8">
        <v>0.3</v>
      </c>
      <c r="H2940" s="8">
        <v>0.3</v>
      </c>
    </row>
    <row r="2942" spans="1:9" ht="72" x14ac:dyDescent="0.3">
      <c r="A2942" s="22" t="s">
        <v>721</v>
      </c>
    </row>
    <row r="2943" spans="1:9" x14ac:dyDescent="0.3">
      <c r="A2943" s="22" t="s">
        <v>66</v>
      </c>
      <c r="B2943" t="s">
        <v>62</v>
      </c>
      <c r="C2943" t="s">
        <v>57</v>
      </c>
      <c r="D2943" t="s">
        <v>63</v>
      </c>
      <c r="E2943">
        <v>1</v>
      </c>
      <c r="F2943">
        <v>2</v>
      </c>
      <c r="G2943">
        <v>3</v>
      </c>
      <c r="H2943">
        <v>4</v>
      </c>
      <c r="I2943">
        <v>5</v>
      </c>
    </row>
    <row r="2944" spans="1:9" x14ac:dyDescent="0.3">
      <c r="A2944" s="22" t="s">
        <v>67</v>
      </c>
      <c r="B2944">
        <v>1</v>
      </c>
      <c r="C2944" t="s">
        <v>64</v>
      </c>
      <c r="D2944">
        <v>98</v>
      </c>
      <c r="E2944" s="8">
        <v>1</v>
      </c>
    </row>
    <row r="2945" spans="1:9" x14ac:dyDescent="0.3">
      <c r="A2945" s="22" t="s">
        <v>68</v>
      </c>
      <c r="B2945">
        <v>97</v>
      </c>
      <c r="C2945" t="s">
        <v>64</v>
      </c>
      <c r="D2945">
        <v>98</v>
      </c>
      <c r="E2945" s="8">
        <v>0.30930000000000002</v>
      </c>
      <c r="F2945" s="8">
        <v>0.30930000000000002</v>
      </c>
      <c r="G2945" s="8">
        <v>0.20619999999999999</v>
      </c>
      <c r="H2945" s="8">
        <v>0.13400000000000001</v>
      </c>
      <c r="I2945" s="8">
        <v>4.1200000000000001E-2</v>
      </c>
    </row>
    <row r="2947" spans="1:9" ht="72" x14ac:dyDescent="0.3">
      <c r="A2947" s="22" t="s">
        <v>722</v>
      </c>
    </row>
    <row r="2948" spans="1:9" x14ac:dyDescent="0.3">
      <c r="A2948" s="22" t="s">
        <v>66</v>
      </c>
      <c r="B2948" t="s">
        <v>62</v>
      </c>
      <c r="C2948" t="s">
        <v>57</v>
      </c>
      <c r="D2948" t="s">
        <v>63</v>
      </c>
      <c r="E2948">
        <v>1</v>
      </c>
      <c r="F2948">
        <v>2</v>
      </c>
      <c r="G2948">
        <v>3</v>
      </c>
      <c r="H2948">
        <v>4</v>
      </c>
      <c r="I2948">
        <v>5</v>
      </c>
    </row>
    <row r="2949" spans="1:9" x14ac:dyDescent="0.3">
      <c r="A2949" s="22" t="s">
        <v>67</v>
      </c>
      <c r="B2949">
        <v>76</v>
      </c>
      <c r="C2949" t="s">
        <v>64</v>
      </c>
      <c r="D2949">
        <v>98</v>
      </c>
      <c r="E2949" s="8">
        <v>0.3553</v>
      </c>
      <c r="F2949" s="8">
        <v>0.26319999999999999</v>
      </c>
      <c r="G2949" s="8">
        <v>0.21049999999999999</v>
      </c>
      <c r="H2949" s="8">
        <v>0.11840000000000001</v>
      </c>
      <c r="I2949" s="8">
        <v>5.2600000000000001E-2</v>
      </c>
    </row>
    <row r="2950" spans="1:9" x14ac:dyDescent="0.3">
      <c r="A2950" s="22" t="s">
        <v>68</v>
      </c>
      <c r="B2950">
        <v>22</v>
      </c>
      <c r="C2950" t="s">
        <v>64</v>
      </c>
      <c r="D2950">
        <v>98</v>
      </c>
      <c r="E2950" s="8">
        <v>0.18179999999999999</v>
      </c>
      <c r="F2950" s="8">
        <v>0.45450000000000002</v>
      </c>
      <c r="G2950" s="8">
        <v>0.18179999999999999</v>
      </c>
      <c r="H2950" s="8">
        <v>0.18179999999999999</v>
      </c>
    </row>
    <row r="2952" spans="1:9" ht="57.6" x14ac:dyDescent="0.3">
      <c r="A2952" s="22" t="s">
        <v>723</v>
      </c>
    </row>
    <row r="2953" spans="1:9" x14ac:dyDescent="0.3">
      <c r="A2953" s="22" t="s">
        <v>66</v>
      </c>
      <c r="B2953" t="s">
        <v>62</v>
      </c>
      <c r="C2953" t="s">
        <v>57</v>
      </c>
      <c r="D2953" t="s">
        <v>63</v>
      </c>
      <c r="E2953">
        <v>1</v>
      </c>
      <c r="F2953">
        <v>2</v>
      </c>
      <c r="G2953">
        <v>3</v>
      </c>
      <c r="H2953">
        <v>4</v>
      </c>
      <c r="I2953">
        <v>5</v>
      </c>
    </row>
    <row r="2954" spans="1:9" x14ac:dyDescent="0.3">
      <c r="A2954" s="22" t="s">
        <v>67</v>
      </c>
      <c r="B2954">
        <v>75</v>
      </c>
      <c r="C2954" t="s">
        <v>64</v>
      </c>
      <c r="D2954">
        <v>98</v>
      </c>
      <c r="E2954" s="8">
        <v>0.33329999999999999</v>
      </c>
      <c r="F2954" s="8">
        <v>0.30669999999999997</v>
      </c>
      <c r="G2954" s="8">
        <v>0.1867</v>
      </c>
      <c r="H2954" s="8">
        <v>0.1333</v>
      </c>
      <c r="I2954" s="8">
        <v>0.04</v>
      </c>
    </row>
    <row r="2955" spans="1:9" x14ac:dyDescent="0.3">
      <c r="A2955" s="22" t="s">
        <v>68</v>
      </c>
      <c r="B2955">
        <v>23</v>
      </c>
      <c r="C2955" t="s">
        <v>64</v>
      </c>
      <c r="D2955">
        <v>98</v>
      </c>
      <c r="E2955" s="8">
        <v>0.26090000000000002</v>
      </c>
      <c r="F2955" s="8">
        <v>0.30430000000000001</v>
      </c>
      <c r="G2955" s="8">
        <v>0.26090000000000002</v>
      </c>
      <c r="H2955" s="8">
        <v>0.13039999999999999</v>
      </c>
      <c r="I2955" s="8">
        <v>4.3499999999999997E-2</v>
      </c>
    </row>
    <row r="2957" spans="1:9" ht="72" x14ac:dyDescent="0.3">
      <c r="A2957" s="22" t="s">
        <v>724</v>
      </c>
    </row>
    <row r="2958" spans="1:9" x14ac:dyDescent="0.3">
      <c r="A2958" s="22" t="s">
        <v>66</v>
      </c>
      <c r="B2958" t="s">
        <v>62</v>
      </c>
      <c r="C2958" t="s">
        <v>57</v>
      </c>
      <c r="D2958" t="s">
        <v>63</v>
      </c>
      <c r="E2958">
        <v>1</v>
      </c>
      <c r="F2958">
        <v>2</v>
      </c>
      <c r="G2958">
        <v>3</v>
      </c>
      <c r="H2958">
        <v>4</v>
      </c>
      <c r="I2958">
        <v>5</v>
      </c>
    </row>
    <row r="2959" spans="1:9" x14ac:dyDescent="0.3">
      <c r="A2959" s="22" t="s">
        <v>67</v>
      </c>
      <c r="B2959">
        <v>71</v>
      </c>
      <c r="C2959" t="s">
        <v>64</v>
      </c>
      <c r="D2959">
        <v>98</v>
      </c>
      <c r="E2959" s="8">
        <v>0.33800000000000002</v>
      </c>
      <c r="F2959" s="8">
        <v>0.28170000000000001</v>
      </c>
      <c r="G2959" s="8">
        <v>0.19719999999999999</v>
      </c>
      <c r="H2959" s="8">
        <v>0.14080000000000001</v>
      </c>
      <c r="I2959" s="8">
        <v>4.2299999999999997E-2</v>
      </c>
    </row>
    <row r="2960" spans="1:9" x14ac:dyDescent="0.3">
      <c r="A2960" s="22" t="s">
        <v>68</v>
      </c>
      <c r="B2960">
        <v>27</v>
      </c>
      <c r="C2960" t="s">
        <v>64</v>
      </c>
      <c r="D2960">
        <v>98</v>
      </c>
      <c r="E2960" s="8">
        <v>0.25929999999999997</v>
      </c>
      <c r="F2960" s="8">
        <v>0.37040000000000001</v>
      </c>
      <c r="G2960" s="8">
        <v>0.22220000000000001</v>
      </c>
      <c r="H2960" s="8">
        <v>0.1111</v>
      </c>
      <c r="I2960" s="8">
        <v>3.6999999999999998E-2</v>
      </c>
    </row>
    <row r="2962" spans="1:9" ht="72" x14ac:dyDescent="0.3">
      <c r="A2962" s="22" t="s">
        <v>725</v>
      </c>
    </row>
    <row r="2963" spans="1:9" x14ac:dyDescent="0.3">
      <c r="A2963" s="22" t="s">
        <v>66</v>
      </c>
      <c r="B2963" t="s">
        <v>62</v>
      </c>
      <c r="C2963" t="s">
        <v>57</v>
      </c>
      <c r="D2963" t="s">
        <v>63</v>
      </c>
      <c r="E2963">
        <v>1</v>
      </c>
      <c r="F2963">
        <v>2</v>
      </c>
      <c r="G2963">
        <v>3</v>
      </c>
      <c r="H2963">
        <v>4</v>
      </c>
      <c r="I2963">
        <v>5</v>
      </c>
    </row>
    <row r="2964" spans="1:9" x14ac:dyDescent="0.3">
      <c r="A2964" s="22" t="s">
        <v>67</v>
      </c>
      <c r="B2964">
        <v>90</v>
      </c>
      <c r="C2964" t="s">
        <v>64</v>
      </c>
      <c r="D2964">
        <v>98</v>
      </c>
      <c r="E2964" s="8">
        <v>0.31109999999999999</v>
      </c>
      <c r="F2964" s="8">
        <v>0.32219999999999999</v>
      </c>
      <c r="G2964" s="8">
        <v>0.2</v>
      </c>
      <c r="H2964" s="8">
        <v>0.1222</v>
      </c>
      <c r="I2964" s="8">
        <v>4.4400000000000002E-2</v>
      </c>
    </row>
    <row r="2965" spans="1:9" x14ac:dyDescent="0.3">
      <c r="A2965" s="22" t="s">
        <v>68</v>
      </c>
      <c r="B2965">
        <v>8</v>
      </c>
      <c r="C2965" t="s">
        <v>64</v>
      </c>
      <c r="D2965">
        <v>98</v>
      </c>
      <c r="E2965" s="8">
        <v>0.375</v>
      </c>
      <c r="F2965" s="8">
        <v>0.125</v>
      </c>
      <c r="G2965" s="8">
        <v>0.25</v>
      </c>
      <c r="H2965" s="8">
        <v>0.25</v>
      </c>
    </row>
    <row r="2967" spans="1:9" ht="72" x14ac:dyDescent="0.3">
      <c r="A2967" s="22" t="s">
        <v>726</v>
      </c>
    </row>
    <row r="2968" spans="1:9" x14ac:dyDescent="0.3">
      <c r="A2968" s="22" t="s">
        <v>66</v>
      </c>
      <c r="B2968" t="s">
        <v>62</v>
      </c>
      <c r="C2968" t="s">
        <v>57</v>
      </c>
      <c r="D2968" t="s">
        <v>63</v>
      </c>
      <c r="E2968">
        <v>1</v>
      </c>
      <c r="F2968">
        <v>2</v>
      </c>
      <c r="G2968">
        <v>3</v>
      </c>
      <c r="H2968">
        <v>4</v>
      </c>
      <c r="I2968">
        <v>5</v>
      </c>
    </row>
    <row r="2969" spans="1:9" x14ac:dyDescent="0.3">
      <c r="A2969" s="22" t="s">
        <v>67</v>
      </c>
      <c r="B2969">
        <v>98</v>
      </c>
      <c r="C2969" t="s">
        <v>64</v>
      </c>
      <c r="D2969">
        <v>98</v>
      </c>
      <c r="E2969" s="8">
        <v>0.31630000000000003</v>
      </c>
      <c r="F2969" s="8">
        <v>0.30609999999999998</v>
      </c>
      <c r="G2969" s="8">
        <v>0.2041</v>
      </c>
      <c r="H2969" s="8">
        <v>0.13270000000000001</v>
      </c>
      <c r="I2969" s="8">
        <v>4.0800000000000003E-2</v>
      </c>
    </row>
    <row r="2971" spans="1:9" ht="57.6" x14ac:dyDescent="0.3">
      <c r="A2971" s="22" t="s">
        <v>727</v>
      </c>
    </row>
    <row r="2972" spans="1:9" x14ac:dyDescent="0.3">
      <c r="A2972" s="22" t="s">
        <v>66</v>
      </c>
      <c r="B2972" t="s">
        <v>62</v>
      </c>
      <c r="C2972" t="s">
        <v>57</v>
      </c>
      <c r="D2972" t="s">
        <v>63</v>
      </c>
      <c r="E2972">
        <v>1</v>
      </c>
      <c r="F2972">
        <v>2</v>
      </c>
      <c r="G2972">
        <v>3</v>
      </c>
      <c r="H2972">
        <v>4</v>
      </c>
      <c r="I2972">
        <v>5</v>
      </c>
    </row>
    <row r="2973" spans="1:9" x14ac:dyDescent="0.3">
      <c r="A2973" s="22" t="s">
        <v>67</v>
      </c>
      <c r="B2973">
        <v>64</v>
      </c>
      <c r="C2973" t="s">
        <v>64</v>
      </c>
      <c r="D2973">
        <v>98</v>
      </c>
      <c r="E2973" s="8">
        <v>0.3281</v>
      </c>
      <c r="F2973" s="8">
        <v>0.28120000000000001</v>
      </c>
      <c r="G2973" s="8">
        <v>0.21879999999999999</v>
      </c>
      <c r="H2973" s="8">
        <v>0.125</v>
      </c>
      <c r="I2973" s="8">
        <v>4.6899999999999997E-2</v>
      </c>
    </row>
    <row r="2974" spans="1:9" x14ac:dyDescent="0.3">
      <c r="A2974" s="22" t="s">
        <v>68</v>
      </c>
      <c r="B2974">
        <v>34</v>
      </c>
      <c r="C2974" t="s">
        <v>64</v>
      </c>
      <c r="D2974">
        <v>98</v>
      </c>
      <c r="E2974" s="8">
        <v>0.29409999999999997</v>
      </c>
      <c r="F2974" s="8">
        <v>0.35289999999999999</v>
      </c>
      <c r="G2974" s="8">
        <v>0.17649999999999999</v>
      </c>
      <c r="H2974" s="8">
        <v>0.14710000000000001</v>
      </c>
      <c r="I2974" s="8">
        <v>2.9399999999999999E-2</v>
      </c>
    </row>
    <row r="2976" spans="1:9" ht="72" x14ac:dyDescent="0.3">
      <c r="A2976" s="22" t="s">
        <v>728</v>
      </c>
    </row>
    <row r="2977" spans="1:9" x14ac:dyDescent="0.3">
      <c r="A2977" s="22" t="s">
        <v>66</v>
      </c>
      <c r="B2977" t="s">
        <v>62</v>
      </c>
      <c r="C2977" t="s">
        <v>57</v>
      </c>
      <c r="D2977" t="s">
        <v>63</v>
      </c>
      <c r="E2977">
        <v>1</v>
      </c>
      <c r="F2977">
        <v>2</v>
      </c>
      <c r="G2977">
        <v>3</v>
      </c>
      <c r="H2977">
        <v>4</v>
      </c>
      <c r="I2977">
        <v>5</v>
      </c>
    </row>
    <row r="2978" spans="1:9" x14ac:dyDescent="0.3">
      <c r="A2978" s="22" t="s">
        <v>67</v>
      </c>
      <c r="B2978">
        <v>88</v>
      </c>
      <c r="C2978" t="s">
        <v>64</v>
      </c>
      <c r="D2978">
        <v>98</v>
      </c>
      <c r="E2978" s="8">
        <v>0.34089999999999998</v>
      </c>
      <c r="F2978" s="8">
        <v>0.28410000000000002</v>
      </c>
      <c r="G2978" s="8">
        <v>0.19320000000000001</v>
      </c>
      <c r="H2978" s="8">
        <v>0.13639999999999999</v>
      </c>
      <c r="I2978" s="8">
        <v>4.5499999999999999E-2</v>
      </c>
    </row>
    <row r="2979" spans="1:9" x14ac:dyDescent="0.3">
      <c r="A2979" s="22" t="s">
        <v>68</v>
      </c>
      <c r="B2979">
        <v>10</v>
      </c>
      <c r="C2979" t="s">
        <v>64</v>
      </c>
      <c r="D2979">
        <v>98</v>
      </c>
      <c r="E2979" s="8">
        <v>0.1</v>
      </c>
      <c r="F2979" s="8">
        <v>0.5</v>
      </c>
      <c r="G2979" s="8">
        <v>0.3</v>
      </c>
      <c r="H2979" s="8">
        <v>0.1</v>
      </c>
    </row>
    <row r="2981" spans="1:9" ht="57.6" x14ac:dyDescent="0.3">
      <c r="A2981" s="27" t="s">
        <v>729</v>
      </c>
    </row>
    <row r="2982" spans="1:9" x14ac:dyDescent="0.3">
      <c r="A2982" s="22" t="s">
        <v>66</v>
      </c>
      <c r="B2982" t="s">
        <v>62</v>
      </c>
      <c r="C2982" t="s">
        <v>57</v>
      </c>
      <c r="D2982" t="s">
        <v>63</v>
      </c>
      <c r="E2982">
        <v>1</v>
      </c>
      <c r="F2982">
        <v>2</v>
      </c>
      <c r="G2982">
        <v>3</v>
      </c>
      <c r="H2982">
        <v>4</v>
      </c>
      <c r="I2982">
        <v>5</v>
      </c>
    </row>
    <row r="2983" spans="1:9" x14ac:dyDescent="0.3">
      <c r="A2983" s="22" t="s">
        <v>81</v>
      </c>
      <c r="B2983">
        <v>26</v>
      </c>
      <c r="C2983" t="s">
        <v>64</v>
      </c>
      <c r="D2983">
        <v>98</v>
      </c>
      <c r="E2983" s="8">
        <v>0.42309999999999998</v>
      </c>
      <c r="F2983" s="8">
        <v>0.30769999999999997</v>
      </c>
      <c r="G2983" s="8">
        <v>0.1923</v>
      </c>
      <c r="H2983" s="8">
        <v>7.6899999999999996E-2</v>
      </c>
    </row>
    <row r="2984" spans="1:9" x14ac:dyDescent="0.3">
      <c r="A2984" s="22" t="s">
        <v>82</v>
      </c>
      <c r="B2984">
        <v>29</v>
      </c>
      <c r="C2984" t="s">
        <v>64</v>
      </c>
      <c r="D2984">
        <v>98</v>
      </c>
      <c r="E2984" s="8">
        <v>0.3448</v>
      </c>
      <c r="F2984" s="8">
        <v>0.2414</v>
      </c>
      <c r="G2984" s="8">
        <v>0.2414</v>
      </c>
      <c r="H2984" s="8">
        <v>0.10340000000000001</v>
      </c>
      <c r="I2984" s="8">
        <v>6.9000000000000006E-2</v>
      </c>
    </row>
    <row r="2985" spans="1:9" x14ac:dyDescent="0.3">
      <c r="A2985" s="22" t="s">
        <v>83</v>
      </c>
      <c r="B2985">
        <v>18</v>
      </c>
      <c r="C2985" t="s">
        <v>64</v>
      </c>
      <c r="D2985">
        <v>98</v>
      </c>
      <c r="E2985" s="8">
        <v>0.22220000000000001</v>
      </c>
      <c r="F2985" s="8">
        <v>0.22220000000000001</v>
      </c>
      <c r="G2985" s="8">
        <v>0.22220000000000001</v>
      </c>
      <c r="H2985" s="8">
        <v>0.27779999999999999</v>
      </c>
      <c r="I2985" s="8">
        <v>5.5599999999999997E-2</v>
      </c>
    </row>
    <row r="2986" spans="1:9" x14ac:dyDescent="0.3">
      <c r="A2986" s="22" t="s">
        <v>84</v>
      </c>
      <c r="B2986">
        <v>25</v>
      </c>
      <c r="C2986" t="s">
        <v>64</v>
      </c>
      <c r="D2986">
        <v>98</v>
      </c>
      <c r="E2986" s="8">
        <v>0.24</v>
      </c>
      <c r="F2986" s="8">
        <v>0.44</v>
      </c>
      <c r="G2986" s="8">
        <v>0.16</v>
      </c>
      <c r="H2986" s="8">
        <v>0.12</v>
      </c>
      <c r="I2986" s="8">
        <v>0.04</v>
      </c>
    </row>
    <row r="2988" spans="1:9" ht="57.6" x14ac:dyDescent="0.3">
      <c r="A2988" s="27" t="s">
        <v>730</v>
      </c>
    </row>
    <row r="2989" spans="1:9" x14ac:dyDescent="0.3">
      <c r="A2989" s="22" t="s">
        <v>62</v>
      </c>
      <c r="B2989" t="s">
        <v>57</v>
      </c>
      <c r="C2989" t="s">
        <v>63</v>
      </c>
      <c r="D2989">
        <v>1</v>
      </c>
      <c r="E2989">
        <v>2</v>
      </c>
      <c r="F2989">
        <v>3</v>
      </c>
    </row>
    <row r="2990" spans="1:9" x14ac:dyDescent="0.3">
      <c r="A2990" s="22">
        <v>6</v>
      </c>
      <c r="B2990" t="s">
        <v>64</v>
      </c>
      <c r="C2990">
        <v>6</v>
      </c>
      <c r="D2990" s="8">
        <v>0.5</v>
      </c>
      <c r="E2990" s="8">
        <v>0.33329999999999999</v>
      </c>
      <c r="F2990" s="8">
        <v>0.16669999999999999</v>
      </c>
    </row>
    <row r="2992" spans="1:9" ht="72" x14ac:dyDescent="0.3">
      <c r="A2992" s="22" t="s">
        <v>731</v>
      </c>
    </row>
    <row r="2993" spans="1:7" x14ac:dyDescent="0.3">
      <c r="A2993" s="22" t="s">
        <v>66</v>
      </c>
      <c r="B2993" t="s">
        <v>62</v>
      </c>
      <c r="C2993" t="s">
        <v>57</v>
      </c>
      <c r="D2993" t="s">
        <v>63</v>
      </c>
      <c r="E2993">
        <v>1</v>
      </c>
      <c r="F2993">
        <v>2</v>
      </c>
      <c r="G2993">
        <v>3</v>
      </c>
    </row>
    <row r="2994" spans="1:7" x14ac:dyDescent="0.3">
      <c r="A2994" s="22" t="s">
        <v>67</v>
      </c>
      <c r="B2994">
        <v>6</v>
      </c>
      <c r="C2994" t="s">
        <v>64</v>
      </c>
      <c r="D2994">
        <v>6</v>
      </c>
      <c r="E2994" s="8">
        <v>0.5</v>
      </c>
      <c r="F2994" s="8">
        <v>0.33329999999999999</v>
      </c>
      <c r="G2994" s="8">
        <v>0.16669999999999999</v>
      </c>
    </row>
    <row r="2996" spans="1:7" x14ac:dyDescent="0.3">
      <c r="A2996"/>
    </row>
    <row r="2997" spans="1:7" x14ac:dyDescent="0.3">
      <c r="A2997"/>
    </row>
    <row r="2998" spans="1:7" x14ac:dyDescent="0.3">
      <c r="A2998"/>
    </row>
    <row r="3000" spans="1:7" ht="72" x14ac:dyDescent="0.3">
      <c r="A3000" s="22" t="s">
        <v>732</v>
      </c>
    </row>
    <row r="3001" spans="1:7" x14ac:dyDescent="0.3">
      <c r="A3001" s="22" t="s">
        <v>66</v>
      </c>
      <c r="B3001" t="s">
        <v>62</v>
      </c>
      <c r="C3001" t="s">
        <v>57</v>
      </c>
      <c r="D3001" t="s">
        <v>63</v>
      </c>
      <c r="E3001">
        <v>1</v>
      </c>
      <c r="F3001">
        <v>2</v>
      </c>
      <c r="G3001">
        <v>3</v>
      </c>
    </row>
    <row r="3002" spans="1:7" x14ac:dyDescent="0.3">
      <c r="A3002" s="22" t="s">
        <v>67</v>
      </c>
      <c r="B3002">
        <v>6</v>
      </c>
      <c r="C3002" t="s">
        <v>64</v>
      </c>
      <c r="D3002">
        <v>6</v>
      </c>
      <c r="E3002" s="8">
        <v>0.5</v>
      </c>
      <c r="F3002" s="8">
        <v>0.33329999999999999</v>
      </c>
      <c r="G3002" s="8">
        <v>0.16669999999999999</v>
      </c>
    </row>
    <row r="3004" spans="1:7" ht="72" x14ac:dyDescent="0.3">
      <c r="A3004" s="22" t="s">
        <v>733</v>
      </c>
    </row>
    <row r="3005" spans="1:7" x14ac:dyDescent="0.3">
      <c r="A3005" s="22" t="s">
        <v>66</v>
      </c>
      <c r="B3005" t="s">
        <v>62</v>
      </c>
      <c r="C3005" t="s">
        <v>57</v>
      </c>
      <c r="D3005" t="s">
        <v>63</v>
      </c>
      <c r="E3005">
        <v>1</v>
      </c>
      <c r="F3005">
        <v>2</v>
      </c>
      <c r="G3005">
        <v>3</v>
      </c>
    </row>
    <row r="3006" spans="1:7" x14ac:dyDescent="0.3">
      <c r="A3006" s="22" t="s">
        <v>67</v>
      </c>
      <c r="B3006">
        <v>6</v>
      </c>
      <c r="C3006" t="s">
        <v>64</v>
      </c>
      <c r="D3006">
        <v>6</v>
      </c>
      <c r="E3006" s="8">
        <v>0.5</v>
      </c>
      <c r="F3006" s="8">
        <v>0.33329999999999999</v>
      </c>
      <c r="G3006" s="8">
        <v>0.16669999999999999</v>
      </c>
    </row>
    <row r="3008" spans="1:7" ht="72" x14ac:dyDescent="0.3">
      <c r="A3008" s="22" t="s">
        <v>734</v>
      </c>
    </row>
    <row r="3009" spans="1:7" x14ac:dyDescent="0.3">
      <c r="A3009" s="22" t="s">
        <v>66</v>
      </c>
      <c r="B3009" t="s">
        <v>62</v>
      </c>
      <c r="C3009" t="s">
        <v>57</v>
      </c>
      <c r="D3009" t="s">
        <v>63</v>
      </c>
      <c r="E3009">
        <v>1</v>
      </c>
      <c r="F3009">
        <v>2</v>
      </c>
      <c r="G3009">
        <v>3</v>
      </c>
    </row>
    <row r="3010" spans="1:7" x14ac:dyDescent="0.3">
      <c r="A3010" s="22" t="s">
        <v>67</v>
      </c>
      <c r="B3010">
        <v>5</v>
      </c>
      <c r="C3010" t="s">
        <v>64</v>
      </c>
      <c r="D3010">
        <v>6</v>
      </c>
      <c r="E3010" s="8">
        <v>0.6</v>
      </c>
      <c r="F3010" s="8">
        <v>0.2</v>
      </c>
      <c r="G3010" s="8">
        <v>0.2</v>
      </c>
    </row>
    <row r="3011" spans="1:7" x14ac:dyDescent="0.3">
      <c r="A3011" s="22" t="s">
        <v>68</v>
      </c>
      <c r="B3011">
        <v>1</v>
      </c>
      <c r="C3011" t="s">
        <v>64</v>
      </c>
      <c r="D3011">
        <v>6</v>
      </c>
      <c r="F3011" s="8">
        <v>1</v>
      </c>
    </row>
    <row r="3013" spans="1:7" ht="72" x14ac:dyDescent="0.3">
      <c r="A3013" s="22" t="s">
        <v>735</v>
      </c>
    </row>
    <row r="3014" spans="1:7" x14ac:dyDescent="0.3">
      <c r="A3014" s="22" t="s">
        <v>66</v>
      </c>
      <c r="B3014" t="s">
        <v>62</v>
      </c>
      <c r="C3014" t="s">
        <v>57</v>
      </c>
      <c r="D3014" t="s">
        <v>63</v>
      </c>
      <c r="E3014">
        <v>1</v>
      </c>
      <c r="F3014">
        <v>2</v>
      </c>
      <c r="G3014">
        <v>3</v>
      </c>
    </row>
    <row r="3015" spans="1:7" x14ac:dyDescent="0.3">
      <c r="A3015" s="22" t="s">
        <v>68</v>
      </c>
      <c r="B3015">
        <v>6</v>
      </c>
      <c r="C3015" t="s">
        <v>64</v>
      </c>
      <c r="D3015">
        <v>6</v>
      </c>
      <c r="E3015" s="8">
        <v>0.5</v>
      </c>
      <c r="F3015" s="8">
        <v>0.33329999999999999</v>
      </c>
      <c r="G3015" s="8">
        <v>0.16669999999999999</v>
      </c>
    </row>
    <row r="3017" spans="1:7" ht="72" x14ac:dyDescent="0.3">
      <c r="A3017" s="22" t="s">
        <v>736</v>
      </c>
    </row>
    <row r="3018" spans="1:7" x14ac:dyDescent="0.3">
      <c r="A3018" s="22" t="s">
        <v>66</v>
      </c>
      <c r="B3018" t="s">
        <v>62</v>
      </c>
      <c r="C3018" t="s">
        <v>57</v>
      </c>
      <c r="D3018" t="s">
        <v>63</v>
      </c>
      <c r="E3018">
        <v>1</v>
      </c>
      <c r="F3018">
        <v>2</v>
      </c>
      <c r="G3018">
        <v>3</v>
      </c>
    </row>
    <row r="3019" spans="1:7" x14ac:dyDescent="0.3">
      <c r="A3019" s="22" t="s">
        <v>67</v>
      </c>
      <c r="B3019">
        <v>5</v>
      </c>
      <c r="C3019" t="s">
        <v>64</v>
      </c>
      <c r="D3019">
        <v>6</v>
      </c>
      <c r="E3019" s="8">
        <v>0.4</v>
      </c>
      <c r="F3019" s="8">
        <v>0.4</v>
      </c>
      <c r="G3019" s="8">
        <v>0.2</v>
      </c>
    </row>
    <row r="3020" spans="1:7" x14ac:dyDescent="0.3">
      <c r="A3020" s="22" t="s">
        <v>68</v>
      </c>
      <c r="B3020">
        <v>1</v>
      </c>
      <c r="C3020" t="s">
        <v>64</v>
      </c>
      <c r="D3020">
        <v>6</v>
      </c>
      <c r="E3020" s="8">
        <v>1</v>
      </c>
    </row>
    <row r="3022" spans="1:7" ht="72" x14ac:dyDescent="0.3">
      <c r="A3022" s="22" t="s">
        <v>737</v>
      </c>
    </row>
    <row r="3023" spans="1:7" x14ac:dyDescent="0.3">
      <c r="A3023" s="22" t="s">
        <v>66</v>
      </c>
      <c r="B3023" t="s">
        <v>62</v>
      </c>
      <c r="C3023" t="s">
        <v>57</v>
      </c>
      <c r="D3023" t="s">
        <v>63</v>
      </c>
      <c r="E3023">
        <v>1</v>
      </c>
      <c r="F3023">
        <v>2</v>
      </c>
      <c r="G3023">
        <v>3</v>
      </c>
    </row>
    <row r="3024" spans="1:7" x14ac:dyDescent="0.3">
      <c r="A3024" s="22" t="s">
        <v>67</v>
      </c>
      <c r="B3024">
        <v>5</v>
      </c>
      <c r="C3024" t="s">
        <v>64</v>
      </c>
      <c r="D3024">
        <v>6</v>
      </c>
      <c r="E3024" s="8">
        <v>0.6</v>
      </c>
      <c r="F3024" s="8">
        <v>0.2</v>
      </c>
      <c r="G3024" s="8">
        <v>0.2</v>
      </c>
    </row>
    <row r="3025" spans="1:7" x14ac:dyDescent="0.3">
      <c r="A3025" s="22" t="s">
        <v>68</v>
      </c>
      <c r="B3025">
        <v>1</v>
      </c>
      <c r="C3025" t="s">
        <v>64</v>
      </c>
      <c r="D3025">
        <v>6</v>
      </c>
      <c r="F3025" s="8">
        <v>1</v>
      </c>
    </row>
    <row r="3027" spans="1:7" ht="72" x14ac:dyDescent="0.3">
      <c r="A3027" s="22" t="s">
        <v>738</v>
      </c>
    </row>
    <row r="3028" spans="1:7" x14ac:dyDescent="0.3">
      <c r="A3028" s="22" t="s">
        <v>66</v>
      </c>
      <c r="B3028" t="s">
        <v>62</v>
      </c>
      <c r="C3028" t="s">
        <v>57</v>
      </c>
      <c r="D3028" t="s">
        <v>63</v>
      </c>
      <c r="E3028">
        <v>1</v>
      </c>
      <c r="F3028">
        <v>2</v>
      </c>
      <c r="G3028">
        <v>3</v>
      </c>
    </row>
    <row r="3029" spans="1:7" x14ac:dyDescent="0.3">
      <c r="A3029" s="22" t="s">
        <v>67</v>
      </c>
      <c r="B3029">
        <v>3</v>
      </c>
      <c r="C3029" t="s">
        <v>64</v>
      </c>
      <c r="D3029">
        <v>6</v>
      </c>
      <c r="E3029" s="8">
        <v>1</v>
      </c>
    </row>
    <row r="3030" spans="1:7" x14ac:dyDescent="0.3">
      <c r="A3030" s="22" t="s">
        <v>68</v>
      </c>
      <c r="B3030">
        <v>3</v>
      </c>
      <c r="C3030" t="s">
        <v>64</v>
      </c>
      <c r="D3030">
        <v>6</v>
      </c>
      <c r="F3030" s="8">
        <v>0.66669999999999996</v>
      </c>
      <c r="G3030" s="8">
        <v>0.33329999999999999</v>
      </c>
    </row>
    <row r="3032" spans="1:7" ht="86.4" x14ac:dyDescent="0.3">
      <c r="A3032" s="22" t="s">
        <v>739</v>
      </c>
    </row>
    <row r="3033" spans="1:7" x14ac:dyDescent="0.3">
      <c r="A3033" s="22" t="s">
        <v>66</v>
      </c>
      <c r="B3033" t="s">
        <v>62</v>
      </c>
      <c r="C3033" t="s">
        <v>57</v>
      </c>
      <c r="D3033" t="s">
        <v>63</v>
      </c>
      <c r="E3033">
        <v>1</v>
      </c>
      <c r="F3033">
        <v>2</v>
      </c>
      <c r="G3033">
        <v>3</v>
      </c>
    </row>
    <row r="3034" spans="1:7" x14ac:dyDescent="0.3">
      <c r="A3034" s="22" t="s">
        <v>67</v>
      </c>
      <c r="B3034">
        <v>6</v>
      </c>
      <c r="C3034" t="s">
        <v>64</v>
      </c>
      <c r="D3034">
        <v>6</v>
      </c>
      <c r="E3034" s="8">
        <v>0.5</v>
      </c>
      <c r="F3034" s="8">
        <v>0.33329999999999999</v>
      </c>
      <c r="G3034" s="8">
        <v>0.16669999999999999</v>
      </c>
    </row>
    <row r="3036" spans="1:7" ht="86.4" x14ac:dyDescent="0.3">
      <c r="A3036" s="22" t="s">
        <v>740</v>
      </c>
    </row>
    <row r="3037" spans="1:7" x14ac:dyDescent="0.3">
      <c r="A3037" s="22" t="s">
        <v>66</v>
      </c>
      <c r="B3037" t="s">
        <v>62</v>
      </c>
      <c r="C3037" t="s">
        <v>57</v>
      </c>
      <c r="D3037" t="s">
        <v>63</v>
      </c>
      <c r="E3037">
        <v>1</v>
      </c>
      <c r="F3037">
        <v>2</v>
      </c>
      <c r="G3037">
        <v>3</v>
      </c>
    </row>
    <row r="3038" spans="1:7" x14ac:dyDescent="0.3">
      <c r="A3038" s="22" t="s">
        <v>67</v>
      </c>
      <c r="B3038">
        <v>6</v>
      </c>
      <c r="C3038" t="s">
        <v>64</v>
      </c>
      <c r="D3038">
        <v>6</v>
      </c>
      <c r="E3038" s="8">
        <v>0.5</v>
      </c>
      <c r="F3038" s="8">
        <v>0.33329999999999999</v>
      </c>
      <c r="G3038" s="8">
        <v>0.16669999999999999</v>
      </c>
    </row>
    <row r="3040" spans="1:7" ht="72" x14ac:dyDescent="0.3">
      <c r="A3040" s="22" t="s">
        <v>741</v>
      </c>
    </row>
    <row r="3041" spans="1:7" x14ac:dyDescent="0.3">
      <c r="A3041" s="22" t="s">
        <v>66</v>
      </c>
      <c r="B3041" t="s">
        <v>62</v>
      </c>
      <c r="C3041" t="s">
        <v>57</v>
      </c>
      <c r="D3041" t="s">
        <v>63</v>
      </c>
      <c r="E3041">
        <v>1</v>
      </c>
      <c r="F3041">
        <v>2</v>
      </c>
      <c r="G3041">
        <v>3</v>
      </c>
    </row>
    <row r="3042" spans="1:7" x14ac:dyDescent="0.3">
      <c r="A3042" s="22" t="s">
        <v>67</v>
      </c>
      <c r="B3042">
        <v>5</v>
      </c>
      <c r="C3042" t="s">
        <v>64</v>
      </c>
      <c r="D3042">
        <v>6</v>
      </c>
      <c r="E3042" s="8">
        <v>0.4</v>
      </c>
      <c r="F3042" s="8">
        <v>0.4</v>
      </c>
      <c r="G3042" s="8">
        <v>0.2</v>
      </c>
    </row>
    <row r="3043" spans="1:7" x14ac:dyDescent="0.3">
      <c r="A3043" s="22" t="s">
        <v>68</v>
      </c>
      <c r="B3043">
        <v>1</v>
      </c>
      <c r="C3043" t="s">
        <v>64</v>
      </c>
      <c r="D3043">
        <v>6</v>
      </c>
      <c r="E3043" s="8">
        <v>1</v>
      </c>
    </row>
    <row r="3045" spans="1:7" ht="72" x14ac:dyDescent="0.3">
      <c r="A3045" s="22" t="s">
        <v>742</v>
      </c>
    </row>
    <row r="3046" spans="1:7" x14ac:dyDescent="0.3">
      <c r="A3046" s="22" t="s">
        <v>66</v>
      </c>
      <c r="B3046" t="s">
        <v>62</v>
      </c>
      <c r="C3046" t="s">
        <v>57</v>
      </c>
      <c r="D3046" t="s">
        <v>63</v>
      </c>
      <c r="E3046">
        <v>1</v>
      </c>
      <c r="F3046">
        <v>2</v>
      </c>
      <c r="G3046">
        <v>3</v>
      </c>
    </row>
    <row r="3047" spans="1:7" x14ac:dyDescent="0.3">
      <c r="A3047" s="22" t="s">
        <v>67</v>
      </c>
      <c r="B3047">
        <v>5</v>
      </c>
      <c r="C3047" t="s">
        <v>64</v>
      </c>
      <c r="D3047">
        <v>6</v>
      </c>
      <c r="E3047" s="8">
        <v>0.6</v>
      </c>
      <c r="F3047" s="8">
        <v>0.4</v>
      </c>
    </row>
    <row r="3048" spans="1:7" x14ac:dyDescent="0.3">
      <c r="A3048" s="22" t="s">
        <v>68</v>
      </c>
      <c r="B3048">
        <v>1</v>
      </c>
      <c r="C3048" t="s">
        <v>64</v>
      </c>
      <c r="D3048">
        <v>6</v>
      </c>
      <c r="G3048" s="8">
        <v>1</v>
      </c>
    </row>
    <row r="3050" spans="1:7" ht="57.6" x14ac:dyDescent="0.3">
      <c r="A3050" s="27" t="s">
        <v>743</v>
      </c>
    </row>
    <row r="3051" spans="1:7" x14ac:dyDescent="0.3">
      <c r="A3051" s="22" t="s">
        <v>66</v>
      </c>
      <c r="B3051" t="s">
        <v>62</v>
      </c>
      <c r="C3051" t="s">
        <v>57</v>
      </c>
      <c r="D3051" t="s">
        <v>63</v>
      </c>
      <c r="E3051">
        <v>1</v>
      </c>
      <c r="F3051">
        <v>2</v>
      </c>
      <c r="G3051">
        <v>3</v>
      </c>
    </row>
    <row r="3052" spans="1:7" x14ac:dyDescent="0.3">
      <c r="A3052" s="22" t="s">
        <v>82</v>
      </c>
      <c r="B3052">
        <v>1</v>
      </c>
      <c r="C3052" t="s">
        <v>64</v>
      </c>
      <c r="D3052">
        <v>6</v>
      </c>
      <c r="E3052" s="8">
        <v>1</v>
      </c>
    </row>
    <row r="3053" spans="1:7" x14ac:dyDescent="0.3">
      <c r="A3053" s="22" t="s">
        <v>83</v>
      </c>
      <c r="B3053">
        <v>3</v>
      </c>
      <c r="C3053" t="s">
        <v>64</v>
      </c>
      <c r="D3053">
        <v>6</v>
      </c>
      <c r="E3053" s="8">
        <v>0.66669999999999996</v>
      </c>
      <c r="F3053" s="8">
        <v>0.33329999999999999</v>
      </c>
    </row>
    <row r="3054" spans="1:7" x14ac:dyDescent="0.3">
      <c r="A3054" s="22" t="s">
        <v>84</v>
      </c>
      <c r="B3054">
        <v>2</v>
      </c>
      <c r="C3054" t="s">
        <v>64</v>
      </c>
      <c r="D3054">
        <v>6</v>
      </c>
      <c r="F3054" s="8">
        <v>0.5</v>
      </c>
      <c r="G3054" s="8">
        <v>0.5</v>
      </c>
    </row>
    <row r="3056" spans="1:7" ht="57.6" x14ac:dyDescent="0.3">
      <c r="A3056" s="27" t="s">
        <v>744</v>
      </c>
    </row>
    <row r="3057" spans="1:8" x14ac:dyDescent="0.3">
      <c r="A3057" s="22" t="s">
        <v>62</v>
      </c>
      <c r="B3057" t="s">
        <v>57</v>
      </c>
      <c r="C3057" t="s">
        <v>63</v>
      </c>
      <c r="D3057">
        <v>1</v>
      </c>
      <c r="E3057">
        <v>2</v>
      </c>
      <c r="F3057">
        <v>3</v>
      </c>
      <c r="G3057">
        <v>4</v>
      </c>
    </row>
    <row r="3058" spans="1:8" x14ac:dyDescent="0.3">
      <c r="A3058" s="22">
        <v>24</v>
      </c>
      <c r="B3058" t="s">
        <v>64</v>
      </c>
      <c r="C3058">
        <v>24</v>
      </c>
      <c r="D3058" s="8">
        <v>0.5</v>
      </c>
      <c r="E3058" s="8">
        <v>0.16669999999999999</v>
      </c>
      <c r="F3058" s="8">
        <v>8.3299999999999999E-2</v>
      </c>
      <c r="G3058" s="8">
        <v>0.25</v>
      </c>
    </row>
    <row r="3060" spans="1:8" ht="72" x14ac:dyDescent="0.3">
      <c r="A3060" s="22" t="s">
        <v>745</v>
      </c>
    </row>
    <row r="3061" spans="1:8" x14ac:dyDescent="0.3">
      <c r="A3061" s="22" t="s">
        <v>66</v>
      </c>
      <c r="B3061" t="s">
        <v>62</v>
      </c>
      <c r="C3061" t="s">
        <v>57</v>
      </c>
      <c r="D3061" t="s">
        <v>63</v>
      </c>
      <c r="E3061">
        <v>1</v>
      </c>
      <c r="F3061">
        <v>2</v>
      </c>
      <c r="G3061">
        <v>3</v>
      </c>
      <c r="H3061">
        <v>4</v>
      </c>
    </row>
    <row r="3062" spans="1:8" x14ac:dyDescent="0.3">
      <c r="A3062" s="22" t="s">
        <v>67</v>
      </c>
      <c r="B3062">
        <v>22</v>
      </c>
      <c r="C3062" t="s">
        <v>64</v>
      </c>
      <c r="D3062">
        <v>24</v>
      </c>
      <c r="E3062" s="8">
        <v>0.54549999999999998</v>
      </c>
      <c r="F3062" s="8">
        <v>0.13639999999999999</v>
      </c>
      <c r="G3062" s="8">
        <v>4.5499999999999999E-2</v>
      </c>
      <c r="H3062" s="8">
        <v>0.2727</v>
      </c>
    </row>
    <row r="3063" spans="1:8" x14ac:dyDescent="0.3">
      <c r="A3063" s="22" t="s">
        <v>68</v>
      </c>
      <c r="B3063">
        <v>2</v>
      </c>
      <c r="C3063" t="s">
        <v>64</v>
      </c>
      <c r="D3063">
        <v>24</v>
      </c>
      <c r="F3063" s="8">
        <v>0.5</v>
      </c>
      <c r="G3063" s="8">
        <v>0.5</v>
      </c>
    </row>
    <row r="3065" spans="1:8" x14ac:dyDescent="0.3">
      <c r="A3065"/>
    </row>
    <row r="3066" spans="1:8" x14ac:dyDescent="0.3">
      <c r="A3066"/>
    </row>
    <row r="3067" spans="1:8" x14ac:dyDescent="0.3">
      <c r="A3067"/>
    </row>
    <row r="3069" spans="1:8" ht="72" x14ac:dyDescent="0.3">
      <c r="A3069" s="22" t="s">
        <v>746</v>
      </c>
    </row>
    <row r="3070" spans="1:8" x14ac:dyDescent="0.3">
      <c r="A3070" s="22" t="s">
        <v>66</v>
      </c>
      <c r="B3070" t="s">
        <v>62</v>
      </c>
      <c r="C3070" t="s">
        <v>57</v>
      </c>
      <c r="D3070" t="s">
        <v>63</v>
      </c>
      <c r="E3070">
        <v>1</v>
      </c>
      <c r="F3070">
        <v>2</v>
      </c>
      <c r="G3070">
        <v>3</v>
      </c>
      <c r="H3070">
        <v>4</v>
      </c>
    </row>
    <row r="3071" spans="1:8" x14ac:dyDescent="0.3">
      <c r="A3071" s="22" t="s">
        <v>67</v>
      </c>
      <c r="B3071">
        <v>24</v>
      </c>
      <c r="C3071" t="s">
        <v>64</v>
      </c>
      <c r="D3071">
        <v>24</v>
      </c>
      <c r="E3071" s="8">
        <v>0.5</v>
      </c>
      <c r="F3071" s="8">
        <v>0.16669999999999999</v>
      </c>
      <c r="G3071" s="8">
        <v>8.3299999999999999E-2</v>
      </c>
      <c r="H3071" s="8">
        <v>0.25</v>
      </c>
    </row>
    <row r="3073" spans="1:8" ht="72" x14ac:dyDescent="0.3">
      <c r="A3073" s="22" t="s">
        <v>747</v>
      </c>
    </row>
    <row r="3074" spans="1:8" x14ac:dyDescent="0.3">
      <c r="A3074" s="22" t="s">
        <v>66</v>
      </c>
      <c r="B3074" t="s">
        <v>62</v>
      </c>
      <c r="C3074" t="s">
        <v>57</v>
      </c>
      <c r="D3074" t="s">
        <v>63</v>
      </c>
      <c r="E3074">
        <v>1</v>
      </c>
      <c r="F3074">
        <v>2</v>
      </c>
      <c r="G3074">
        <v>3</v>
      </c>
      <c r="H3074">
        <v>4</v>
      </c>
    </row>
    <row r="3075" spans="1:8" x14ac:dyDescent="0.3">
      <c r="A3075" s="22" t="s">
        <v>67</v>
      </c>
      <c r="B3075">
        <v>24</v>
      </c>
      <c r="C3075" t="s">
        <v>64</v>
      </c>
      <c r="D3075">
        <v>24</v>
      </c>
      <c r="E3075" s="8">
        <v>0.5</v>
      </c>
      <c r="F3075" s="8">
        <v>0.16669999999999999</v>
      </c>
      <c r="G3075" s="8">
        <v>8.3299999999999999E-2</v>
      </c>
      <c r="H3075" s="8">
        <v>0.25</v>
      </c>
    </row>
    <row r="3077" spans="1:8" ht="72" x14ac:dyDescent="0.3">
      <c r="A3077" s="22" t="s">
        <v>748</v>
      </c>
    </row>
    <row r="3078" spans="1:8" x14ac:dyDescent="0.3">
      <c r="A3078" s="22" t="s">
        <v>66</v>
      </c>
      <c r="B3078" t="s">
        <v>62</v>
      </c>
      <c r="C3078" t="s">
        <v>57</v>
      </c>
      <c r="D3078" t="s">
        <v>63</v>
      </c>
      <c r="E3078">
        <v>1</v>
      </c>
      <c r="F3078">
        <v>2</v>
      </c>
      <c r="G3078">
        <v>3</v>
      </c>
      <c r="H3078">
        <v>4</v>
      </c>
    </row>
    <row r="3079" spans="1:8" x14ac:dyDescent="0.3">
      <c r="A3079" s="22" t="s">
        <v>67</v>
      </c>
      <c r="B3079">
        <v>20</v>
      </c>
      <c r="C3079" t="s">
        <v>64</v>
      </c>
      <c r="D3079">
        <v>24</v>
      </c>
      <c r="E3079" s="8">
        <v>0.5</v>
      </c>
      <c r="F3079" s="8">
        <v>0.2</v>
      </c>
      <c r="G3079" s="8">
        <v>0.05</v>
      </c>
      <c r="H3079" s="8">
        <v>0.25</v>
      </c>
    </row>
    <row r="3080" spans="1:8" x14ac:dyDescent="0.3">
      <c r="A3080" s="22" t="s">
        <v>68</v>
      </c>
      <c r="B3080">
        <v>4</v>
      </c>
      <c r="C3080" t="s">
        <v>64</v>
      </c>
      <c r="D3080">
        <v>24</v>
      </c>
      <c r="E3080" s="8">
        <v>0.5</v>
      </c>
      <c r="G3080" s="8">
        <v>0.25</v>
      </c>
      <c r="H3080" s="8">
        <v>0.25</v>
      </c>
    </row>
    <row r="3082" spans="1:8" ht="72" x14ac:dyDescent="0.3">
      <c r="A3082" s="22" t="s">
        <v>749</v>
      </c>
    </row>
    <row r="3083" spans="1:8" x14ac:dyDescent="0.3">
      <c r="A3083" s="22" t="s">
        <v>66</v>
      </c>
      <c r="B3083" t="s">
        <v>62</v>
      </c>
      <c r="C3083" t="s">
        <v>57</v>
      </c>
      <c r="D3083" t="s">
        <v>63</v>
      </c>
      <c r="E3083">
        <v>1</v>
      </c>
      <c r="F3083">
        <v>2</v>
      </c>
      <c r="G3083">
        <v>3</v>
      </c>
      <c r="H3083">
        <v>4</v>
      </c>
    </row>
    <row r="3084" spans="1:8" x14ac:dyDescent="0.3">
      <c r="A3084" s="22" t="s">
        <v>68</v>
      </c>
      <c r="B3084">
        <v>24</v>
      </c>
      <c r="C3084" t="s">
        <v>64</v>
      </c>
      <c r="D3084">
        <v>24</v>
      </c>
      <c r="E3084" s="8">
        <v>0.5</v>
      </c>
      <c r="F3084" s="8">
        <v>0.16669999999999999</v>
      </c>
      <c r="G3084" s="8">
        <v>8.3299999999999999E-2</v>
      </c>
      <c r="H3084" s="8">
        <v>0.25</v>
      </c>
    </row>
    <row r="3086" spans="1:8" ht="72" x14ac:dyDescent="0.3">
      <c r="A3086" s="22" t="s">
        <v>750</v>
      </c>
    </row>
    <row r="3087" spans="1:8" x14ac:dyDescent="0.3">
      <c r="A3087" s="22" t="s">
        <v>66</v>
      </c>
      <c r="B3087" t="s">
        <v>62</v>
      </c>
      <c r="C3087" t="s">
        <v>57</v>
      </c>
      <c r="D3087" t="s">
        <v>63</v>
      </c>
      <c r="E3087">
        <v>1</v>
      </c>
      <c r="F3087">
        <v>2</v>
      </c>
      <c r="G3087">
        <v>3</v>
      </c>
      <c r="H3087">
        <v>4</v>
      </c>
    </row>
    <row r="3088" spans="1:8" x14ac:dyDescent="0.3">
      <c r="A3088" s="22" t="s">
        <v>67</v>
      </c>
      <c r="B3088">
        <v>16</v>
      </c>
      <c r="C3088" t="s">
        <v>64</v>
      </c>
      <c r="D3088">
        <v>24</v>
      </c>
      <c r="E3088" s="8">
        <v>0.4375</v>
      </c>
      <c r="F3088" s="8">
        <v>0.1875</v>
      </c>
      <c r="G3088" s="8">
        <v>0.125</v>
      </c>
      <c r="H3088" s="8">
        <v>0.25</v>
      </c>
    </row>
    <row r="3089" spans="1:8" x14ac:dyDescent="0.3">
      <c r="A3089" s="22" t="s">
        <v>68</v>
      </c>
      <c r="B3089">
        <v>8</v>
      </c>
      <c r="C3089" t="s">
        <v>64</v>
      </c>
      <c r="D3089">
        <v>24</v>
      </c>
      <c r="E3089" s="8">
        <v>0.625</v>
      </c>
      <c r="F3089" s="8">
        <v>0.125</v>
      </c>
      <c r="H3089" s="8">
        <v>0.25</v>
      </c>
    </row>
    <row r="3091" spans="1:8" ht="72" x14ac:dyDescent="0.3">
      <c r="A3091" s="22" t="s">
        <v>751</v>
      </c>
    </row>
    <row r="3092" spans="1:8" x14ac:dyDescent="0.3">
      <c r="A3092" s="22" t="s">
        <v>66</v>
      </c>
      <c r="B3092" t="s">
        <v>62</v>
      </c>
      <c r="C3092" t="s">
        <v>57</v>
      </c>
      <c r="D3092" t="s">
        <v>63</v>
      </c>
      <c r="E3092">
        <v>1</v>
      </c>
      <c r="F3092">
        <v>2</v>
      </c>
      <c r="G3092">
        <v>3</v>
      </c>
      <c r="H3092">
        <v>4</v>
      </c>
    </row>
    <row r="3093" spans="1:8" x14ac:dyDescent="0.3">
      <c r="A3093" s="22" t="s">
        <v>67</v>
      </c>
      <c r="B3093">
        <v>18</v>
      </c>
      <c r="C3093" t="s">
        <v>64</v>
      </c>
      <c r="D3093">
        <v>24</v>
      </c>
      <c r="E3093" s="8">
        <v>0.55559999999999998</v>
      </c>
      <c r="F3093" s="8">
        <v>0.1111</v>
      </c>
      <c r="G3093" s="8">
        <v>5.5599999999999997E-2</v>
      </c>
      <c r="H3093" s="8">
        <v>0.27779999999999999</v>
      </c>
    </row>
    <row r="3094" spans="1:8" x14ac:dyDescent="0.3">
      <c r="A3094" s="22" t="s">
        <v>68</v>
      </c>
      <c r="B3094">
        <v>6</v>
      </c>
      <c r="C3094" t="s">
        <v>64</v>
      </c>
      <c r="D3094">
        <v>24</v>
      </c>
      <c r="E3094" s="8">
        <v>0.33329999999999999</v>
      </c>
      <c r="F3094" s="8">
        <v>0.33329999999999999</v>
      </c>
      <c r="G3094" s="8">
        <v>0.16669999999999999</v>
      </c>
      <c r="H3094" s="8">
        <v>0.16669999999999999</v>
      </c>
    </row>
    <row r="3096" spans="1:8" ht="72" x14ac:dyDescent="0.3">
      <c r="A3096" s="22" t="s">
        <v>752</v>
      </c>
    </row>
    <row r="3097" spans="1:8" x14ac:dyDescent="0.3">
      <c r="A3097" s="22" t="s">
        <v>66</v>
      </c>
      <c r="B3097" t="s">
        <v>62</v>
      </c>
      <c r="C3097" t="s">
        <v>57</v>
      </c>
      <c r="D3097" t="s">
        <v>63</v>
      </c>
      <c r="E3097">
        <v>1</v>
      </c>
      <c r="F3097">
        <v>2</v>
      </c>
      <c r="G3097">
        <v>3</v>
      </c>
      <c r="H3097">
        <v>4</v>
      </c>
    </row>
    <row r="3098" spans="1:8" x14ac:dyDescent="0.3">
      <c r="A3098" s="22" t="s">
        <v>67</v>
      </c>
      <c r="B3098">
        <v>17</v>
      </c>
      <c r="C3098" t="s">
        <v>64</v>
      </c>
      <c r="D3098">
        <v>24</v>
      </c>
      <c r="E3098" s="8">
        <v>0.52939999999999998</v>
      </c>
      <c r="F3098" s="8">
        <v>0.23530000000000001</v>
      </c>
      <c r="G3098" s="8">
        <v>5.8799999999999998E-2</v>
      </c>
      <c r="H3098" s="8">
        <v>0.17649999999999999</v>
      </c>
    </row>
    <row r="3099" spans="1:8" x14ac:dyDescent="0.3">
      <c r="A3099" s="22" t="s">
        <v>68</v>
      </c>
      <c r="B3099">
        <v>7</v>
      </c>
      <c r="C3099" t="s">
        <v>64</v>
      </c>
      <c r="D3099">
        <v>24</v>
      </c>
      <c r="E3099" s="8">
        <v>0.42859999999999998</v>
      </c>
      <c r="G3099" s="8">
        <v>0.1429</v>
      </c>
      <c r="H3099" s="8">
        <v>0.42859999999999998</v>
      </c>
    </row>
    <row r="3101" spans="1:8" ht="86.4" x14ac:dyDescent="0.3">
      <c r="A3101" s="22" t="s">
        <v>753</v>
      </c>
    </row>
    <row r="3102" spans="1:8" x14ac:dyDescent="0.3">
      <c r="A3102" s="22" t="s">
        <v>66</v>
      </c>
      <c r="B3102" t="s">
        <v>62</v>
      </c>
      <c r="C3102" t="s">
        <v>57</v>
      </c>
      <c r="D3102" t="s">
        <v>63</v>
      </c>
      <c r="E3102">
        <v>1</v>
      </c>
      <c r="F3102">
        <v>2</v>
      </c>
      <c r="G3102">
        <v>3</v>
      </c>
      <c r="H3102">
        <v>4</v>
      </c>
    </row>
    <row r="3103" spans="1:8" x14ac:dyDescent="0.3">
      <c r="A3103" s="22" t="s">
        <v>67</v>
      </c>
      <c r="B3103">
        <v>24</v>
      </c>
      <c r="C3103" t="s">
        <v>64</v>
      </c>
      <c r="D3103">
        <v>24</v>
      </c>
      <c r="E3103" s="8">
        <v>0.5</v>
      </c>
      <c r="F3103" s="8">
        <v>0.16669999999999999</v>
      </c>
      <c r="G3103" s="8">
        <v>8.3299999999999999E-2</v>
      </c>
      <c r="H3103" s="8">
        <v>0.25</v>
      </c>
    </row>
    <row r="3105" spans="1:8" ht="86.4" x14ac:dyDescent="0.3">
      <c r="A3105" s="22" t="s">
        <v>754</v>
      </c>
    </row>
    <row r="3106" spans="1:8" x14ac:dyDescent="0.3">
      <c r="A3106" s="22" t="s">
        <v>66</v>
      </c>
      <c r="B3106" t="s">
        <v>62</v>
      </c>
      <c r="C3106" t="s">
        <v>57</v>
      </c>
      <c r="D3106" t="s">
        <v>63</v>
      </c>
      <c r="E3106">
        <v>1</v>
      </c>
      <c r="F3106">
        <v>2</v>
      </c>
      <c r="G3106">
        <v>3</v>
      </c>
      <c r="H3106">
        <v>4</v>
      </c>
    </row>
    <row r="3107" spans="1:8" x14ac:dyDescent="0.3">
      <c r="A3107" s="22" t="s">
        <v>67</v>
      </c>
      <c r="B3107">
        <v>24</v>
      </c>
      <c r="C3107" t="s">
        <v>64</v>
      </c>
      <c r="D3107">
        <v>24</v>
      </c>
      <c r="E3107" s="8">
        <v>0.5</v>
      </c>
      <c r="F3107" s="8">
        <v>0.16669999999999999</v>
      </c>
      <c r="G3107" s="8">
        <v>8.3299999999999999E-2</v>
      </c>
      <c r="H3107" s="8">
        <v>0.25</v>
      </c>
    </row>
    <row r="3109" spans="1:8" ht="72" x14ac:dyDescent="0.3">
      <c r="A3109" s="22" t="s">
        <v>755</v>
      </c>
    </row>
    <row r="3110" spans="1:8" x14ac:dyDescent="0.3">
      <c r="A3110" s="22" t="s">
        <v>66</v>
      </c>
      <c r="B3110" t="s">
        <v>62</v>
      </c>
      <c r="C3110" t="s">
        <v>57</v>
      </c>
      <c r="D3110" t="s">
        <v>63</v>
      </c>
      <c r="E3110">
        <v>1</v>
      </c>
      <c r="F3110">
        <v>2</v>
      </c>
      <c r="G3110">
        <v>3</v>
      </c>
      <c r="H3110">
        <v>4</v>
      </c>
    </row>
    <row r="3111" spans="1:8" x14ac:dyDescent="0.3">
      <c r="A3111" s="22" t="s">
        <v>67</v>
      </c>
      <c r="B3111">
        <v>14</v>
      </c>
      <c r="C3111" t="s">
        <v>64</v>
      </c>
      <c r="D3111">
        <v>24</v>
      </c>
      <c r="E3111" s="8">
        <v>0.42859999999999998</v>
      </c>
      <c r="F3111" s="8">
        <v>0.1429</v>
      </c>
      <c r="G3111" s="8">
        <v>7.1400000000000005E-2</v>
      </c>
      <c r="H3111" s="8">
        <v>0.35709999999999997</v>
      </c>
    </row>
    <row r="3112" spans="1:8" x14ac:dyDescent="0.3">
      <c r="A3112" s="22" t="s">
        <v>68</v>
      </c>
      <c r="B3112">
        <v>10</v>
      </c>
      <c r="C3112" t="s">
        <v>64</v>
      </c>
      <c r="D3112">
        <v>24</v>
      </c>
      <c r="E3112" s="8">
        <v>0.6</v>
      </c>
      <c r="F3112" s="8">
        <v>0.2</v>
      </c>
      <c r="G3112" s="8">
        <v>0.1</v>
      </c>
      <c r="H3112" s="8">
        <v>0.1</v>
      </c>
    </row>
    <row r="3114" spans="1:8" ht="72" x14ac:dyDescent="0.3">
      <c r="A3114" s="22" t="s">
        <v>756</v>
      </c>
    </row>
    <row r="3115" spans="1:8" x14ac:dyDescent="0.3">
      <c r="A3115" s="22" t="s">
        <v>66</v>
      </c>
      <c r="B3115" t="s">
        <v>62</v>
      </c>
      <c r="C3115" t="s">
        <v>57</v>
      </c>
      <c r="D3115" t="s">
        <v>63</v>
      </c>
      <c r="E3115">
        <v>1</v>
      </c>
      <c r="F3115">
        <v>2</v>
      </c>
      <c r="G3115">
        <v>3</v>
      </c>
      <c r="H3115">
        <v>4</v>
      </c>
    </row>
    <row r="3116" spans="1:8" x14ac:dyDescent="0.3">
      <c r="A3116" s="22" t="s">
        <v>67</v>
      </c>
      <c r="B3116">
        <v>23</v>
      </c>
      <c r="C3116" t="s">
        <v>64</v>
      </c>
      <c r="D3116">
        <v>24</v>
      </c>
      <c r="E3116" s="8">
        <v>0.52170000000000005</v>
      </c>
      <c r="F3116" s="8">
        <v>0.1739</v>
      </c>
      <c r="G3116" s="8">
        <v>8.6999999999999994E-2</v>
      </c>
      <c r="H3116" s="8">
        <v>0.21740000000000001</v>
      </c>
    </row>
    <row r="3117" spans="1:8" x14ac:dyDescent="0.3">
      <c r="A3117" s="22" t="s">
        <v>68</v>
      </c>
      <c r="B3117">
        <v>1</v>
      </c>
      <c r="C3117" t="s">
        <v>64</v>
      </c>
      <c r="D3117">
        <v>24</v>
      </c>
      <c r="H3117" s="8">
        <v>1</v>
      </c>
    </row>
    <row r="3119" spans="1:8" ht="57.6" x14ac:dyDescent="0.3">
      <c r="A3119" s="27" t="s">
        <v>757</v>
      </c>
    </row>
    <row r="3120" spans="1:8" x14ac:dyDescent="0.3">
      <c r="A3120" s="22" t="s">
        <v>66</v>
      </c>
      <c r="B3120" t="s">
        <v>62</v>
      </c>
      <c r="C3120" t="s">
        <v>57</v>
      </c>
      <c r="D3120" t="s">
        <v>63</v>
      </c>
      <c r="E3120">
        <v>1</v>
      </c>
      <c r="F3120">
        <v>2</v>
      </c>
      <c r="G3120">
        <v>3</v>
      </c>
      <c r="H3120">
        <v>4</v>
      </c>
    </row>
    <row r="3121" spans="1:8" x14ac:dyDescent="0.3">
      <c r="A3121" s="22" t="s">
        <v>81</v>
      </c>
      <c r="B3121">
        <v>8</v>
      </c>
      <c r="C3121" t="s">
        <v>64</v>
      </c>
      <c r="D3121">
        <v>24</v>
      </c>
      <c r="E3121" s="8">
        <v>0.5</v>
      </c>
      <c r="F3121" s="8">
        <v>0.25</v>
      </c>
      <c r="H3121" s="8">
        <v>0.25</v>
      </c>
    </row>
    <row r="3122" spans="1:8" x14ac:dyDescent="0.3">
      <c r="A3122" s="22" t="s">
        <v>82</v>
      </c>
      <c r="B3122">
        <v>8</v>
      </c>
      <c r="C3122" t="s">
        <v>64</v>
      </c>
      <c r="D3122">
        <v>24</v>
      </c>
      <c r="E3122" s="8">
        <v>0.625</v>
      </c>
      <c r="F3122" s="8">
        <v>0.125</v>
      </c>
      <c r="H3122" s="8">
        <v>0.25</v>
      </c>
    </row>
    <row r="3123" spans="1:8" x14ac:dyDescent="0.3">
      <c r="A3123" s="22" t="s">
        <v>83</v>
      </c>
      <c r="B3123">
        <v>4</v>
      </c>
      <c r="C3123" t="s">
        <v>64</v>
      </c>
      <c r="D3123">
        <v>24</v>
      </c>
      <c r="E3123" s="8">
        <v>0.25</v>
      </c>
      <c r="F3123" s="8">
        <v>0.25</v>
      </c>
      <c r="G3123" s="8">
        <v>0.25</v>
      </c>
      <c r="H3123" s="8">
        <v>0.25</v>
      </c>
    </row>
    <row r="3124" spans="1:8" x14ac:dyDescent="0.3">
      <c r="A3124" s="22" t="s">
        <v>84</v>
      </c>
      <c r="B3124">
        <v>4</v>
      </c>
      <c r="C3124" t="s">
        <v>64</v>
      </c>
      <c r="D3124">
        <v>24</v>
      </c>
      <c r="E3124" s="8">
        <v>0.5</v>
      </c>
      <c r="G3124" s="8">
        <v>0.25</v>
      </c>
      <c r="H3124" s="8">
        <v>0.25</v>
      </c>
    </row>
    <row r="3126" spans="1:8" ht="43.2" x14ac:dyDescent="0.3">
      <c r="A3126" s="27" t="s">
        <v>758</v>
      </c>
    </row>
    <row r="3127" spans="1:8" x14ac:dyDescent="0.3">
      <c r="A3127" s="22" t="s">
        <v>62</v>
      </c>
      <c r="B3127" t="s">
        <v>57</v>
      </c>
      <c r="C3127" t="s">
        <v>63</v>
      </c>
      <c r="D3127">
        <v>1</v>
      </c>
      <c r="E3127">
        <v>3</v>
      </c>
    </row>
    <row r="3128" spans="1:8" x14ac:dyDescent="0.3">
      <c r="A3128" s="22">
        <v>3</v>
      </c>
      <c r="B3128" t="s">
        <v>64</v>
      </c>
      <c r="C3128">
        <v>3</v>
      </c>
      <c r="D3128" s="8">
        <v>0.66669999999999996</v>
      </c>
      <c r="E3128" s="8">
        <v>0.33329999999999999</v>
      </c>
    </row>
    <row r="3130" spans="1:8" ht="72" x14ac:dyDescent="0.3">
      <c r="A3130" s="22" t="s">
        <v>759</v>
      </c>
    </row>
    <row r="3131" spans="1:8" x14ac:dyDescent="0.3">
      <c r="A3131" s="22" t="s">
        <v>66</v>
      </c>
      <c r="B3131" t="s">
        <v>62</v>
      </c>
      <c r="C3131" t="s">
        <v>57</v>
      </c>
      <c r="D3131" t="s">
        <v>63</v>
      </c>
      <c r="E3131">
        <v>1</v>
      </c>
      <c r="F3131">
        <v>3</v>
      </c>
    </row>
    <row r="3132" spans="1:8" x14ac:dyDescent="0.3">
      <c r="A3132" s="22" t="s">
        <v>67</v>
      </c>
      <c r="B3132">
        <v>3</v>
      </c>
      <c r="C3132" t="s">
        <v>64</v>
      </c>
      <c r="D3132">
        <v>3</v>
      </c>
      <c r="E3132" s="8">
        <v>0.66669999999999996</v>
      </c>
      <c r="F3132" s="8">
        <v>0.33329999999999999</v>
      </c>
    </row>
    <row r="3134" spans="1:8" x14ac:dyDescent="0.3">
      <c r="A3134"/>
    </row>
    <row r="3135" spans="1:8" x14ac:dyDescent="0.3">
      <c r="A3135"/>
    </row>
    <row r="3136" spans="1:8" x14ac:dyDescent="0.3">
      <c r="A3136"/>
    </row>
    <row r="3137" spans="1:6" x14ac:dyDescent="0.3">
      <c r="A3137"/>
    </row>
    <row r="3138" spans="1:6" ht="72" x14ac:dyDescent="0.3">
      <c r="A3138" s="22" t="s">
        <v>760</v>
      </c>
    </row>
    <row r="3139" spans="1:6" x14ac:dyDescent="0.3">
      <c r="A3139" s="22" t="s">
        <v>66</v>
      </c>
      <c r="B3139" t="s">
        <v>62</v>
      </c>
      <c r="C3139" t="s">
        <v>57</v>
      </c>
      <c r="D3139" t="s">
        <v>63</v>
      </c>
      <c r="E3139">
        <v>1</v>
      </c>
      <c r="F3139">
        <v>3</v>
      </c>
    </row>
    <row r="3140" spans="1:6" x14ac:dyDescent="0.3">
      <c r="A3140" s="22" t="s">
        <v>67</v>
      </c>
      <c r="B3140">
        <v>1</v>
      </c>
      <c r="C3140" t="s">
        <v>64</v>
      </c>
      <c r="D3140">
        <v>3</v>
      </c>
      <c r="E3140" s="8">
        <v>1</v>
      </c>
    </row>
    <row r="3141" spans="1:6" x14ac:dyDescent="0.3">
      <c r="A3141" s="22" t="s">
        <v>68</v>
      </c>
      <c r="B3141">
        <v>2</v>
      </c>
      <c r="C3141" t="s">
        <v>64</v>
      </c>
      <c r="D3141">
        <v>3</v>
      </c>
      <c r="E3141" s="8">
        <v>0.5</v>
      </c>
      <c r="F3141" s="8">
        <v>0.5</v>
      </c>
    </row>
    <row r="3143" spans="1:6" ht="57.6" x14ac:dyDescent="0.3">
      <c r="A3143" s="22" t="s">
        <v>761</v>
      </c>
    </row>
    <row r="3144" spans="1:6" x14ac:dyDescent="0.3">
      <c r="A3144" s="22" t="s">
        <v>66</v>
      </c>
      <c r="B3144" t="s">
        <v>62</v>
      </c>
      <c r="C3144" t="s">
        <v>57</v>
      </c>
      <c r="D3144" t="s">
        <v>63</v>
      </c>
      <c r="E3144">
        <v>1</v>
      </c>
      <c r="F3144">
        <v>3</v>
      </c>
    </row>
    <row r="3145" spans="1:6" x14ac:dyDescent="0.3">
      <c r="A3145" s="22" t="s">
        <v>67</v>
      </c>
      <c r="B3145">
        <v>3</v>
      </c>
      <c r="C3145" t="s">
        <v>64</v>
      </c>
      <c r="D3145">
        <v>3</v>
      </c>
      <c r="E3145" s="8">
        <v>0.66669999999999996</v>
      </c>
      <c r="F3145" s="8">
        <v>0.33329999999999999</v>
      </c>
    </row>
    <row r="3147" spans="1:6" ht="72" x14ac:dyDescent="0.3">
      <c r="A3147" s="22" t="s">
        <v>762</v>
      </c>
    </row>
    <row r="3148" spans="1:6" x14ac:dyDescent="0.3">
      <c r="A3148" s="22" t="s">
        <v>66</v>
      </c>
      <c r="B3148" t="s">
        <v>62</v>
      </c>
      <c r="C3148" t="s">
        <v>57</v>
      </c>
      <c r="D3148" t="s">
        <v>63</v>
      </c>
      <c r="E3148">
        <v>1</v>
      </c>
      <c r="F3148">
        <v>3</v>
      </c>
    </row>
    <row r="3149" spans="1:6" x14ac:dyDescent="0.3">
      <c r="A3149" s="22" t="s">
        <v>67</v>
      </c>
      <c r="B3149">
        <v>3</v>
      </c>
      <c r="C3149" t="s">
        <v>64</v>
      </c>
      <c r="D3149">
        <v>3</v>
      </c>
      <c r="E3149" s="8">
        <v>0.66669999999999996</v>
      </c>
      <c r="F3149" s="8">
        <v>0.33329999999999999</v>
      </c>
    </row>
    <row r="3151" spans="1:6" ht="72" x14ac:dyDescent="0.3">
      <c r="A3151" s="22" t="s">
        <v>763</v>
      </c>
    </row>
    <row r="3152" spans="1:6" x14ac:dyDescent="0.3">
      <c r="A3152" s="22" t="s">
        <v>66</v>
      </c>
      <c r="B3152" t="s">
        <v>62</v>
      </c>
      <c r="C3152" t="s">
        <v>57</v>
      </c>
      <c r="D3152" t="s">
        <v>63</v>
      </c>
      <c r="E3152">
        <v>1</v>
      </c>
      <c r="F3152">
        <v>3</v>
      </c>
    </row>
    <row r="3153" spans="1:6" x14ac:dyDescent="0.3">
      <c r="A3153" s="22" t="s">
        <v>68</v>
      </c>
      <c r="B3153">
        <v>3</v>
      </c>
      <c r="C3153" t="s">
        <v>64</v>
      </c>
      <c r="D3153">
        <v>3</v>
      </c>
      <c r="E3153" s="8">
        <v>0.66669999999999996</v>
      </c>
      <c r="F3153" s="8">
        <v>0.33329999999999999</v>
      </c>
    </row>
    <row r="3155" spans="1:6" ht="72" x14ac:dyDescent="0.3">
      <c r="A3155" s="22" t="s">
        <v>764</v>
      </c>
    </row>
    <row r="3156" spans="1:6" x14ac:dyDescent="0.3">
      <c r="A3156" s="22" t="s">
        <v>66</v>
      </c>
      <c r="B3156" t="s">
        <v>62</v>
      </c>
      <c r="C3156" t="s">
        <v>57</v>
      </c>
      <c r="D3156" t="s">
        <v>63</v>
      </c>
      <c r="E3156">
        <v>1</v>
      </c>
      <c r="F3156">
        <v>3</v>
      </c>
    </row>
    <row r="3157" spans="1:6" x14ac:dyDescent="0.3">
      <c r="A3157" s="22" t="s">
        <v>67</v>
      </c>
      <c r="B3157">
        <v>3</v>
      </c>
      <c r="C3157" t="s">
        <v>64</v>
      </c>
      <c r="D3157">
        <v>3</v>
      </c>
      <c r="E3157" s="8">
        <v>0.66669999999999996</v>
      </c>
      <c r="F3157" s="8">
        <v>0.33329999999999999</v>
      </c>
    </row>
    <row r="3159" spans="1:6" ht="57.6" x14ac:dyDescent="0.3">
      <c r="A3159" s="22" t="s">
        <v>765</v>
      </c>
    </row>
    <row r="3160" spans="1:6" x14ac:dyDescent="0.3">
      <c r="A3160" s="22" t="s">
        <v>66</v>
      </c>
      <c r="B3160" t="s">
        <v>62</v>
      </c>
      <c r="C3160" t="s">
        <v>57</v>
      </c>
      <c r="D3160" t="s">
        <v>63</v>
      </c>
      <c r="E3160">
        <v>1</v>
      </c>
      <c r="F3160">
        <v>3</v>
      </c>
    </row>
    <row r="3161" spans="1:6" x14ac:dyDescent="0.3">
      <c r="A3161" s="22" t="s">
        <v>67</v>
      </c>
      <c r="B3161">
        <v>3</v>
      </c>
      <c r="C3161" t="s">
        <v>64</v>
      </c>
      <c r="D3161">
        <v>3</v>
      </c>
      <c r="E3161" s="8">
        <v>0.66669999999999996</v>
      </c>
      <c r="F3161" s="8">
        <v>0.33329999999999999</v>
      </c>
    </row>
    <row r="3163" spans="1:6" ht="72" x14ac:dyDescent="0.3">
      <c r="A3163" s="22" t="s">
        <v>766</v>
      </c>
    </row>
    <row r="3164" spans="1:6" x14ac:dyDescent="0.3">
      <c r="A3164" s="22" t="s">
        <v>66</v>
      </c>
      <c r="B3164" t="s">
        <v>62</v>
      </c>
      <c r="C3164" t="s">
        <v>57</v>
      </c>
      <c r="D3164" t="s">
        <v>63</v>
      </c>
      <c r="E3164">
        <v>1</v>
      </c>
      <c r="F3164">
        <v>3</v>
      </c>
    </row>
    <row r="3165" spans="1:6" x14ac:dyDescent="0.3">
      <c r="A3165" s="22" t="s">
        <v>67</v>
      </c>
      <c r="B3165">
        <v>2</v>
      </c>
      <c r="C3165" t="s">
        <v>64</v>
      </c>
      <c r="D3165">
        <v>3</v>
      </c>
      <c r="E3165" s="8">
        <v>0.5</v>
      </c>
      <c r="F3165" s="8">
        <v>0.5</v>
      </c>
    </row>
    <row r="3166" spans="1:6" x14ac:dyDescent="0.3">
      <c r="A3166" s="22" t="s">
        <v>68</v>
      </c>
      <c r="B3166">
        <v>1</v>
      </c>
      <c r="C3166" t="s">
        <v>64</v>
      </c>
      <c r="D3166">
        <v>3</v>
      </c>
      <c r="E3166" s="8">
        <v>1</v>
      </c>
    </row>
    <row r="3168" spans="1:6" ht="72" x14ac:dyDescent="0.3">
      <c r="A3168" s="22" t="s">
        <v>767</v>
      </c>
    </row>
    <row r="3169" spans="1:6" x14ac:dyDescent="0.3">
      <c r="A3169" s="22" t="s">
        <v>66</v>
      </c>
      <c r="B3169" t="s">
        <v>62</v>
      </c>
      <c r="C3169" t="s">
        <v>57</v>
      </c>
      <c r="D3169" t="s">
        <v>63</v>
      </c>
      <c r="E3169">
        <v>1</v>
      </c>
      <c r="F3169">
        <v>3</v>
      </c>
    </row>
    <row r="3170" spans="1:6" x14ac:dyDescent="0.3">
      <c r="A3170" s="22" t="s">
        <v>67</v>
      </c>
      <c r="B3170">
        <v>3</v>
      </c>
      <c r="C3170" t="s">
        <v>64</v>
      </c>
      <c r="D3170">
        <v>3</v>
      </c>
      <c r="E3170" s="8">
        <v>0.66669999999999996</v>
      </c>
      <c r="F3170" s="8">
        <v>0.33329999999999999</v>
      </c>
    </row>
    <row r="3172" spans="1:6" ht="72" x14ac:dyDescent="0.3">
      <c r="A3172" s="22" t="s">
        <v>768</v>
      </c>
    </row>
    <row r="3173" spans="1:6" x14ac:dyDescent="0.3">
      <c r="A3173" s="22" t="s">
        <v>66</v>
      </c>
      <c r="B3173" t="s">
        <v>62</v>
      </c>
      <c r="C3173" t="s">
        <v>57</v>
      </c>
      <c r="D3173" t="s">
        <v>63</v>
      </c>
      <c r="E3173">
        <v>1</v>
      </c>
      <c r="F3173">
        <v>3</v>
      </c>
    </row>
    <row r="3174" spans="1:6" x14ac:dyDescent="0.3">
      <c r="A3174" s="22" t="s">
        <v>67</v>
      </c>
      <c r="B3174">
        <v>3</v>
      </c>
      <c r="C3174" t="s">
        <v>64</v>
      </c>
      <c r="D3174">
        <v>3</v>
      </c>
      <c r="E3174" s="8">
        <v>0.66669999999999996</v>
      </c>
      <c r="F3174" s="8">
        <v>0.33329999999999999</v>
      </c>
    </row>
    <row r="3176" spans="1:6" ht="57.6" x14ac:dyDescent="0.3">
      <c r="A3176" s="22" t="s">
        <v>769</v>
      </c>
    </row>
    <row r="3177" spans="1:6" x14ac:dyDescent="0.3">
      <c r="A3177" s="22" t="s">
        <v>66</v>
      </c>
      <c r="B3177" t="s">
        <v>62</v>
      </c>
      <c r="C3177" t="s">
        <v>57</v>
      </c>
      <c r="D3177" t="s">
        <v>63</v>
      </c>
      <c r="E3177">
        <v>1</v>
      </c>
      <c r="F3177">
        <v>3</v>
      </c>
    </row>
    <row r="3178" spans="1:6" x14ac:dyDescent="0.3">
      <c r="A3178" s="22" t="s">
        <v>67</v>
      </c>
      <c r="B3178">
        <v>2</v>
      </c>
      <c r="C3178" t="s">
        <v>64</v>
      </c>
      <c r="D3178">
        <v>3</v>
      </c>
      <c r="E3178" s="8">
        <v>0.5</v>
      </c>
      <c r="F3178" s="8">
        <v>0.5</v>
      </c>
    </row>
    <row r="3179" spans="1:6" x14ac:dyDescent="0.3">
      <c r="A3179" s="22" t="s">
        <v>68</v>
      </c>
      <c r="B3179">
        <v>1</v>
      </c>
      <c r="C3179" t="s">
        <v>64</v>
      </c>
      <c r="D3179">
        <v>3</v>
      </c>
      <c r="E3179" s="8">
        <v>1</v>
      </c>
    </row>
    <row r="3181" spans="1:6" ht="72" x14ac:dyDescent="0.3">
      <c r="A3181" s="22" t="s">
        <v>770</v>
      </c>
    </row>
    <row r="3182" spans="1:6" x14ac:dyDescent="0.3">
      <c r="A3182" s="22" t="s">
        <v>66</v>
      </c>
      <c r="B3182" t="s">
        <v>62</v>
      </c>
      <c r="C3182" t="s">
        <v>57</v>
      </c>
      <c r="D3182" t="s">
        <v>63</v>
      </c>
      <c r="E3182">
        <v>1</v>
      </c>
      <c r="F3182">
        <v>3</v>
      </c>
    </row>
    <row r="3183" spans="1:6" x14ac:dyDescent="0.3">
      <c r="A3183" s="22" t="s">
        <v>67</v>
      </c>
      <c r="B3183">
        <v>3</v>
      </c>
      <c r="C3183" t="s">
        <v>64</v>
      </c>
      <c r="D3183">
        <v>3</v>
      </c>
      <c r="E3183" s="8">
        <v>0.66669999999999996</v>
      </c>
      <c r="F3183" s="8">
        <v>0.33329999999999999</v>
      </c>
    </row>
    <row r="3185" spans="1:6" ht="57.6" x14ac:dyDescent="0.3">
      <c r="A3185" s="27" t="s">
        <v>771</v>
      </c>
    </row>
    <row r="3186" spans="1:6" x14ac:dyDescent="0.3">
      <c r="A3186" s="22" t="s">
        <v>66</v>
      </c>
      <c r="B3186" t="s">
        <v>62</v>
      </c>
      <c r="C3186" t="s">
        <v>57</v>
      </c>
      <c r="D3186" t="s">
        <v>63</v>
      </c>
      <c r="E3186">
        <v>1</v>
      </c>
      <c r="F3186">
        <v>3</v>
      </c>
    </row>
    <row r="3187" spans="1:6" x14ac:dyDescent="0.3">
      <c r="A3187" s="22" t="s">
        <v>81</v>
      </c>
      <c r="B3187">
        <v>2</v>
      </c>
      <c r="C3187" t="s">
        <v>64</v>
      </c>
      <c r="D3187">
        <v>3</v>
      </c>
      <c r="E3187" s="8">
        <v>0.5</v>
      </c>
      <c r="F3187" s="8">
        <v>0.5</v>
      </c>
    </row>
    <row r="3188" spans="1:6" x14ac:dyDescent="0.3">
      <c r="A3188" s="22" t="s">
        <v>84</v>
      </c>
      <c r="B3188">
        <v>1</v>
      </c>
      <c r="C3188" t="s">
        <v>64</v>
      </c>
      <c r="D3188">
        <v>3</v>
      </c>
      <c r="E3188" s="8">
        <v>1</v>
      </c>
    </row>
    <row r="3190" spans="1:6" ht="57.6" x14ac:dyDescent="0.3">
      <c r="A3190" s="27" t="s">
        <v>772</v>
      </c>
    </row>
    <row r="3191" spans="1:6" x14ac:dyDescent="0.3">
      <c r="A3191" s="22" t="s">
        <v>62</v>
      </c>
      <c r="B3191" t="s">
        <v>57</v>
      </c>
      <c r="C3191" t="s">
        <v>63</v>
      </c>
      <c r="D3191">
        <v>2</v>
      </c>
      <c r="E3191">
        <v>3</v>
      </c>
    </row>
    <row r="3192" spans="1:6" x14ac:dyDescent="0.3">
      <c r="A3192" s="22">
        <v>2</v>
      </c>
      <c r="B3192" t="s">
        <v>64</v>
      </c>
      <c r="C3192">
        <v>2</v>
      </c>
      <c r="D3192" s="8">
        <v>0.5</v>
      </c>
      <c r="E3192" s="8">
        <v>0.5</v>
      </c>
    </row>
    <row r="3194" spans="1:6" ht="72" x14ac:dyDescent="0.3">
      <c r="A3194" s="22" t="s">
        <v>773</v>
      </c>
    </row>
    <row r="3195" spans="1:6" x14ac:dyDescent="0.3">
      <c r="A3195" s="22" t="s">
        <v>66</v>
      </c>
      <c r="B3195" t="s">
        <v>62</v>
      </c>
      <c r="C3195" t="s">
        <v>57</v>
      </c>
      <c r="D3195" t="s">
        <v>63</v>
      </c>
      <c r="E3195">
        <v>2</v>
      </c>
      <c r="F3195">
        <v>3</v>
      </c>
    </row>
    <row r="3196" spans="1:6" x14ac:dyDescent="0.3">
      <c r="A3196" s="22" t="s">
        <v>67</v>
      </c>
      <c r="B3196">
        <v>2</v>
      </c>
      <c r="C3196" t="s">
        <v>64</v>
      </c>
      <c r="D3196">
        <v>2</v>
      </c>
      <c r="E3196" s="8">
        <v>0.5</v>
      </c>
      <c r="F3196" s="8">
        <v>0.5</v>
      </c>
    </row>
    <row r="3198" spans="1:6" x14ac:dyDescent="0.3">
      <c r="A3198"/>
    </row>
    <row r="3199" spans="1:6" x14ac:dyDescent="0.3">
      <c r="A3199"/>
    </row>
    <row r="3200" spans="1:6" x14ac:dyDescent="0.3">
      <c r="A3200"/>
    </row>
    <row r="3201" spans="1:6" x14ac:dyDescent="0.3">
      <c r="A3201"/>
    </row>
    <row r="3202" spans="1:6" ht="72" x14ac:dyDescent="0.3">
      <c r="A3202" s="22" t="s">
        <v>774</v>
      </c>
    </row>
    <row r="3203" spans="1:6" x14ac:dyDescent="0.3">
      <c r="A3203" s="22" t="s">
        <v>66</v>
      </c>
      <c r="B3203" t="s">
        <v>62</v>
      </c>
      <c r="C3203" t="s">
        <v>57</v>
      </c>
      <c r="D3203" t="s">
        <v>63</v>
      </c>
      <c r="E3203">
        <v>2</v>
      </c>
      <c r="F3203">
        <v>3</v>
      </c>
    </row>
    <row r="3204" spans="1:6" x14ac:dyDescent="0.3">
      <c r="A3204" s="22" t="s">
        <v>67</v>
      </c>
      <c r="B3204">
        <v>2</v>
      </c>
      <c r="C3204" t="s">
        <v>64</v>
      </c>
      <c r="D3204">
        <v>2</v>
      </c>
      <c r="E3204" s="8">
        <v>0.5</v>
      </c>
      <c r="F3204" s="8">
        <v>0.5</v>
      </c>
    </row>
    <row r="3206" spans="1:6" ht="72" x14ac:dyDescent="0.3">
      <c r="A3206" s="22" t="s">
        <v>775</v>
      </c>
    </row>
    <row r="3207" spans="1:6" x14ac:dyDescent="0.3">
      <c r="A3207" s="22" t="s">
        <v>66</v>
      </c>
      <c r="B3207" t="s">
        <v>62</v>
      </c>
      <c r="C3207" t="s">
        <v>57</v>
      </c>
      <c r="D3207" t="s">
        <v>63</v>
      </c>
      <c r="E3207">
        <v>2</v>
      </c>
      <c r="F3207">
        <v>3</v>
      </c>
    </row>
    <row r="3208" spans="1:6" x14ac:dyDescent="0.3">
      <c r="A3208" s="22" t="s">
        <v>67</v>
      </c>
      <c r="B3208">
        <v>2</v>
      </c>
      <c r="C3208" t="s">
        <v>64</v>
      </c>
      <c r="D3208">
        <v>2</v>
      </c>
      <c r="E3208" s="8">
        <v>0.5</v>
      </c>
      <c r="F3208" s="8">
        <v>0.5</v>
      </c>
    </row>
    <row r="3210" spans="1:6" ht="72" x14ac:dyDescent="0.3">
      <c r="A3210" s="22" t="s">
        <v>776</v>
      </c>
    </row>
    <row r="3211" spans="1:6" x14ac:dyDescent="0.3">
      <c r="A3211" s="22" t="s">
        <v>66</v>
      </c>
      <c r="B3211" t="s">
        <v>62</v>
      </c>
      <c r="C3211" t="s">
        <v>57</v>
      </c>
      <c r="D3211" t="s">
        <v>63</v>
      </c>
      <c r="E3211">
        <v>2</v>
      </c>
      <c r="F3211">
        <v>3</v>
      </c>
    </row>
    <row r="3212" spans="1:6" x14ac:dyDescent="0.3">
      <c r="A3212" s="22" t="s">
        <v>67</v>
      </c>
      <c r="B3212">
        <v>2</v>
      </c>
      <c r="C3212" t="s">
        <v>64</v>
      </c>
      <c r="D3212">
        <v>2</v>
      </c>
      <c r="E3212" s="8">
        <v>0.5</v>
      </c>
      <c r="F3212" s="8">
        <v>0.5</v>
      </c>
    </row>
    <row r="3214" spans="1:6" ht="72" x14ac:dyDescent="0.3">
      <c r="A3214" s="22" t="s">
        <v>777</v>
      </c>
    </row>
    <row r="3215" spans="1:6" x14ac:dyDescent="0.3">
      <c r="A3215" s="22" t="s">
        <v>66</v>
      </c>
      <c r="B3215" t="s">
        <v>62</v>
      </c>
      <c r="C3215" t="s">
        <v>57</v>
      </c>
      <c r="D3215" t="s">
        <v>63</v>
      </c>
      <c r="E3215">
        <v>2</v>
      </c>
      <c r="F3215">
        <v>3</v>
      </c>
    </row>
    <row r="3216" spans="1:6" x14ac:dyDescent="0.3">
      <c r="A3216" s="22" t="s">
        <v>68</v>
      </c>
      <c r="B3216">
        <v>2</v>
      </c>
      <c r="C3216" t="s">
        <v>64</v>
      </c>
      <c r="D3216">
        <v>2</v>
      </c>
      <c r="E3216" s="8">
        <v>0.5</v>
      </c>
      <c r="F3216" s="8">
        <v>0.5</v>
      </c>
    </row>
    <row r="3218" spans="1:6" ht="72" x14ac:dyDescent="0.3">
      <c r="A3218" s="22" t="s">
        <v>778</v>
      </c>
    </row>
    <row r="3219" spans="1:6" x14ac:dyDescent="0.3">
      <c r="A3219" s="22" t="s">
        <v>66</v>
      </c>
      <c r="B3219" t="s">
        <v>62</v>
      </c>
      <c r="C3219" t="s">
        <v>57</v>
      </c>
      <c r="D3219" t="s">
        <v>63</v>
      </c>
      <c r="E3219">
        <v>2</v>
      </c>
      <c r="F3219">
        <v>3</v>
      </c>
    </row>
    <row r="3220" spans="1:6" x14ac:dyDescent="0.3">
      <c r="A3220" s="22" t="s">
        <v>67</v>
      </c>
      <c r="B3220">
        <v>2</v>
      </c>
      <c r="C3220" t="s">
        <v>64</v>
      </c>
      <c r="D3220">
        <v>2</v>
      </c>
      <c r="E3220" s="8">
        <v>0.5</v>
      </c>
      <c r="F3220" s="8">
        <v>0.5</v>
      </c>
    </row>
    <row r="3222" spans="1:6" ht="72" x14ac:dyDescent="0.3">
      <c r="A3222" s="22" t="s">
        <v>779</v>
      </c>
    </row>
    <row r="3223" spans="1:6" x14ac:dyDescent="0.3">
      <c r="A3223" s="22" t="s">
        <v>66</v>
      </c>
      <c r="B3223" t="s">
        <v>62</v>
      </c>
      <c r="C3223" t="s">
        <v>57</v>
      </c>
      <c r="D3223" t="s">
        <v>63</v>
      </c>
      <c r="E3223">
        <v>2</v>
      </c>
      <c r="F3223">
        <v>3</v>
      </c>
    </row>
    <row r="3224" spans="1:6" x14ac:dyDescent="0.3">
      <c r="A3224" s="22" t="s">
        <v>67</v>
      </c>
      <c r="B3224">
        <v>2</v>
      </c>
      <c r="C3224" t="s">
        <v>64</v>
      </c>
      <c r="D3224">
        <v>2</v>
      </c>
      <c r="E3224" s="8">
        <v>0.5</v>
      </c>
      <c r="F3224" s="8">
        <v>0.5</v>
      </c>
    </row>
    <row r="3226" spans="1:6" ht="72" x14ac:dyDescent="0.3">
      <c r="A3226" s="22" t="s">
        <v>780</v>
      </c>
    </row>
    <row r="3227" spans="1:6" x14ac:dyDescent="0.3">
      <c r="A3227" s="22" t="s">
        <v>66</v>
      </c>
      <c r="B3227" t="s">
        <v>62</v>
      </c>
      <c r="C3227" t="s">
        <v>57</v>
      </c>
      <c r="D3227" t="s">
        <v>63</v>
      </c>
      <c r="E3227">
        <v>2</v>
      </c>
      <c r="F3227">
        <v>3</v>
      </c>
    </row>
    <row r="3228" spans="1:6" x14ac:dyDescent="0.3">
      <c r="A3228" s="22" t="s">
        <v>67</v>
      </c>
      <c r="B3228">
        <v>2</v>
      </c>
      <c r="C3228" t="s">
        <v>64</v>
      </c>
      <c r="D3228">
        <v>2</v>
      </c>
      <c r="E3228" s="8">
        <v>0.5</v>
      </c>
      <c r="F3228" s="8">
        <v>0.5</v>
      </c>
    </row>
    <row r="3230" spans="1:6" ht="86.4" x14ac:dyDescent="0.3">
      <c r="A3230" s="22" t="s">
        <v>781</v>
      </c>
    </row>
    <row r="3231" spans="1:6" x14ac:dyDescent="0.3">
      <c r="A3231" s="22" t="s">
        <v>66</v>
      </c>
      <c r="B3231" t="s">
        <v>62</v>
      </c>
      <c r="C3231" t="s">
        <v>57</v>
      </c>
      <c r="D3231" t="s">
        <v>63</v>
      </c>
      <c r="E3231">
        <v>2</v>
      </c>
      <c r="F3231">
        <v>3</v>
      </c>
    </row>
    <row r="3232" spans="1:6" x14ac:dyDescent="0.3">
      <c r="A3232" s="22" t="s">
        <v>67</v>
      </c>
      <c r="B3232">
        <v>2</v>
      </c>
      <c r="C3232" t="s">
        <v>64</v>
      </c>
      <c r="D3232">
        <v>2</v>
      </c>
      <c r="E3232" s="8">
        <v>0.5</v>
      </c>
      <c r="F3232" s="8">
        <v>0.5</v>
      </c>
    </row>
    <row r="3234" spans="1:6" ht="86.4" x14ac:dyDescent="0.3">
      <c r="A3234" s="22" t="s">
        <v>782</v>
      </c>
    </row>
    <row r="3235" spans="1:6" x14ac:dyDescent="0.3">
      <c r="A3235" s="22" t="s">
        <v>66</v>
      </c>
      <c r="B3235" t="s">
        <v>62</v>
      </c>
      <c r="C3235" t="s">
        <v>57</v>
      </c>
      <c r="D3235" t="s">
        <v>63</v>
      </c>
      <c r="E3235">
        <v>2</v>
      </c>
      <c r="F3235">
        <v>3</v>
      </c>
    </row>
    <row r="3236" spans="1:6" x14ac:dyDescent="0.3">
      <c r="A3236" s="22" t="s">
        <v>67</v>
      </c>
      <c r="B3236">
        <v>2</v>
      </c>
      <c r="C3236" t="s">
        <v>64</v>
      </c>
      <c r="D3236">
        <v>2</v>
      </c>
      <c r="E3236" s="8">
        <v>0.5</v>
      </c>
      <c r="F3236" s="8">
        <v>0.5</v>
      </c>
    </row>
    <row r="3238" spans="1:6" ht="72" x14ac:dyDescent="0.3">
      <c r="A3238" s="22" t="s">
        <v>783</v>
      </c>
    </row>
    <row r="3239" spans="1:6" x14ac:dyDescent="0.3">
      <c r="A3239" s="22" t="s">
        <v>66</v>
      </c>
      <c r="B3239" t="s">
        <v>62</v>
      </c>
      <c r="C3239" t="s">
        <v>57</v>
      </c>
      <c r="D3239" t="s">
        <v>63</v>
      </c>
      <c r="E3239">
        <v>2</v>
      </c>
      <c r="F3239">
        <v>3</v>
      </c>
    </row>
    <row r="3240" spans="1:6" x14ac:dyDescent="0.3">
      <c r="A3240" s="22" t="s">
        <v>67</v>
      </c>
      <c r="B3240">
        <v>2</v>
      </c>
      <c r="C3240" t="s">
        <v>64</v>
      </c>
      <c r="D3240">
        <v>2</v>
      </c>
      <c r="E3240" s="8">
        <v>0.5</v>
      </c>
      <c r="F3240" s="8">
        <v>0.5</v>
      </c>
    </row>
    <row r="3242" spans="1:6" ht="72" x14ac:dyDescent="0.3">
      <c r="A3242" s="22" t="s">
        <v>784</v>
      </c>
    </row>
    <row r="3243" spans="1:6" x14ac:dyDescent="0.3">
      <c r="A3243" s="22" t="s">
        <v>66</v>
      </c>
      <c r="B3243" t="s">
        <v>62</v>
      </c>
      <c r="C3243" t="s">
        <v>57</v>
      </c>
      <c r="D3243" t="s">
        <v>63</v>
      </c>
      <c r="E3243">
        <v>2</v>
      </c>
      <c r="F3243">
        <v>3</v>
      </c>
    </row>
    <row r="3244" spans="1:6" x14ac:dyDescent="0.3">
      <c r="A3244" s="22" t="s">
        <v>67</v>
      </c>
      <c r="B3244">
        <v>2</v>
      </c>
      <c r="C3244" t="s">
        <v>64</v>
      </c>
      <c r="D3244">
        <v>2</v>
      </c>
      <c r="E3244" s="8">
        <v>0.5</v>
      </c>
      <c r="F3244" s="8">
        <v>0.5</v>
      </c>
    </row>
    <row r="3246" spans="1:6" ht="57.6" x14ac:dyDescent="0.3">
      <c r="A3246" s="27" t="s">
        <v>785</v>
      </c>
    </row>
    <row r="3247" spans="1:6" x14ac:dyDescent="0.3">
      <c r="A3247" s="22" t="s">
        <v>66</v>
      </c>
      <c r="B3247" t="s">
        <v>62</v>
      </c>
      <c r="C3247" t="s">
        <v>57</v>
      </c>
      <c r="D3247" t="s">
        <v>63</v>
      </c>
      <c r="E3247">
        <v>2</v>
      </c>
      <c r="F3247">
        <v>3</v>
      </c>
    </row>
    <row r="3248" spans="1:6" x14ac:dyDescent="0.3">
      <c r="A3248" s="22" t="s">
        <v>82</v>
      </c>
      <c r="B3248">
        <v>1</v>
      </c>
      <c r="C3248" t="s">
        <v>64</v>
      </c>
      <c r="D3248">
        <v>2</v>
      </c>
      <c r="E3248" s="8">
        <v>1</v>
      </c>
    </row>
    <row r="3249" spans="1:7" x14ac:dyDescent="0.3">
      <c r="A3249" s="22" t="s">
        <v>84</v>
      </c>
      <c r="B3249">
        <v>1</v>
      </c>
      <c r="C3249" s="32" t="s">
        <v>64</v>
      </c>
      <c r="D3249">
        <v>2</v>
      </c>
      <c r="F3249" s="8">
        <v>1</v>
      </c>
    </row>
    <row r="3251" spans="1:7" ht="57.6" x14ac:dyDescent="0.3">
      <c r="A3251" s="27" t="s">
        <v>786</v>
      </c>
    </row>
    <row r="3252" spans="1:7" x14ac:dyDescent="0.3">
      <c r="A3252" s="22" t="s">
        <v>62</v>
      </c>
      <c r="B3252" t="s">
        <v>57</v>
      </c>
      <c r="C3252" t="s">
        <v>63</v>
      </c>
      <c r="D3252">
        <v>1</v>
      </c>
      <c r="E3252">
        <v>2</v>
      </c>
      <c r="F3252">
        <v>3</v>
      </c>
    </row>
    <row r="3253" spans="1:7" x14ac:dyDescent="0.3">
      <c r="A3253" s="22">
        <v>10</v>
      </c>
      <c r="B3253" t="s">
        <v>64</v>
      </c>
      <c r="C3253">
        <v>10</v>
      </c>
      <c r="D3253" s="8">
        <v>0.4</v>
      </c>
      <c r="E3253" s="8">
        <v>0.4</v>
      </c>
      <c r="F3253" s="8">
        <v>0.2</v>
      </c>
    </row>
    <row r="3255" spans="1:7" ht="72" x14ac:dyDescent="0.3">
      <c r="A3255" s="22" t="s">
        <v>787</v>
      </c>
    </row>
    <row r="3256" spans="1:7" x14ac:dyDescent="0.3">
      <c r="A3256" s="22" t="s">
        <v>66</v>
      </c>
      <c r="B3256" t="s">
        <v>62</v>
      </c>
      <c r="C3256" t="s">
        <v>57</v>
      </c>
      <c r="D3256" t="s">
        <v>63</v>
      </c>
      <c r="E3256">
        <v>1</v>
      </c>
      <c r="F3256">
        <v>2</v>
      </c>
      <c r="G3256">
        <v>3</v>
      </c>
    </row>
    <row r="3257" spans="1:7" x14ac:dyDescent="0.3">
      <c r="A3257" s="22" t="s">
        <v>67</v>
      </c>
      <c r="B3257">
        <v>10</v>
      </c>
      <c r="C3257" t="s">
        <v>64</v>
      </c>
      <c r="D3257">
        <v>10</v>
      </c>
      <c r="E3257" s="8">
        <v>0.4</v>
      </c>
      <c r="F3257" s="8">
        <v>0.4</v>
      </c>
      <c r="G3257" s="8">
        <v>0.2</v>
      </c>
    </row>
    <row r="3259" spans="1:7" x14ac:dyDescent="0.3">
      <c r="A3259"/>
    </row>
    <row r="3260" spans="1:7" x14ac:dyDescent="0.3">
      <c r="A3260"/>
    </row>
    <row r="3261" spans="1:7" x14ac:dyDescent="0.3">
      <c r="A3261"/>
    </row>
    <row r="3263" spans="1:7" ht="72" x14ac:dyDescent="0.3">
      <c r="A3263" s="22" t="s">
        <v>788</v>
      </c>
    </row>
    <row r="3264" spans="1:7" x14ac:dyDescent="0.3">
      <c r="A3264" s="22" t="s">
        <v>66</v>
      </c>
      <c r="B3264" t="s">
        <v>62</v>
      </c>
      <c r="C3264" t="s">
        <v>57</v>
      </c>
      <c r="D3264" t="s">
        <v>63</v>
      </c>
      <c r="E3264">
        <v>1</v>
      </c>
      <c r="F3264">
        <v>2</v>
      </c>
      <c r="G3264">
        <v>3</v>
      </c>
    </row>
    <row r="3265" spans="1:7" x14ac:dyDescent="0.3">
      <c r="A3265" s="22" t="s">
        <v>67</v>
      </c>
      <c r="B3265">
        <v>8</v>
      </c>
      <c r="C3265" t="s">
        <v>64</v>
      </c>
      <c r="D3265">
        <v>10</v>
      </c>
      <c r="E3265" s="8">
        <v>0.375</v>
      </c>
      <c r="F3265" s="8">
        <v>0.5</v>
      </c>
      <c r="G3265" s="8">
        <v>0.125</v>
      </c>
    </row>
    <row r="3266" spans="1:7" x14ac:dyDescent="0.3">
      <c r="A3266" s="22" t="s">
        <v>68</v>
      </c>
      <c r="B3266">
        <v>2</v>
      </c>
      <c r="C3266" t="s">
        <v>64</v>
      </c>
      <c r="D3266">
        <v>10</v>
      </c>
      <c r="E3266" s="8">
        <v>0.5</v>
      </c>
      <c r="G3266" s="8">
        <v>0.5</v>
      </c>
    </row>
    <row r="3268" spans="1:7" ht="72" x14ac:dyDescent="0.3">
      <c r="A3268" s="22" t="s">
        <v>789</v>
      </c>
    </row>
    <row r="3269" spans="1:7" x14ac:dyDescent="0.3">
      <c r="A3269" s="22" t="s">
        <v>66</v>
      </c>
      <c r="B3269" t="s">
        <v>62</v>
      </c>
      <c r="C3269" t="s">
        <v>57</v>
      </c>
      <c r="D3269" t="s">
        <v>63</v>
      </c>
      <c r="E3269">
        <v>1</v>
      </c>
      <c r="F3269">
        <v>2</v>
      </c>
      <c r="G3269">
        <v>3</v>
      </c>
    </row>
    <row r="3270" spans="1:7" x14ac:dyDescent="0.3">
      <c r="A3270" s="22" t="s">
        <v>67</v>
      </c>
      <c r="B3270">
        <v>10</v>
      </c>
      <c r="C3270" t="s">
        <v>64</v>
      </c>
      <c r="D3270">
        <v>10</v>
      </c>
      <c r="E3270" s="8">
        <v>0.4</v>
      </c>
      <c r="F3270" s="8">
        <v>0.4</v>
      </c>
      <c r="G3270" s="8">
        <v>0.2</v>
      </c>
    </row>
    <row r="3272" spans="1:7" ht="72" x14ac:dyDescent="0.3">
      <c r="A3272" s="22" t="s">
        <v>790</v>
      </c>
    </row>
    <row r="3273" spans="1:7" x14ac:dyDescent="0.3">
      <c r="A3273" s="22" t="s">
        <v>66</v>
      </c>
      <c r="B3273" t="s">
        <v>62</v>
      </c>
      <c r="C3273" t="s">
        <v>57</v>
      </c>
      <c r="D3273" t="s">
        <v>63</v>
      </c>
      <c r="E3273">
        <v>1</v>
      </c>
      <c r="F3273">
        <v>2</v>
      </c>
      <c r="G3273">
        <v>3</v>
      </c>
    </row>
    <row r="3274" spans="1:7" x14ac:dyDescent="0.3">
      <c r="A3274" s="22" t="s">
        <v>67</v>
      </c>
      <c r="B3274">
        <v>10</v>
      </c>
      <c r="C3274" t="s">
        <v>64</v>
      </c>
      <c r="D3274">
        <v>10</v>
      </c>
      <c r="E3274" s="8">
        <v>0.4</v>
      </c>
      <c r="F3274" s="8">
        <v>0.4</v>
      </c>
      <c r="G3274" s="8">
        <v>0.2</v>
      </c>
    </row>
    <row r="3276" spans="1:7" ht="72" x14ac:dyDescent="0.3">
      <c r="A3276" s="22" t="s">
        <v>791</v>
      </c>
    </row>
    <row r="3277" spans="1:7" x14ac:dyDescent="0.3">
      <c r="A3277" s="22" t="s">
        <v>66</v>
      </c>
      <c r="B3277" t="s">
        <v>62</v>
      </c>
      <c r="C3277" t="s">
        <v>57</v>
      </c>
      <c r="D3277" t="s">
        <v>63</v>
      </c>
      <c r="E3277">
        <v>1</v>
      </c>
      <c r="F3277">
        <v>2</v>
      </c>
      <c r="G3277">
        <v>3</v>
      </c>
    </row>
    <row r="3278" spans="1:7" x14ac:dyDescent="0.3">
      <c r="A3278" s="22" t="s">
        <v>68</v>
      </c>
      <c r="B3278">
        <v>10</v>
      </c>
      <c r="C3278" t="s">
        <v>64</v>
      </c>
      <c r="D3278">
        <v>10</v>
      </c>
      <c r="E3278" s="8">
        <v>0.4</v>
      </c>
      <c r="F3278" s="8">
        <v>0.4</v>
      </c>
      <c r="G3278" s="8">
        <v>0.2</v>
      </c>
    </row>
    <row r="3280" spans="1:7" ht="72" x14ac:dyDescent="0.3">
      <c r="A3280" s="22" t="s">
        <v>792</v>
      </c>
    </row>
    <row r="3281" spans="1:7" x14ac:dyDescent="0.3">
      <c r="A3281" s="22" t="s">
        <v>66</v>
      </c>
      <c r="B3281" t="s">
        <v>62</v>
      </c>
      <c r="C3281" t="s">
        <v>57</v>
      </c>
      <c r="D3281" t="s">
        <v>63</v>
      </c>
      <c r="E3281">
        <v>1</v>
      </c>
      <c r="F3281">
        <v>2</v>
      </c>
      <c r="G3281">
        <v>3</v>
      </c>
    </row>
    <row r="3282" spans="1:7" x14ac:dyDescent="0.3">
      <c r="A3282" s="22" t="s">
        <v>67</v>
      </c>
      <c r="B3282">
        <v>9</v>
      </c>
      <c r="C3282" t="s">
        <v>64</v>
      </c>
      <c r="D3282">
        <v>10</v>
      </c>
      <c r="E3282" s="8">
        <v>0.33329999999999999</v>
      </c>
      <c r="F3282" s="8">
        <v>0.44440000000000002</v>
      </c>
      <c r="G3282" s="8">
        <v>0.22220000000000001</v>
      </c>
    </row>
    <row r="3283" spans="1:7" x14ac:dyDescent="0.3">
      <c r="A3283" s="22" t="s">
        <v>68</v>
      </c>
      <c r="B3283">
        <v>1</v>
      </c>
      <c r="C3283" t="s">
        <v>64</v>
      </c>
      <c r="D3283">
        <v>10</v>
      </c>
      <c r="E3283" s="8">
        <v>1</v>
      </c>
    </row>
    <row r="3285" spans="1:7" ht="72" x14ac:dyDescent="0.3">
      <c r="A3285" s="22" t="s">
        <v>793</v>
      </c>
    </row>
    <row r="3286" spans="1:7" x14ac:dyDescent="0.3">
      <c r="A3286" s="22" t="s">
        <v>66</v>
      </c>
      <c r="B3286" t="s">
        <v>62</v>
      </c>
      <c r="C3286" t="s">
        <v>57</v>
      </c>
      <c r="D3286" t="s">
        <v>63</v>
      </c>
      <c r="E3286">
        <v>1</v>
      </c>
      <c r="F3286">
        <v>2</v>
      </c>
      <c r="G3286">
        <v>3</v>
      </c>
    </row>
    <row r="3287" spans="1:7" x14ac:dyDescent="0.3">
      <c r="A3287" s="22" t="s">
        <v>67</v>
      </c>
      <c r="B3287">
        <v>6</v>
      </c>
      <c r="C3287" t="s">
        <v>64</v>
      </c>
      <c r="D3287">
        <v>10</v>
      </c>
      <c r="E3287" s="8">
        <v>0.33329999999999999</v>
      </c>
      <c r="F3287" s="8">
        <v>0.33329999999999999</v>
      </c>
      <c r="G3287" s="8">
        <v>0.33329999999999999</v>
      </c>
    </row>
    <row r="3288" spans="1:7" x14ac:dyDescent="0.3">
      <c r="A3288" s="22" t="s">
        <v>68</v>
      </c>
      <c r="B3288">
        <v>4</v>
      </c>
      <c r="C3288" t="s">
        <v>64</v>
      </c>
      <c r="D3288">
        <v>10</v>
      </c>
      <c r="E3288" s="8">
        <v>0.5</v>
      </c>
      <c r="F3288" s="8">
        <v>0.5</v>
      </c>
    </row>
    <row r="3290" spans="1:7" ht="72" x14ac:dyDescent="0.3">
      <c r="A3290" s="22" t="s">
        <v>794</v>
      </c>
    </row>
    <row r="3291" spans="1:7" x14ac:dyDescent="0.3">
      <c r="A3291" s="22" t="s">
        <v>66</v>
      </c>
      <c r="B3291" t="s">
        <v>62</v>
      </c>
      <c r="C3291" t="s">
        <v>57</v>
      </c>
      <c r="D3291" t="s">
        <v>63</v>
      </c>
      <c r="E3291">
        <v>1</v>
      </c>
      <c r="F3291">
        <v>2</v>
      </c>
      <c r="G3291">
        <v>3</v>
      </c>
    </row>
    <row r="3292" spans="1:7" x14ac:dyDescent="0.3">
      <c r="A3292" s="22" t="s">
        <v>67</v>
      </c>
      <c r="B3292">
        <v>6</v>
      </c>
      <c r="C3292" t="s">
        <v>64</v>
      </c>
      <c r="D3292">
        <v>10</v>
      </c>
      <c r="E3292" s="8">
        <v>0.33329999999999999</v>
      </c>
      <c r="F3292" s="8">
        <v>0.33329999999999999</v>
      </c>
      <c r="G3292" s="8">
        <v>0.33329999999999999</v>
      </c>
    </row>
    <row r="3293" spans="1:7" x14ac:dyDescent="0.3">
      <c r="A3293" s="22" t="s">
        <v>68</v>
      </c>
      <c r="B3293">
        <v>4</v>
      </c>
      <c r="C3293" t="s">
        <v>64</v>
      </c>
      <c r="D3293">
        <v>10</v>
      </c>
      <c r="E3293" s="8">
        <v>0.5</v>
      </c>
      <c r="F3293" s="8">
        <v>0.5</v>
      </c>
    </row>
    <row r="3295" spans="1:7" ht="86.4" x14ac:dyDescent="0.3">
      <c r="A3295" s="22" t="s">
        <v>795</v>
      </c>
    </row>
    <row r="3296" spans="1:7" x14ac:dyDescent="0.3">
      <c r="A3296" s="22" t="s">
        <v>66</v>
      </c>
      <c r="B3296" t="s">
        <v>62</v>
      </c>
      <c r="C3296" t="s">
        <v>57</v>
      </c>
      <c r="D3296" t="s">
        <v>63</v>
      </c>
      <c r="E3296">
        <v>1</v>
      </c>
      <c r="F3296">
        <v>2</v>
      </c>
      <c r="G3296">
        <v>3</v>
      </c>
    </row>
    <row r="3297" spans="1:7" x14ac:dyDescent="0.3">
      <c r="A3297" s="22" t="s">
        <v>67</v>
      </c>
      <c r="B3297">
        <v>10</v>
      </c>
      <c r="C3297" t="s">
        <v>64</v>
      </c>
      <c r="D3297">
        <v>10</v>
      </c>
      <c r="E3297" s="8">
        <v>0.4</v>
      </c>
      <c r="F3297" s="8">
        <v>0.4</v>
      </c>
      <c r="G3297" s="8">
        <v>0.2</v>
      </c>
    </row>
    <row r="3299" spans="1:7" ht="86.4" x14ac:dyDescent="0.3">
      <c r="A3299" s="22" t="s">
        <v>796</v>
      </c>
    </row>
    <row r="3300" spans="1:7" x14ac:dyDescent="0.3">
      <c r="A3300" s="22" t="s">
        <v>66</v>
      </c>
      <c r="B3300" t="s">
        <v>62</v>
      </c>
      <c r="C3300" t="s">
        <v>57</v>
      </c>
      <c r="D3300" t="s">
        <v>63</v>
      </c>
      <c r="E3300">
        <v>1</v>
      </c>
      <c r="F3300">
        <v>2</v>
      </c>
      <c r="G3300">
        <v>3</v>
      </c>
    </row>
    <row r="3301" spans="1:7" x14ac:dyDescent="0.3">
      <c r="A3301" s="22" t="s">
        <v>67</v>
      </c>
      <c r="B3301">
        <v>10</v>
      </c>
      <c r="C3301" t="s">
        <v>64</v>
      </c>
      <c r="D3301">
        <v>10</v>
      </c>
      <c r="E3301" s="8">
        <v>0.4</v>
      </c>
      <c r="F3301" s="8">
        <v>0.4</v>
      </c>
      <c r="G3301" s="8">
        <v>0.2</v>
      </c>
    </row>
    <row r="3303" spans="1:7" ht="72" x14ac:dyDescent="0.3">
      <c r="A3303" s="22" t="s">
        <v>797</v>
      </c>
      <c r="C3303" s="32"/>
    </row>
    <row r="3304" spans="1:7" x14ac:dyDescent="0.3">
      <c r="A3304" s="22" t="s">
        <v>66</v>
      </c>
      <c r="B3304" t="s">
        <v>62</v>
      </c>
      <c r="C3304" s="32" t="s">
        <v>57</v>
      </c>
      <c r="D3304" t="s">
        <v>63</v>
      </c>
      <c r="E3304">
        <v>1</v>
      </c>
      <c r="F3304">
        <v>2</v>
      </c>
      <c r="G3304">
        <v>3</v>
      </c>
    </row>
    <row r="3305" spans="1:7" x14ac:dyDescent="0.3">
      <c r="A3305" s="22" t="s">
        <v>67</v>
      </c>
      <c r="B3305">
        <v>6</v>
      </c>
      <c r="C3305" s="32" t="s">
        <v>64</v>
      </c>
      <c r="D3305">
        <v>10</v>
      </c>
      <c r="E3305" s="8">
        <v>0.5</v>
      </c>
      <c r="F3305" s="8">
        <v>0.33329999999999999</v>
      </c>
      <c r="G3305" s="8">
        <v>0.16669999999999999</v>
      </c>
    </row>
    <row r="3306" spans="1:7" x14ac:dyDescent="0.3">
      <c r="A3306" s="22" t="s">
        <v>68</v>
      </c>
      <c r="B3306">
        <v>4</v>
      </c>
      <c r="C3306" s="32" t="s">
        <v>64</v>
      </c>
      <c r="D3306">
        <v>10</v>
      </c>
      <c r="E3306" s="8">
        <v>0.25</v>
      </c>
      <c r="F3306" s="8">
        <v>0.5</v>
      </c>
      <c r="G3306" s="8">
        <v>0.25</v>
      </c>
    </row>
    <row r="3307" spans="1:7" x14ac:dyDescent="0.3">
      <c r="C3307" s="32"/>
    </row>
    <row r="3308" spans="1:7" ht="72" x14ac:dyDescent="0.3">
      <c r="A3308" s="22" t="s">
        <v>798</v>
      </c>
      <c r="C3308" s="32"/>
    </row>
    <row r="3309" spans="1:7" x14ac:dyDescent="0.3">
      <c r="A3309" s="22" t="s">
        <v>66</v>
      </c>
      <c r="B3309" t="s">
        <v>62</v>
      </c>
      <c r="C3309" t="s">
        <v>57</v>
      </c>
      <c r="D3309" t="s">
        <v>63</v>
      </c>
      <c r="E3309">
        <v>1</v>
      </c>
      <c r="F3309">
        <v>2</v>
      </c>
      <c r="G3309">
        <v>3</v>
      </c>
    </row>
    <row r="3310" spans="1:7" x14ac:dyDescent="0.3">
      <c r="A3310" s="22" t="s">
        <v>67</v>
      </c>
      <c r="B3310">
        <v>9</v>
      </c>
      <c r="C3310" t="s">
        <v>64</v>
      </c>
      <c r="D3310">
        <v>10</v>
      </c>
      <c r="E3310" s="8">
        <v>0.33329999999999999</v>
      </c>
      <c r="F3310" s="8">
        <v>0.44440000000000002</v>
      </c>
      <c r="G3310" s="8">
        <v>0.22220000000000001</v>
      </c>
    </row>
    <row r="3311" spans="1:7" x14ac:dyDescent="0.3">
      <c r="A3311" s="22" t="s">
        <v>68</v>
      </c>
      <c r="B3311">
        <v>1</v>
      </c>
      <c r="C3311" t="s">
        <v>64</v>
      </c>
      <c r="D3311">
        <v>10</v>
      </c>
      <c r="E3311" s="8">
        <v>1</v>
      </c>
    </row>
    <row r="3313" spans="1:25" ht="57.6" x14ac:dyDescent="0.3">
      <c r="A3313" s="27" t="s">
        <v>799</v>
      </c>
    </row>
    <row r="3314" spans="1:25" x14ac:dyDescent="0.3">
      <c r="A3314" s="22" t="s">
        <v>66</v>
      </c>
      <c r="B3314" t="s">
        <v>62</v>
      </c>
      <c r="C3314" t="s">
        <v>57</v>
      </c>
      <c r="D3314" t="s">
        <v>63</v>
      </c>
      <c r="E3314">
        <v>1</v>
      </c>
      <c r="F3314">
        <v>2</v>
      </c>
      <c r="G3314">
        <v>3</v>
      </c>
    </row>
    <row r="3315" spans="1:25" x14ac:dyDescent="0.3">
      <c r="A3315" s="22" t="s">
        <v>81</v>
      </c>
      <c r="B3315">
        <v>1</v>
      </c>
      <c r="C3315" t="s">
        <v>64</v>
      </c>
      <c r="D3315">
        <v>10</v>
      </c>
      <c r="E3315" s="8">
        <v>1</v>
      </c>
    </row>
    <row r="3316" spans="1:25" x14ac:dyDescent="0.3">
      <c r="A3316" s="22" t="s">
        <v>82</v>
      </c>
      <c r="B3316">
        <v>3</v>
      </c>
      <c r="C3316" t="s">
        <v>64</v>
      </c>
      <c r="D3316">
        <v>10</v>
      </c>
      <c r="E3316" s="8">
        <v>0.33329999999999999</v>
      </c>
      <c r="F3316" s="8">
        <v>0.66669999999999996</v>
      </c>
    </row>
    <row r="3317" spans="1:25" x14ac:dyDescent="0.3">
      <c r="A3317" s="22" t="s">
        <v>83</v>
      </c>
      <c r="B3317">
        <v>5</v>
      </c>
      <c r="C3317" t="s">
        <v>64</v>
      </c>
      <c r="D3317">
        <v>10</v>
      </c>
      <c r="E3317" s="8">
        <v>0.4</v>
      </c>
      <c r="F3317" s="8">
        <v>0.2</v>
      </c>
      <c r="G3317" s="8">
        <v>0.4</v>
      </c>
    </row>
    <row r="3318" spans="1:25" x14ac:dyDescent="0.3">
      <c r="A3318" s="22" t="s">
        <v>84</v>
      </c>
      <c r="B3318">
        <v>1</v>
      </c>
      <c r="C3318" t="s">
        <v>64</v>
      </c>
      <c r="D3318">
        <v>10</v>
      </c>
      <c r="F3318" s="8">
        <v>1</v>
      </c>
    </row>
    <row r="3320" spans="1:25" ht="43.2" x14ac:dyDescent="0.3">
      <c r="A3320" s="22" t="s">
        <v>800</v>
      </c>
    </row>
    <row r="3321" spans="1:25" x14ac:dyDescent="0.3">
      <c r="A3321" s="22" t="s">
        <v>62</v>
      </c>
      <c r="B3321" t="s">
        <v>57</v>
      </c>
      <c r="C3321" t="s">
        <v>63</v>
      </c>
      <c r="D3321" t="s">
        <v>226</v>
      </c>
      <c r="E3321" t="s">
        <v>227</v>
      </c>
      <c r="F3321" t="s">
        <v>228</v>
      </c>
      <c r="G3321" t="s">
        <v>229</v>
      </c>
      <c r="H3321" t="s">
        <v>154</v>
      </c>
      <c r="I3321" t="s">
        <v>230</v>
      </c>
      <c r="J3321" t="s">
        <v>231</v>
      </c>
      <c r="K3321" t="s">
        <v>232</v>
      </c>
      <c r="L3321" t="s">
        <v>233</v>
      </c>
      <c r="M3321" t="s">
        <v>234</v>
      </c>
      <c r="N3321" t="s">
        <v>235</v>
      </c>
      <c r="O3321" t="s">
        <v>236</v>
      </c>
      <c r="P3321" t="s">
        <v>237</v>
      </c>
      <c r="Q3321" t="s">
        <v>136</v>
      </c>
      <c r="R3321" t="s">
        <v>238</v>
      </c>
      <c r="S3321" t="s">
        <v>240</v>
      </c>
      <c r="T3321" t="s">
        <v>241</v>
      </c>
      <c r="U3321" t="s">
        <v>242</v>
      </c>
      <c r="V3321" t="s">
        <v>243</v>
      </c>
      <c r="W3321" t="s">
        <v>244</v>
      </c>
      <c r="X3321" t="s">
        <v>245</v>
      </c>
    </row>
    <row r="3322" spans="1:25" x14ac:dyDescent="0.3">
      <c r="A3322" s="22">
        <v>130</v>
      </c>
      <c r="B3322" t="s">
        <v>64</v>
      </c>
      <c r="C3322">
        <v>130</v>
      </c>
      <c r="D3322" s="8">
        <v>3.0800000000000001E-2</v>
      </c>
      <c r="E3322" s="8">
        <v>7.7000000000000002E-3</v>
      </c>
      <c r="F3322" s="8">
        <v>9.2299999999999993E-2</v>
      </c>
      <c r="G3322" s="8">
        <v>0.3231</v>
      </c>
      <c r="H3322" s="8">
        <v>7.7000000000000002E-3</v>
      </c>
      <c r="I3322" s="8">
        <v>0.13850000000000001</v>
      </c>
      <c r="J3322" s="8">
        <v>1.54E-2</v>
      </c>
      <c r="K3322" s="8">
        <v>6.9199999999999998E-2</v>
      </c>
      <c r="L3322" s="8">
        <v>0.44619999999999999</v>
      </c>
      <c r="M3322" s="8">
        <v>0.4</v>
      </c>
      <c r="N3322" s="8">
        <v>8.4599999999999995E-2</v>
      </c>
      <c r="O3322" s="8">
        <v>0.53849999999999998</v>
      </c>
      <c r="P3322" s="8">
        <v>0.1769</v>
      </c>
      <c r="Q3322" s="8">
        <v>0.13850000000000001</v>
      </c>
      <c r="R3322" s="8">
        <v>0.1615</v>
      </c>
      <c r="S3322" s="8">
        <v>5.3800000000000001E-2</v>
      </c>
      <c r="T3322" s="8">
        <v>6.1499999999999999E-2</v>
      </c>
      <c r="U3322" s="8">
        <v>3.0800000000000001E-2</v>
      </c>
      <c r="V3322" s="8">
        <v>0.1</v>
      </c>
      <c r="W3322" s="8">
        <v>0.56920000000000004</v>
      </c>
      <c r="X3322" s="8">
        <v>4.6199999999999998E-2</v>
      </c>
    </row>
    <row r="3324" spans="1:25" ht="57.6" x14ac:dyDescent="0.3">
      <c r="A3324" s="22" t="s">
        <v>801</v>
      </c>
    </row>
    <row r="3325" spans="1:25" x14ac:dyDescent="0.3">
      <c r="A3325" s="22" t="s">
        <v>66</v>
      </c>
      <c r="B3325" t="s">
        <v>62</v>
      </c>
      <c r="C3325" t="s">
        <v>57</v>
      </c>
      <c r="D3325" t="s">
        <v>63</v>
      </c>
      <c r="E3325" t="s">
        <v>226</v>
      </c>
      <c r="F3325" t="s">
        <v>227</v>
      </c>
      <c r="G3325" t="s">
        <v>228</v>
      </c>
      <c r="H3325" t="s">
        <v>229</v>
      </c>
      <c r="I3325" t="s">
        <v>154</v>
      </c>
      <c r="J3325" t="s">
        <v>230</v>
      </c>
      <c r="K3325" t="s">
        <v>231</v>
      </c>
      <c r="L3325" t="s">
        <v>232</v>
      </c>
      <c r="M3325" t="s">
        <v>233</v>
      </c>
      <c r="N3325" t="s">
        <v>234</v>
      </c>
      <c r="O3325" t="s">
        <v>235</v>
      </c>
      <c r="P3325" t="s">
        <v>236</v>
      </c>
      <c r="Q3325" t="s">
        <v>237</v>
      </c>
      <c r="R3325" t="s">
        <v>136</v>
      </c>
      <c r="S3325" t="s">
        <v>238</v>
      </c>
      <c r="T3325" t="s">
        <v>240</v>
      </c>
      <c r="U3325" t="s">
        <v>241</v>
      </c>
      <c r="V3325" t="s">
        <v>242</v>
      </c>
      <c r="W3325" t="s">
        <v>243</v>
      </c>
      <c r="X3325" t="s">
        <v>244</v>
      </c>
      <c r="Y3325" t="s">
        <v>245</v>
      </c>
    </row>
    <row r="3326" spans="1:25" x14ac:dyDescent="0.3">
      <c r="A3326" s="22" t="s">
        <v>67</v>
      </c>
      <c r="B3326">
        <v>123</v>
      </c>
      <c r="C3326" t="s">
        <v>64</v>
      </c>
      <c r="D3326">
        <v>130</v>
      </c>
      <c r="E3326" s="8">
        <v>3.2500000000000001E-2</v>
      </c>
      <c r="F3326" s="8">
        <v>8.0999999999999996E-3</v>
      </c>
      <c r="G3326" s="8">
        <v>8.9399999999999993E-2</v>
      </c>
      <c r="H3326" s="8">
        <v>0.30080000000000001</v>
      </c>
      <c r="J3326" s="8">
        <v>0.14630000000000001</v>
      </c>
      <c r="K3326" s="8">
        <v>1.6299999999999999E-2</v>
      </c>
      <c r="L3326" s="8">
        <v>7.3200000000000001E-2</v>
      </c>
      <c r="M3326" s="8">
        <v>0.43090000000000001</v>
      </c>
      <c r="N3326" s="8">
        <v>0.40649999999999997</v>
      </c>
      <c r="O3326" s="8">
        <v>8.9399999999999993E-2</v>
      </c>
      <c r="P3326" s="8">
        <v>0.55279999999999996</v>
      </c>
      <c r="Q3326" s="8">
        <v>0.187</v>
      </c>
      <c r="R3326" s="8">
        <v>0.13819999999999999</v>
      </c>
      <c r="S3326" s="8">
        <v>0.17069999999999999</v>
      </c>
      <c r="T3326" s="8">
        <v>4.8800000000000003E-2</v>
      </c>
      <c r="U3326" s="8">
        <v>6.5000000000000002E-2</v>
      </c>
      <c r="V3326" s="8">
        <v>3.2500000000000001E-2</v>
      </c>
      <c r="W3326" s="8">
        <v>9.7600000000000006E-2</v>
      </c>
      <c r="X3326" s="8">
        <v>0.56910000000000005</v>
      </c>
      <c r="Y3326" s="8">
        <v>4.8800000000000003E-2</v>
      </c>
    </row>
    <row r="3327" spans="1:25" x14ac:dyDescent="0.3">
      <c r="A3327" s="22" t="s">
        <v>68</v>
      </c>
      <c r="B3327">
        <v>7</v>
      </c>
      <c r="C3327" t="s">
        <v>64</v>
      </c>
      <c r="D3327">
        <v>130</v>
      </c>
      <c r="G3327" s="8">
        <v>0.1429</v>
      </c>
      <c r="H3327" s="8">
        <v>0.71430000000000005</v>
      </c>
      <c r="I3327" s="8">
        <v>0.1429</v>
      </c>
      <c r="M3327" s="8">
        <v>0.71430000000000005</v>
      </c>
      <c r="N3327" s="8">
        <v>0.28570000000000001</v>
      </c>
      <c r="P3327" s="8">
        <v>0.28570000000000001</v>
      </c>
      <c r="R3327" s="8">
        <v>0.1429</v>
      </c>
      <c r="T3327" s="8">
        <v>0.1429</v>
      </c>
      <c r="W3327" s="8">
        <v>0.1429</v>
      </c>
      <c r="X3327" s="8">
        <v>0.57140000000000002</v>
      </c>
    </row>
    <row r="3329" spans="1:25" x14ac:dyDescent="0.3">
      <c r="A3329"/>
    </row>
    <row r="3330" spans="1:25" x14ac:dyDescent="0.3">
      <c r="A3330"/>
    </row>
    <row r="3331" spans="1:25" x14ac:dyDescent="0.3">
      <c r="A3331"/>
    </row>
    <row r="3332" spans="1:25" x14ac:dyDescent="0.3">
      <c r="A3332"/>
    </row>
    <row r="3333" spans="1:25" ht="57.6" x14ac:dyDescent="0.3">
      <c r="A3333" s="22" t="s">
        <v>802</v>
      </c>
    </row>
    <row r="3334" spans="1:25" x14ac:dyDescent="0.3">
      <c r="A3334" s="22" t="s">
        <v>66</v>
      </c>
      <c r="B3334" t="s">
        <v>62</v>
      </c>
      <c r="C3334" t="s">
        <v>57</v>
      </c>
      <c r="D3334" t="s">
        <v>63</v>
      </c>
      <c r="E3334" t="s">
        <v>226</v>
      </c>
      <c r="F3334" t="s">
        <v>227</v>
      </c>
      <c r="G3334" t="s">
        <v>228</v>
      </c>
      <c r="H3334" t="s">
        <v>229</v>
      </c>
      <c r="I3334" t="s">
        <v>154</v>
      </c>
      <c r="J3334" t="s">
        <v>230</v>
      </c>
      <c r="K3334" t="s">
        <v>231</v>
      </c>
      <c r="L3334" t="s">
        <v>232</v>
      </c>
      <c r="M3334" t="s">
        <v>233</v>
      </c>
      <c r="N3334" t="s">
        <v>234</v>
      </c>
      <c r="O3334" t="s">
        <v>235</v>
      </c>
      <c r="P3334" t="s">
        <v>236</v>
      </c>
      <c r="Q3334" t="s">
        <v>237</v>
      </c>
      <c r="R3334" t="s">
        <v>136</v>
      </c>
      <c r="S3334" t="s">
        <v>238</v>
      </c>
      <c r="T3334" t="s">
        <v>240</v>
      </c>
      <c r="U3334" t="s">
        <v>241</v>
      </c>
      <c r="V3334" t="s">
        <v>242</v>
      </c>
      <c r="W3334" t="s">
        <v>243</v>
      </c>
      <c r="X3334" t="s">
        <v>244</v>
      </c>
      <c r="Y3334" t="s">
        <v>245</v>
      </c>
    </row>
    <row r="3335" spans="1:25" x14ac:dyDescent="0.3">
      <c r="A3335" s="22" t="s">
        <v>67</v>
      </c>
      <c r="B3335">
        <v>124</v>
      </c>
      <c r="C3335" t="s">
        <v>64</v>
      </c>
      <c r="D3335">
        <v>130</v>
      </c>
      <c r="E3335" s="8">
        <v>3.2300000000000002E-2</v>
      </c>
      <c r="F3335" s="8">
        <v>8.0999999999999996E-3</v>
      </c>
      <c r="G3335" s="8">
        <v>8.0600000000000005E-2</v>
      </c>
      <c r="H3335" s="8">
        <v>0.3145</v>
      </c>
      <c r="I3335" s="8">
        <v>8.0999999999999996E-3</v>
      </c>
      <c r="J3335" s="8">
        <v>0.1452</v>
      </c>
      <c r="K3335" s="8">
        <v>1.61E-2</v>
      </c>
      <c r="L3335" s="8">
        <v>7.2599999999999998E-2</v>
      </c>
      <c r="M3335" s="8">
        <v>0.44350000000000001</v>
      </c>
      <c r="N3335" s="8">
        <v>0.3952</v>
      </c>
      <c r="O3335" s="8">
        <v>8.0600000000000005E-2</v>
      </c>
      <c r="P3335" s="8">
        <v>0.5403</v>
      </c>
      <c r="Q3335" s="8">
        <v>0.1613</v>
      </c>
      <c r="R3335" s="8">
        <v>0.1452</v>
      </c>
      <c r="S3335" s="8">
        <v>0.1694</v>
      </c>
      <c r="T3335" s="8">
        <v>4.8399999999999999E-2</v>
      </c>
      <c r="U3335" s="8">
        <v>6.4500000000000002E-2</v>
      </c>
      <c r="V3335" s="8">
        <v>3.2300000000000002E-2</v>
      </c>
      <c r="W3335" s="8">
        <v>9.6799999999999997E-2</v>
      </c>
      <c r="X3335" s="8">
        <v>0.5645</v>
      </c>
      <c r="Y3335" s="8">
        <v>4.8399999999999999E-2</v>
      </c>
    </row>
    <row r="3336" spans="1:25" x14ac:dyDescent="0.3">
      <c r="A3336" s="22" t="s">
        <v>68</v>
      </c>
      <c r="B3336">
        <v>6</v>
      </c>
      <c r="C3336" t="s">
        <v>64</v>
      </c>
      <c r="D3336">
        <v>130</v>
      </c>
      <c r="G3336" s="8">
        <v>0.33329999999999999</v>
      </c>
      <c r="H3336" s="8">
        <v>0.5</v>
      </c>
      <c r="M3336" s="8">
        <v>0.5</v>
      </c>
      <c r="N3336" s="8">
        <v>0.5</v>
      </c>
      <c r="O3336" s="8">
        <v>0.16669999999999999</v>
      </c>
      <c r="P3336" s="8">
        <v>0.5</v>
      </c>
      <c r="Q3336" s="8">
        <v>0.5</v>
      </c>
      <c r="T3336" s="8">
        <v>0.16669999999999999</v>
      </c>
      <c r="W3336" s="8">
        <v>0.16669999999999999</v>
      </c>
      <c r="X3336" s="8">
        <v>0.66669999999999996</v>
      </c>
    </row>
    <row r="3338" spans="1:25" ht="57.6" x14ac:dyDescent="0.3">
      <c r="A3338" s="22" t="s">
        <v>803</v>
      </c>
    </row>
    <row r="3339" spans="1:25" x14ac:dyDescent="0.3">
      <c r="A3339" s="22" t="s">
        <v>66</v>
      </c>
      <c r="B3339" t="s">
        <v>62</v>
      </c>
      <c r="C3339" t="s">
        <v>57</v>
      </c>
      <c r="D3339" t="s">
        <v>63</v>
      </c>
      <c r="E3339" t="s">
        <v>226</v>
      </c>
      <c r="F3339" t="s">
        <v>227</v>
      </c>
      <c r="G3339" t="s">
        <v>228</v>
      </c>
      <c r="H3339" t="s">
        <v>229</v>
      </c>
      <c r="I3339" t="s">
        <v>154</v>
      </c>
      <c r="J3339" t="s">
        <v>230</v>
      </c>
      <c r="K3339" t="s">
        <v>231</v>
      </c>
      <c r="L3339" t="s">
        <v>232</v>
      </c>
      <c r="M3339" t="s">
        <v>233</v>
      </c>
      <c r="N3339" t="s">
        <v>234</v>
      </c>
      <c r="O3339" t="s">
        <v>235</v>
      </c>
      <c r="P3339" t="s">
        <v>236</v>
      </c>
      <c r="Q3339" t="s">
        <v>237</v>
      </c>
      <c r="R3339" t="s">
        <v>136</v>
      </c>
      <c r="S3339" t="s">
        <v>238</v>
      </c>
      <c r="T3339" t="s">
        <v>240</v>
      </c>
      <c r="U3339" t="s">
        <v>241</v>
      </c>
      <c r="V3339" t="s">
        <v>242</v>
      </c>
      <c r="W3339" t="s">
        <v>243</v>
      </c>
      <c r="X3339" t="s">
        <v>244</v>
      </c>
      <c r="Y3339" t="s">
        <v>245</v>
      </c>
    </row>
    <row r="3340" spans="1:25" x14ac:dyDescent="0.3">
      <c r="A3340" s="22" t="s">
        <v>67</v>
      </c>
      <c r="B3340">
        <v>129</v>
      </c>
      <c r="C3340" t="s">
        <v>64</v>
      </c>
      <c r="D3340">
        <v>130</v>
      </c>
      <c r="E3340" s="8">
        <v>3.1E-2</v>
      </c>
      <c r="F3340" s="8">
        <v>7.7999999999999996E-3</v>
      </c>
      <c r="G3340" s="8">
        <v>9.2999999999999999E-2</v>
      </c>
      <c r="H3340" s="8">
        <v>0.3256</v>
      </c>
      <c r="I3340" s="8">
        <v>7.7999999999999996E-3</v>
      </c>
      <c r="J3340" s="8">
        <v>0.13950000000000001</v>
      </c>
      <c r="K3340" s="8">
        <v>1.55E-2</v>
      </c>
      <c r="L3340" s="8">
        <v>6.9800000000000001E-2</v>
      </c>
      <c r="M3340" s="8">
        <v>0.4496</v>
      </c>
      <c r="N3340" s="8">
        <v>0.39529999999999998</v>
      </c>
      <c r="O3340" s="8">
        <v>8.5300000000000001E-2</v>
      </c>
      <c r="P3340" s="8">
        <v>0.53490000000000004</v>
      </c>
      <c r="Q3340" s="8">
        <v>0.17829999999999999</v>
      </c>
      <c r="R3340" s="8">
        <v>0.13950000000000001</v>
      </c>
      <c r="S3340" s="8">
        <v>0.1628</v>
      </c>
      <c r="T3340" s="8">
        <v>5.4300000000000001E-2</v>
      </c>
      <c r="U3340" s="8">
        <v>6.2E-2</v>
      </c>
      <c r="V3340" s="8">
        <v>3.1E-2</v>
      </c>
      <c r="W3340" s="8">
        <v>0.1008</v>
      </c>
      <c r="X3340" s="8">
        <v>0.56589999999999996</v>
      </c>
      <c r="Y3340" s="8">
        <v>4.65E-2</v>
      </c>
    </row>
    <row r="3341" spans="1:25" x14ac:dyDescent="0.3">
      <c r="A3341" s="22" t="s">
        <v>68</v>
      </c>
      <c r="B3341">
        <v>1</v>
      </c>
      <c r="C3341" t="s">
        <v>64</v>
      </c>
      <c r="D3341">
        <v>130</v>
      </c>
      <c r="N3341" s="8">
        <v>1</v>
      </c>
      <c r="P3341" s="8">
        <v>1</v>
      </c>
      <c r="X3341" s="8">
        <v>1</v>
      </c>
    </row>
    <row r="3343" spans="1:25" ht="57.6" x14ac:dyDescent="0.3">
      <c r="A3343" s="22" t="s">
        <v>804</v>
      </c>
    </row>
    <row r="3344" spans="1:25" x14ac:dyDescent="0.3">
      <c r="A3344" s="22" t="s">
        <v>66</v>
      </c>
      <c r="B3344" t="s">
        <v>62</v>
      </c>
      <c r="C3344" t="s">
        <v>57</v>
      </c>
      <c r="D3344" t="s">
        <v>63</v>
      </c>
      <c r="E3344" t="s">
        <v>226</v>
      </c>
      <c r="F3344" t="s">
        <v>227</v>
      </c>
      <c r="G3344" t="s">
        <v>228</v>
      </c>
      <c r="H3344" t="s">
        <v>229</v>
      </c>
      <c r="I3344" t="s">
        <v>154</v>
      </c>
      <c r="J3344" t="s">
        <v>230</v>
      </c>
      <c r="K3344" t="s">
        <v>231</v>
      </c>
      <c r="L3344" t="s">
        <v>232</v>
      </c>
      <c r="M3344" t="s">
        <v>233</v>
      </c>
      <c r="N3344" t="s">
        <v>234</v>
      </c>
      <c r="O3344" t="s">
        <v>235</v>
      </c>
      <c r="P3344" t="s">
        <v>236</v>
      </c>
      <c r="Q3344" t="s">
        <v>237</v>
      </c>
      <c r="R3344" t="s">
        <v>136</v>
      </c>
      <c r="S3344" t="s">
        <v>238</v>
      </c>
      <c r="T3344" t="s">
        <v>240</v>
      </c>
      <c r="U3344" t="s">
        <v>241</v>
      </c>
      <c r="V3344" t="s">
        <v>242</v>
      </c>
      <c r="W3344" t="s">
        <v>243</v>
      </c>
      <c r="X3344" t="s">
        <v>244</v>
      </c>
      <c r="Y3344" t="s">
        <v>245</v>
      </c>
    </row>
    <row r="3345" spans="1:25" x14ac:dyDescent="0.3">
      <c r="A3345" s="22" t="s">
        <v>67</v>
      </c>
      <c r="B3345">
        <v>120</v>
      </c>
      <c r="C3345" t="s">
        <v>64</v>
      </c>
      <c r="D3345">
        <v>130</v>
      </c>
      <c r="E3345" s="8">
        <v>3.3300000000000003E-2</v>
      </c>
      <c r="F3345" s="8">
        <v>8.3000000000000001E-3</v>
      </c>
      <c r="G3345" s="8">
        <v>9.1700000000000004E-2</v>
      </c>
      <c r="H3345" s="8">
        <v>0.3417</v>
      </c>
      <c r="I3345" s="8">
        <v>8.3000000000000001E-3</v>
      </c>
      <c r="J3345" s="8">
        <v>0.14169999999999999</v>
      </c>
      <c r="K3345" s="8">
        <v>1.67E-2</v>
      </c>
      <c r="L3345" s="8">
        <v>5.8299999999999998E-2</v>
      </c>
      <c r="M3345" s="8">
        <v>0.45</v>
      </c>
      <c r="N3345" s="8">
        <v>0.41670000000000001</v>
      </c>
      <c r="O3345" s="8">
        <v>6.6699999999999995E-2</v>
      </c>
      <c r="P3345" s="8">
        <v>0.51670000000000005</v>
      </c>
      <c r="Q3345" s="8">
        <v>0.17499999999999999</v>
      </c>
      <c r="R3345" s="8">
        <v>0.14169999999999999</v>
      </c>
      <c r="S3345" s="8">
        <v>0.16669999999999999</v>
      </c>
      <c r="T3345" s="8">
        <v>0.05</v>
      </c>
      <c r="U3345" s="8">
        <v>6.6699999999999995E-2</v>
      </c>
      <c r="V3345" s="8">
        <v>3.3300000000000003E-2</v>
      </c>
      <c r="W3345" s="8">
        <v>0.1</v>
      </c>
      <c r="X3345" s="8">
        <v>0.58330000000000004</v>
      </c>
      <c r="Y3345" s="8">
        <v>0.05</v>
      </c>
    </row>
    <row r="3346" spans="1:25" x14ac:dyDescent="0.3">
      <c r="A3346" s="22" t="s">
        <v>68</v>
      </c>
      <c r="B3346">
        <v>10</v>
      </c>
      <c r="C3346" t="s">
        <v>64</v>
      </c>
      <c r="D3346">
        <v>130</v>
      </c>
      <c r="G3346" s="8">
        <v>0.1</v>
      </c>
      <c r="H3346" s="8">
        <v>0.1</v>
      </c>
      <c r="J3346" s="8">
        <v>0.1</v>
      </c>
      <c r="L3346" s="8">
        <v>0.2</v>
      </c>
      <c r="M3346" s="8">
        <v>0.4</v>
      </c>
      <c r="N3346" s="8">
        <v>0.2</v>
      </c>
      <c r="O3346" s="8">
        <v>0.3</v>
      </c>
      <c r="P3346" s="8">
        <v>0.8</v>
      </c>
      <c r="Q3346" s="8">
        <v>0.2</v>
      </c>
      <c r="R3346" s="8">
        <v>0.1</v>
      </c>
      <c r="S3346" s="8">
        <v>0.1</v>
      </c>
      <c r="T3346" s="8">
        <v>0.1</v>
      </c>
      <c r="W3346" s="8">
        <v>0.1</v>
      </c>
      <c r="X3346" s="8">
        <v>0.4</v>
      </c>
    </row>
    <row r="3348" spans="1:25" ht="57.6" x14ac:dyDescent="0.3">
      <c r="A3348" s="22" t="s">
        <v>805</v>
      </c>
    </row>
    <row r="3349" spans="1:25" x14ac:dyDescent="0.3">
      <c r="A3349" s="22" t="s">
        <v>66</v>
      </c>
      <c r="B3349" t="s">
        <v>62</v>
      </c>
      <c r="C3349" t="s">
        <v>57</v>
      </c>
      <c r="D3349" t="s">
        <v>63</v>
      </c>
      <c r="E3349" t="s">
        <v>226</v>
      </c>
      <c r="F3349" t="s">
        <v>227</v>
      </c>
      <c r="G3349" t="s">
        <v>228</v>
      </c>
      <c r="H3349" t="s">
        <v>229</v>
      </c>
      <c r="I3349" t="s">
        <v>154</v>
      </c>
      <c r="J3349" t="s">
        <v>230</v>
      </c>
      <c r="K3349" t="s">
        <v>231</v>
      </c>
      <c r="L3349" t="s">
        <v>232</v>
      </c>
      <c r="M3349" t="s">
        <v>233</v>
      </c>
      <c r="N3349" t="s">
        <v>234</v>
      </c>
      <c r="O3349" t="s">
        <v>235</v>
      </c>
      <c r="P3349" t="s">
        <v>236</v>
      </c>
      <c r="Q3349" t="s">
        <v>237</v>
      </c>
      <c r="R3349" t="s">
        <v>136</v>
      </c>
      <c r="S3349" t="s">
        <v>238</v>
      </c>
      <c r="T3349" t="s">
        <v>240</v>
      </c>
      <c r="U3349" t="s">
        <v>241</v>
      </c>
      <c r="V3349" t="s">
        <v>242</v>
      </c>
      <c r="W3349" t="s">
        <v>243</v>
      </c>
      <c r="X3349" t="s">
        <v>244</v>
      </c>
      <c r="Y3349" t="s">
        <v>245</v>
      </c>
    </row>
    <row r="3350" spans="1:25" x14ac:dyDescent="0.3">
      <c r="A3350" s="22" t="s">
        <v>67</v>
      </c>
      <c r="B3350">
        <v>5</v>
      </c>
      <c r="C3350" t="s">
        <v>64</v>
      </c>
      <c r="D3350">
        <v>130</v>
      </c>
      <c r="G3350" s="8">
        <v>0.2</v>
      </c>
      <c r="H3350" s="8">
        <v>0.4</v>
      </c>
      <c r="J3350" s="8">
        <v>0.2</v>
      </c>
      <c r="M3350" s="8">
        <v>0.6</v>
      </c>
      <c r="N3350" s="8">
        <v>0.4</v>
      </c>
      <c r="P3350" s="8">
        <v>0.2</v>
      </c>
      <c r="Q3350" s="8">
        <v>0.2</v>
      </c>
      <c r="R3350" s="8">
        <v>0.2</v>
      </c>
      <c r="S3350" s="8">
        <v>0.6</v>
      </c>
      <c r="T3350" s="8">
        <v>0.2</v>
      </c>
      <c r="U3350" s="8">
        <v>0.2</v>
      </c>
      <c r="X3350" s="8">
        <v>0.6</v>
      </c>
    </row>
    <row r="3351" spans="1:25" x14ac:dyDescent="0.3">
      <c r="A3351" s="22" t="s">
        <v>68</v>
      </c>
      <c r="B3351">
        <v>125</v>
      </c>
      <c r="C3351" t="s">
        <v>64</v>
      </c>
      <c r="D3351">
        <v>130</v>
      </c>
      <c r="E3351" s="8">
        <v>3.2000000000000001E-2</v>
      </c>
      <c r="F3351" s="8">
        <v>8.0000000000000002E-3</v>
      </c>
      <c r="G3351" s="8">
        <v>8.7999999999999995E-2</v>
      </c>
      <c r="H3351" s="8">
        <v>0.32</v>
      </c>
      <c r="I3351" s="8">
        <v>8.0000000000000002E-3</v>
      </c>
      <c r="J3351" s="8">
        <v>0.13600000000000001</v>
      </c>
      <c r="K3351" s="8">
        <v>1.6E-2</v>
      </c>
      <c r="L3351" s="8">
        <v>7.1999999999999995E-2</v>
      </c>
      <c r="M3351" s="8">
        <v>0.44</v>
      </c>
      <c r="N3351" s="8">
        <v>0.4</v>
      </c>
      <c r="O3351" s="8">
        <v>8.7999999999999995E-2</v>
      </c>
      <c r="P3351" s="8">
        <v>0.55200000000000005</v>
      </c>
      <c r="Q3351" s="8">
        <v>0.17599999999999999</v>
      </c>
      <c r="R3351" s="8">
        <v>0.13600000000000001</v>
      </c>
      <c r="S3351" s="8">
        <v>0.14399999999999999</v>
      </c>
      <c r="T3351" s="8">
        <v>4.8000000000000001E-2</v>
      </c>
      <c r="U3351" s="8">
        <v>5.6000000000000001E-2</v>
      </c>
      <c r="V3351" s="8">
        <v>3.2000000000000001E-2</v>
      </c>
      <c r="W3351" s="8">
        <v>0.104</v>
      </c>
      <c r="X3351" s="8">
        <v>0.56799999999999995</v>
      </c>
      <c r="Y3351" s="8">
        <v>4.8000000000000001E-2</v>
      </c>
    </row>
    <row r="3353" spans="1:25" ht="57.6" x14ac:dyDescent="0.3">
      <c r="A3353" s="22" t="s">
        <v>806</v>
      </c>
    </row>
    <row r="3354" spans="1:25" x14ac:dyDescent="0.3">
      <c r="A3354" s="22" t="s">
        <v>66</v>
      </c>
      <c r="B3354" t="s">
        <v>62</v>
      </c>
      <c r="C3354" t="s">
        <v>57</v>
      </c>
      <c r="D3354" t="s">
        <v>63</v>
      </c>
      <c r="E3354" t="s">
        <v>226</v>
      </c>
      <c r="F3354" t="s">
        <v>227</v>
      </c>
      <c r="G3354" t="s">
        <v>228</v>
      </c>
      <c r="H3354" t="s">
        <v>229</v>
      </c>
      <c r="I3354" t="s">
        <v>154</v>
      </c>
      <c r="J3354" t="s">
        <v>230</v>
      </c>
      <c r="K3354" t="s">
        <v>231</v>
      </c>
      <c r="L3354" t="s">
        <v>232</v>
      </c>
      <c r="M3354" t="s">
        <v>233</v>
      </c>
      <c r="N3354" t="s">
        <v>234</v>
      </c>
      <c r="O3354" t="s">
        <v>235</v>
      </c>
      <c r="P3354" t="s">
        <v>236</v>
      </c>
      <c r="Q3354" t="s">
        <v>237</v>
      </c>
      <c r="R3354" t="s">
        <v>136</v>
      </c>
      <c r="S3354" t="s">
        <v>238</v>
      </c>
      <c r="T3354" t="s">
        <v>240</v>
      </c>
      <c r="U3354" t="s">
        <v>241</v>
      </c>
      <c r="V3354" t="s">
        <v>242</v>
      </c>
      <c r="W3354" t="s">
        <v>243</v>
      </c>
      <c r="X3354" t="s">
        <v>244</v>
      </c>
      <c r="Y3354" t="s">
        <v>245</v>
      </c>
    </row>
    <row r="3355" spans="1:25" x14ac:dyDescent="0.3">
      <c r="A3355" s="22" t="s">
        <v>67</v>
      </c>
      <c r="B3355">
        <v>106</v>
      </c>
      <c r="C3355" t="s">
        <v>64</v>
      </c>
      <c r="D3355">
        <v>130</v>
      </c>
      <c r="E3355" s="8">
        <v>2.8299999999999999E-2</v>
      </c>
      <c r="F3355" s="8">
        <v>9.4000000000000004E-3</v>
      </c>
      <c r="G3355" s="8">
        <v>9.4299999999999995E-2</v>
      </c>
      <c r="H3355" s="8">
        <v>0.33960000000000001</v>
      </c>
      <c r="I3355" s="8">
        <v>9.4000000000000004E-3</v>
      </c>
      <c r="J3355" s="8">
        <v>0.16039999999999999</v>
      </c>
      <c r="K3355" s="8">
        <v>1.89E-2</v>
      </c>
      <c r="L3355" s="8">
        <v>7.5499999999999998E-2</v>
      </c>
      <c r="M3355" s="8">
        <v>0.48110000000000003</v>
      </c>
      <c r="N3355" s="8">
        <v>0.41510000000000002</v>
      </c>
      <c r="O3355" s="8">
        <v>0.1038</v>
      </c>
      <c r="P3355" s="8">
        <v>0.51890000000000003</v>
      </c>
      <c r="Q3355" s="8">
        <v>0.1792</v>
      </c>
      <c r="R3355" s="8">
        <v>0.1226</v>
      </c>
      <c r="S3355" s="8">
        <v>0.16980000000000001</v>
      </c>
      <c r="T3355" s="8">
        <v>5.6599999999999998E-2</v>
      </c>
      <c r="U3355" s="8">
        <v>5.6599999999999998E-2</v>
      </c>
      <c r="V3355" s="8">
        <v>2.8299999999999999E-2</v>
      </c>
      <c r="W3355" s="8">
        <v>0.1132</v>
      </c>
      <c r="X3355" s="8">
        <v>0.57550000000000001</v>
      </c>
      <c r="Y3355" s="8">
        <v>4.7199999999999999E-2</v>
      </c>
    </row>
    <row r="3356" spans="1:25" x14ac:dyDescent="0.3">
      <c r="A3356" s="22" t="s">
        <v>68</v>
      </c>
      <c r="B3356">
        <v>24</v>
      </c>
      <c r="C3356" t="s">
        <v>64</v>
      </c>
      <c r="D3356">
        <v>130</v>
      </c>
      <c r="E3356" s="8">
        <v>4.1700000000000001E-2</v>
      </c>
      <c r="G3356" s="8">
        <v>8.3299999999999999E-2</v>
      </c>
      <c r="H3356" s="8">
        <v>0.25</v>
      </c>
      <c r="J3356" s="8">
        <v>4.1700000000000001E-2</v>
      </c>
      <c r="L3356" s="8">
        <v>4.1700000000000001E-2</v>
      </c>
      <c r="M3356" s="8">
        <v>0.29170000000000001</v>
      </c>
      <c r="N3356" s="8">
        <v>0.33329999999999999</v>
      </c>
      <c r="P3356" s="8">
        <v>0.625</v>
      </c>
      <c r="Q3356" s="8">
        <v>0.16669999999999999</v>
      </c>
      <c r="R3356" s="8">
        <v>0.20830000000000001</v>
      </c>
      <c r="S3356" s="8">
        <v>0.125</v>
      </c>
      <c r="T3356" s="8">
        <v>4.1700000000000001E-2</v>
      </c>
      <c r="U3356" s="8">
        <v>8.3299999999999999E-2</v>
      </c>
      <c r="V3356" s="8">
        <v>4.1700000000000001E-2</v>
      </c>
      <c r="W3356" s="8">
        <v>4.1700000000000001E-2</v>
      </c>
      <c r="X3356" s="8">
        <v>0.54169999999999996</v>
      </c>
      <c r="Y3356" s="8">
        <v>4.1700000000000001E-2</v>
      </c>
    </row>
    <row r="3358" spans="1:25" ht="57.6" x14ac:dyDescent="0.3">
      <c r="A3358" s="22" t="s">
        <v>807</v>
      </c>
    </row>
    <row r="3359" spans="1:25" x14ac:dyDescent="0.3">
      <c r="A3359" s="22" t="s">
        <v>66</v>
      </c>
      <c r="B3359" t="s">
        <v>62</v>
      </c>
      <c r="C3359" t="s">
        <v>57</v>
      </c>
      <c r="D3359" t="s">
        <v>63</v>
      </c>
      <c r="E3359" t="s">
        <v>226</v>
      </c>
      <c r="F3359" t="s">
        <v>227</v>
      </c>
      <c r="G3359" t="s">
        <v>228</v>
      </c>
      <c r="H3359" t="s">
        <v>229</v>
      </c>
      <c r="I3359" t="s">
        <v>154</v>
      </c>
      <c r="J3359" t="s">
        <v>230</v>
      </c>
      <c r="K3359" t="s">
        <v>231</v>
      </c>
      <c r="L3359" t="s">
        <v>232</v>
      </c>
      <c r="M3359" t="s">
        <v>233</v>
      </c>
      <c r="N3359" t="s">
        <v>234</v>
      </c>
      <c r="O3359" t="s">
        <v>235</v>
      </c>
      <c r="P3359" t="s">
        <v>236</v>
      </c>
      <c r="Q3359" t="s">
        <v>237</v>
      </c>
      <c r="R3359" t="s">
        <v>136</v>
      </c>
      <c r="S3359" t="s">
        <v>238</v>
      </c>
      <c r="T3359" t="s">
        <v>240</v>
      </c>
      <c r="U3359" t="s">
        <v>241</v>
      </c>
      <c r="V3359" t="s">
        <v>242</v>
      </c>
      <c r="W3359" t="s">
        <v>243</v>
      </c>
      <c r="X3359" t="s">
        <v>244</v>
      </c>
      <c r="Y3359" t="s">
        <v>245</v>
      </c>
    </row>
    <row r="3360" spans="1:25" x14ac:dyDescent="0.3">
      <c r="A3360" s="22" t="s">
        <v>67</v>
      </c>
      <c r="B3360">
        <v>101</v>
      </c>
      <c r="C3360" t="s">
        <v>64</v>
      </c>
      <c r="D3360">
        <v>130</v>
      </c>
      <c r="E3360" s="8">
        <v>3.9600000000000003E-2</v>
      </c>
      <c r="G3360" s="8">
        <v>8.9099999999999999E-2</v>
      </c>
      <c r="H3360" s="8">
        <v>0.29699999999999999</v>
      </c>
      <c r="J3360" s="8">
        <v>0.1386</v>
      </c>
      <c r="K3360" s="8">
        <v>9.9000000000000008E-3</v>
      </c>
      <c r="L3360" s="8">
        <v>5.9400000000000001E-2</v>
      </c>
      <c r="M3360" s="8">
        <v>0.42570000000000002</v>
      </c>
      <c r="N3360" s="8">
        <v>0.42570000000000002</v>
      </c>
      <c r="O3360" s="8">
        <v>8.9099999999999999E-2</v>
      </c>
      <c r="P3360" s="8">
        <v>0.53469999999999995</v>
      </c>
      <c r="Q3360" s="8">
        <v>0.18809999999999999</v>
      </c>
      <c r="R3360" s="8">
        <v>0.1386</v>
      </c>
      <c r="S3360" s="8">
        <v>0.14849999999999999</v>
      </c>
      <c r="T3360" s="8">
        <v>4.9500000000000002E-2</v>
      </c>
      <c r="U3360" s="8">
        <v>2.9700000000000001E-2</v>
      </c>
      <c r="V3360" s="8">
        <v>3.9600000000000003E-2</v>
      </c>
      <c r="W3360" s="8">
        <v>8.9099999999999999E-2</v>
      </c>
      <c r="X3360" s="8">
        <v>0.57430000000000003</v>
      </c>
      <c r="Y3360" s="8">
        <v>4.9500000000000002E-2</v>
      </c>
    </row>
    <row r="3361" spans="1:25" x14ac:dyDescent="0.3">
      <c r="A3361" s="22" t="s">
        <v>68</v>
      </c>
      <c r="B3361">
        <v>29</v>
      </c>
      <c r="C3361" t="s">
        <v>64</v>
      </c>
      <c r="D3361">
        <v>130</v>
      </c>
      <c r="F3361" s="8">
        <v>3.4500000000000003E-2</v>
      </c>
      <c r="G3361" s="8">
        <v>0.10340000000000001</v>
      </c>
      <c r="H3361" s="8">
        <v>0.4138</v>
      </c>
      <c r="I3361" s="8">
        <v>3.4500000000000003E-2</v>
      </c>
      <c r="J3361" s="8">
        <v>0.13789999999999999</v>
      </c>
      <c r="K3361" s="8">
        <v>3.4500000000000003E-2</v>
      </c>
      <c r="L3361" s="8">
        <v>0.10340000000000001</v>
      </c>
      <c r="M3361" s="8">
        <v>0.51719999999999999</v>
      </c>
      <c r="N3361" s="8">
        <v>0.31030000000000002</v>
      </c>
      <c r="O3361" s="8">
        <v>6.9000000000000006E-2</v>
      </c>
      <c r="P3361" s="8">
        <v>0.55169999999999997</v>
      </c>
      <c r="Q3361" s="8">
        <v>0.13789999999999999</v>
      </c>
      <c r="R3361" s="8">
        <v>0.13789999999999999</v>
      </c>
      <c r="S3361" s="8">
        <v>0.2069</v>
      </c>
      <c r="T3361" s="8">
        <v>6.9000000000000006E-2</v>
      </c>
      <c r="U3361" s="8">
        <v>0.1724</v>
      </c>
      <c r="W3361" s="8">
        <v>0.13789999999999999</v>
      </c>
      <c r="X3361" s="8">
        <v>0.55169999999999997</v>
      </c>
      <c r="Y3361" s="8">
        <v>3.4500000000000003E-2</v>
      </c>
    </row>
    <row r="3363" spans="1:25" ht="57.6" x14ac:dyDescent="0.3">
      <c r="A3363" s="22" t="s">
        <v>808</v>
      </c>
    </row>
    <row r="3364" spans="1:25" x14ac:dyDescent="0.3">
      <c r="A3364" s="22" t="s">
        <v>66</v>
      </c>
      <c r="B3364" t="s">
        <v>62</v>
      </c>
      <c r="C3364" t="s">
        <v>57</v>
      </c>
      <c r="D3364" t="s">
        <v>63</v>
      </c>
      <c r="E3364" t="s">
        <v>226</v>
      </c>
      <c r="F3364" t="s">
        <v>227</v>
      </c>
      <c r="G3364" t="s">
        <v>228</v>
      </c>
      <c r="H3364" t="s">
        <v>229</v>
      </c>
      <c r="I3364" t="s">
        <v>154</v>
      </c>
      <c r="J3364" t="s">
        <v>230</v>
      </c>
      <c r="K3364" t="s">
        <v>231</v>
      </c>
      <c r="L3364" t="s">
        <v>232</v>
      </c>
      <c r="M3364" t="s">
        <v>233</v>
      </c>
      <c r="N3364" t="s">
        <v>234</v>
      </c>
      <c r="O3364" t="s">
        <v>235</v>
      </c>
      <c r="P3364" t="s">
        <v>236</v>
      </c>
      <c r="Q3364" t="s">
        <v>237</v>
      </c>
      <c r="R3364" t="s">
        <v>136</v>
      </c>
      <c r="S3364" t="s">
        <v>238</v>
      </c>
      <c r="T3364" t="s">
        <v>240</v>
      </c>
      <c r="U3364" t="s">
        <v>241</v>
      </c>
      <c r="V3364" t="s">
        <v>242</v>
      </c>
      <c r="W3364" t="s">
        <v>243</v>
      </c>
      <c r="X3364" t="s">
        <v>244</v>
      </c>
      <c r="Y3364" t="s">
        <v>245</v>
      </c>
    </row>
    <row r="3365" spans="1:25" x14ac:dyDescent="0.3">
      <c r="A3365" s="22" t="s">
        <v>67</v>
      </c>
      <c r="B3365">
        <v>98</v>
      </c>
      <c r="C3365" t="s">
        <v>64</v>
      </c>
      <c r="D3365">
        <v>130</v>
      </c>
      <c r="E3365" s="8">
        <v>2.0400000000000001E-2</v>
      </c>
      <c r="F3365" s="8">
        <v>1.0200000000000001E-2</v>
      </c>
      <c r="G3365" s="8">
        <v>9.1800000000000007E-2</v>
      </c>
      <c r="H3365" s="8">
        <v>0.30609999999999998</v>
      </c>
      <c r="I3365" s="8">
        <v>1.0200000000000001E-2</v>
      </c>
      <c r="J3365" s="8">
        <v>0.13270000000000001</v>
      </c>
      <c r="K3365" s="8">
        <v>2.0400000000000001E-2</v>
      </c>
      <c r="L3365" s="8">
        <v>6.1199999999999997E-2</v>
      </c>
      <c r="M3365" s="8">
        <v>0.37759999999999999</v>
      </c>
      <c r="N3365" s="8">
        <v>0.40820000000000001</v>
      </c>
      <c r="O3365" s="8">
        <v>9.1800000000000007E-2</v>
      </c>
      <c r="P3365" s="8">
        <v>0.52039999999999997</v>
      </c>
      <c r="Q3365" s="8">
        <v>0.1837</v>
      </c>
      <c r="R3365" s="8">
        <v>0.1429</v>
      </c>
      <c r="S3365" s="8">
        <v>0.1429</v>
      </c>
      <c r="T3365" s="8">
        <v>7.1400000000000005E-2</v>
      </c>
      <c r="U3365" s="8">
        <v>4.0800000000000003E-2</v>
      </c>
      <c r="V3365" s="8">
        <v>3.0599999999999999E-2</v>
      </c>
      <c r="W3365" s="8">
        <v>9.1800000000000007E-2</v>
      </c>
      <c r="X3365" s="8">
        <v>0.58160000000000001</v>
      </c>
      <c r="Y3365" s="8">
        <v>4.0800000000000003E-2</v>
      </c>
    </row>
    <row r="3366" spans="1:25" x14ac:dyDescent="0.3">
      <c r="A3366" s="22" t="s">
        <v>68</v>
      </c>
      <c r="B3366">
        <v>32</v>
      </c>
      <c r="C3366" t="s">
        <v>64</v>
      </c>
      <c r="D3366">
        <v>130</v>
      </c>
      <c r="E3366" s="8">
        <v>6.25E-2</v>
      </c>
      <c r="G3366" s="8">
        <v>9.3799999999999994E-2</v>
      </c>
      <c r="H3366" s="8">
        <v>0.375</v>
      </c>
      <c r="J3366" s="8">
        <v>0.15620000000000001</v>
      </c>
      <c r="L3366" s="8">
        <v>9.3799999999999994E-2</v>
      </c>
      <c r="M3366" s="8">
        <v>0.65620000000000001</v>
      </c>
      <c r="N3366" s="8">
        <v>0.375</v>
      </c>
      <c r="O3366" s="8">
        <v>6.25E-2</v>
      </c>
      <c r="P3366" s="8">
        <v>0.59379999999999999</v>
      </c>
      <c r="Q3366" s="8">
        <v>0.15620000000000001</v>
      </c>
      <c r="R3366" s="8">
        <v>0.125</v>
      </c>
      <c r="S3366" s="8">
        <v>0.21879999999999999</v>
      </c>
      <c r="U3366" s="8">
        <v>0.125</v>
      </c>
      <c r="V3366" s="8">
        <v>3.1199999999999999E-2</v>
      </c>
      <c r="W3366" s="8">
        <v>0.125</v>
      </c>
      <c r="X3366" s="8">
        <v>0.53120000000000001</v>
      </c>
      <c r="Y3366" s="8">
        <v>6.25E-2</v>
      </c>
    </row>
    <row r="3368" spans="1:25" ht="72" x14ac:dyDescent="0.3">
      <c r="A3368" s="22" t="s">
        <v>809</v>
      </c>
    </row>
    <row r="3369" spans="1:25" x14ac:dyDescent="0.3">
      <c r="A3369" s="22" t="s">
        <v>66</v>
      </c>
      <c r="B3369" t="s">
        <v>62</v>
      </c>
      <c r="C3369" t="s">
        <v>57</v>
      </c>
      <c r="D3369" t="s">
        <v>63</v>
      </c>
      <c r="E3369" t="s">
        <v>226</v>
      </c>
      <c r="F3369" t="s">
        <v>227</v>
      </c>
      <c r="G3369" t="s">
        <v>228</v>
      </c>
      <c r="H3369" t="s">
        <v>229</v>
      </c>
      <c r="I3369" t="s">
        <v>154</v>
      </c>
      <c r="J3369" t="s">
        <v>230</v>
      </c>
      <c r="K3369" t="s">
        <v>231</v>
      </c>
      <c r="L3369" t="s">
        <v>232</v>
      </c>
      <c r="M3369" t="s">
        <v>233</v>
      </c>
      <c r="N3369" t="s">
        <v>234</v>
      </c>
      <c r="O3369" t="s">
        <v>235</v>
      </c>
      <c r="P3369" t="s">
        <v>236</v>
      </c>
      <c r="Q3369" t="s">
        <v>237</v>
      </c>
      <c r="R3369" t="s">
        <v>136</v>
      </c>
      <c r="S3369" t="s">
        <v>238</v>
      </c>
      <c r="T3369" t="s">
        <v>240</v>
      </c>
      <c r="U3369" t="s">
        <v>241</v>
      </c>
      <c r="V3369" t="s">
        <v>242</v>
      </c>
      <c r="W3369" t="s">
        <v>243</v>
      </c>
      <c r="X3369" t="s">
        <v>244</v>
      </c>
      <c r="Y3369" t="s">
        <v>245</v>
      </c>
    </row>
    <row r="3370" spans="1:25" x14ac:dyDescent="0.3">
      <c r="A3370" s="22" t="s">
        <v>67</v>
      </c>
      <c r="B3370">
        <v>118</v>
      </c>
      <c r="C3370" t="s">
        <v>64</v>
      </c>
      <c r="D3370">
        <v>130</v>
      </c>
      <c r="E3370" s="8">
        <v>3.39E-2</v>
      </c>
      <c r="G3370" s="8">
        <v>9.3200000000000005E-2</v>
      </c>
      <c r="H3370" s="8">
        <v>0.32200000000000001</v>
      </c>
      <c r="I3370" s="8">
        <v>8.5000000000000006E-3</v>
      </c>
      <c r="J3370" s="8">
        <v>0.1186</v>
      </c>
      <c r="K3370" s="8">
        <v>1.6899999999999998E-2</v>
      </c>
      <c r="L3370" s="8">
        <v>6.7799999999999999E-2</v>
      </c>
      <c r="M3370" s="8">
        <v>0.4153</v>
      </c>
      <c r="N3370" s="8">
        <v>0.38979999999999998</v>
      </c>
      <c r="O3370" s="8">
        <v>6.7799999999999999E-2</v>
      </c>
      <c r="P3370" s="8">
        <v>0.54239999999999999</v>
      </c>
      <c r="Q3370" s="8">
        <v>0.1525</v>
      </c>
      <c r="R3370" s="8">
        <v>0.14410000000000001</v>
      </c>
      <c r="S3370" s="8">
        <v>0.1356</v>
      </c>
      <c r="T3370" s="8">
        <v>2.5399999999999999E-2</v>
      </c>
      <c r="U3370" s="8">
        <v>5.9299999999999999E-2</v>
      </c>
      <c r="V3370" s="8">
        <v>3.39E-2</v>
      </c>
      <c r="W3370" s="8">
        <v>0.11020000000000001</v>
      </c>
      <c r="X3370" s="8">
        <v>0.55930000000000002</v>
      </c>
      <c r="Y3370" s="8">
        <v>3.39E-2</v>
      </c>
    </row>
    <row r="3371" spans="1:25" x14ac:dyDescent="0.3">
      <c r="A3371" s="22" t="s">
        <v>68</v>
      </c>
      <c r="B3371">
        <v>12</v>
      </c>
      <c r="C3371" t="s">
        <v>64</v>
      </c>
      <c r="D3371">
        <v>130</v>
      </c>
      <c r="F3371" s="8">
        <v>8.3299999999999999E-2</v>
      </c>
      <c r="G3371" s="8">
        <v>8.3299999999999999E-2</v>
      </c>
      <c r="H3371" s="8">
        <v>0.33329999999999999</v>
      </c>
      <c r="J3371" s="8">
        <v>0.33329999999999999</v>
      </c>
      <c r="L3371" s="8">
        <v>8.3299999999999999E-2</v>
      </c>
      <c r="M3371" s="8">
        <v>0.75</v>
      </c>
      <c r="N3371" s="8">
        <v>0.5</v>
      </c>
      <c r="O3371" s="8">
        <v>0.25</v>
      </c>
      <c r="P3371" s="8">
        <v>0.5</v>
      </c>
      <c r="Q3371" s="8">
        <v>0.41670000000000001</v>
      </c>
      <c r="R3371" s="8">
        <v>8.3299999999999999E-2</v>
      </c>
      <c r="S3371" s="8">
        <v>0.41670000000000001</v>
      </c>
      <c r="T3371" s="8">
        <v>0.33329999999999999</v>
      </c>
      <c r="U3371" s="8">
        <v>8.3299999999999999E-2</v>
      </c>
      <c r="X3371" s="8">
        <v>0.66669999999999996</v>
      </c>
      <c r="Y3371" s="8">
        <v>0.16669999999999999</v>
      </c>
    </row>
    <row r="3373" spans="1:25" ht="72" x14ac:dyDescent="0.3">
      <c r="A3373" s="22" t="s">
        <v>810</v>
      </c>
    </row>
    <row r="3374" spans="1:25" x14ac:dyDescent="0.3">
      <c r="A3374" s="22" t="s">
        <v>66</v>
      </c>
      <c r="B3374" t="s">
        <v>62</v>
      </c>
      <c r="C3374" t="s">
        <v>57</v>
      </c>
      <c r="D3374" t="s">
        <v>63</v>
      </c>
      <c r="E3374" t="s">
        <v>226</v>
      </c>
      <c r="F3374" t="s">
        <v>227</v>
      </c>
      <c r="G3374" t="s">
        <v>228</v>
      </c>
      <c r="H3374" t="s">
        <v>229</v>
      </c>
      <c r="I3374" t="s">
        <v>154</v>
      </c>
      <c r="J3374" t="s">
        <v>230</v>
      </c>
      <c r="K3374" t="s">
        <v>231</v>
      </c>
      <c r="L3374" t="s">
        <v>232</v>
      </c>
      <c r="M3374" t="s">
        <v>233</v>
      </c>
      <c r="N3374" t="s">
        <v>234</v>
      </c>
      <c r="O3374" t="s">
        <v>235</v>
      </c>
      <c r="P3374" t="s">
        <v>236</v>
      </c>
      <c r="Q3374" t="s">
        <v>237</v>
      </c>
      <c r="R3374" t="s">
        <v>136</v>
      </c>
      <c r="S3374" t="s">
        <v>238</v>
      </c>
      <c r="T3374" t="s">
        <v>240</v>
      </c>
      <c r="U3374" t="s">
        <v>241</v>
      </c>
      <c r="V3374" t="s">
        <v>242</v>
      </c>
      <c r="W3374" t="s">
        <v>243</v>
      </c>
      <c r="X3374" t="s">
        <v>244</v>
      </c>
      <c r="Y3374" t="s">
        <v>245</v>
      </c>
    </row>
    <row r="3375" spans="1:25" x14ac:dyDescent="0.3">
      <c r="A3375" s="22" t="s">
        <v>67</v>
      </c>
      <c r="B3375">
        <v>130</v>
      </c>
      <c r="C3375" t="s">
        <v>64</v>
      </c>
      <c r="D3375">
        <v>130</v>
      </c>
      <c r="E3375" s="8">
        <v>3.0800000000000001E-2</v>
      </c>
      <c r="F3375" s="8">
        <v>7.7000000000000002E-3</v>
      </c>
      <c r="G3375" s="8">
        <v>9.2299999999999993E-2</v>
      </c>
      <c r="H3375" s="8">
        <v>0.3231</v>
      </c>
      <c r="I3375" s="8">
        <v>7.7000000000000002E-3</v>
      </c>
      <c r="J3375" s="8">
        <v>0.13850000000000001</v>
      </c>
      <c r="K3375" s="8">
        <v>1.54E-2</v>
      </c>
      <c r="L3375" s="8">
        <v>6.9199999999999998E-2</v>
      </c>
      <c r="M3375" s="8">
        <v>0.44619999999999999</v>
      </c>
      <c r="N3375" s="8">
        <v>0.4</v>
      </c>
      <c r="O3375" s="8">
        <v>8.4599999999999995E-2</v>
      </c>
      <c r="P3375" s="8">
        <v>0.53849999999999998</v>
      </c>
      <c r="Q3375" s="8">
        <v>0.1769</v>
      </c>
      <c r="R3375" s="8">
        <v>0.13850000000000001</v>
      </c>
      <c r="S3375" s="8">
        <v>0.1615</v>
      </c>
      <c r="T3375" s="8">
        <v>5.3800000000000001E-2</v>
      </c>
      <c r="U3375" s="8">
        <v>6.1499999999999999E-2</v>
      </c>
      <c r="V3375" s="8">
        <v>3.0800000000000001E-2</v>
      </c>
      <c r="W3375" s="8">
        <v>0.1</v>
      </c>
      <c r="X3375" s="8">
        <v>0.56920000000000004</v>
      </c>
      <c r="Y3375" s="8">
        <v>4.6199999999999998E-2</v>
      </c>
    </row>
    <row r="3377" spans="1:25" ht="57.6" x14ac:dyDescent="0.3">
      <c r="A3377" s="22" t="s">
        <v>811</v>
      </c>
    </row>
    <row r="3378" spans="1:25" x14ac:dyDescent="0.3">
      <c r="A3378" s="22" t="s">
        <v>66</v>
      </c>
      <c r="B3378" t="s">
        <v>62</v>
      </c>
      <c r="C3378" t="s">
        <v>57</v>
      </c>
      <c r="D3378" t="s">
        <v>63</v>
      </c>
      <c r="E3378" t="s">
        <v>226</v>
      </c>
      <c r="F3378" t="s">
        <v>227</v>
      </c>
      <c r="G3378" t="s">
        <v>228</v>
      </c>
      <c r="H3378" t="s">
        <v>229</v>
      </c>
      <c r="I3378" t="s">
        <v>154</v>
      </c>
      <c r="J3378" t="s">
        <v>230</v>
      </c>
      <c r="K3378" t="s">
        <v>231</v>
      </c>
      <c r="L3378" t="s">
        <v>232</v>
      </c>
      <c r="M3378" t="s">
        <v>233</v>
      </c>
      <c r="N3378" t="s">
        <v>234</v>
      </c>
      <c r="O3378" t="s">
        <v>235</v>
      </c>
      <c r="P3378" t="s">
        <v>236</v>
      </c>
      <c r="Q3378" t="s">
        <v>237</v>
      </c>
      <c r="R3378" t="s">
        <v>136</v>
      </c>
      <c r="S3378" t="s">
        <v>238</v>
      </c>
      <c r="T3378" t="s">
        <v>240</v>
      </c>
      <c r="U3378" t="s">
        <v>241</v>
      </c>
      <c r="V3378" t="s">
        <v>242</v>
      </c>
      <c r="W3378" t="s">
        <v>243</v>
      </c>
      <c r="X3378" t="s">
        <v>244</v>
      </c>
      <c r="Y3378" t="s">
        <v>245</v>
      </c>
    </row>
    <row r="3379" spans="1:25" x14ac:dyDescent="0.3">
      <c r="A3379" s="22" t="s">
        <v>67</v>
      </c>
      <c r="B3379">
        <v>77</v>
      </c>
      <c r="C3379" t="s">
        <v>64</v>
      </c>
      <c r="D3379">
        <v>130</v>
      </c>
      <c r="E3379" s="8">
        <v>5.1900000000000002E-2</v>
      </c>
      <c r="G3379" s="8">
        <v>9.0899999999999995E-2</v>
      </c>
      <c r="H3379" s="8">
        <v>0.35060000000000002</v>
      </c>
      <c r="I3379" s="8">
        <v>1.2999999999999999E-2</v>
      </c>
      <c r="J3379" s="8">
        <v>0.1429</v>
      </c>
      <c r="K3379" s="8">
        <v>1.2999999999999999E-2</v>
      </c>
      <c r="L3379" s="8">
        <v>6.4899999999999999E-2</v>
      </c>
      <c r="M3379" s="8">
        <v>0.41560000000000002</v>
      </c>
      <c r="N3379" s="8">
        <v>0.36359999999999998</v>
      </c>
      <c r="O3379" s="8">
        <v>7.7899999999999997E-2</v>
      </c>
      <c r="P3379" s="8">
        <v>0.55840000000000001</v>
      </c>
      <c r="Q3379" s="8">
        <v>0.20780000000000001</v>
      </c>
      <c r="R3379" s="8">
        <v>0.12989999999999999</v>
      </c>
      <c r="S3379" s="8">
        <v>0.12989999999999999</v>
      </c>
      <c r="T3379" s="8">
        <v>1.2999999999999999E-2</v>
      </c>
      <c r="U3379" s="8">
        <v>7.7899999999999997E-2</v>
      </c>
      <c r="V3379" s="8">
        <v>3.9E-2</v>
      </c>
      <c r="W3379" s="8">
        <v>0.10390000000000001</v>
      </c>
      <c r="X3379" s="8">
        <v>0.55840000000000001</v>
      </c>
      <c r="Y3379" s="8">
        <v>2.5999999999999999E-2</v>
      </c>
    </row>
    <row r="3380" spans="1:25" x14ac:dyDescent="0.3">
      <c r="A3380" s="22" t="s">
        <v>68</v>
      </c>
      <c r="B3380">
        <v>53</v>
      </c>
      <c r="C3380" t="s">
        <v>64</v>
      </c>
      <c r="D3380">
        <v>130</v>
      </c>
      <c r="F3380" s="8">
        <v>1.89E-2</v>
      </c>
      <c r="G3380" s="8">
        <v>9.4299999999999995E-2</v>
      </c>
      <c r="H3380" s="8">
        <v>0.28299999999999997</v>
      </c>
      <c r="J3380" s="8">
        <v>0.1321</v>
      </c>
      <c r="K3380" s="8">
        <v>1.89E-2</v>
      </c>
      <c r="L3380" s="8">
        <v>7.5499999999999998E-2</v>
      </c>
      <c r="M3380" s="8">
        <v>0.49059999999999998</v>
      </c>
      <c r="N3380" s="8">
        <v>0.45279999999999998</v>
      </c>
      <c r="O3380" s="8">
        <v>9.4299999999999995E-2</v>
      </c>
      <c r="P3380" s="8">
        <v>0.50939999999999996</v>
      </c>
      <c r="Q3380" s="8">
        <v>0.1321</v>
      </c>
      <c r="R3380" s="8">
        <v>0.15090000000000001</v>
      </c>
      <c r="S3380" s="8">
        <v>0.20749999999999999</v>
      </c>
      <c r="T3380" s="8">
        <v>0.1132</v>
      </c>
      <c r="U3380" s="8">
        <v>3.7699999999999997E-2</v>
      </c>
      <c r="V3380" s="8">
        <v>1.89E-2</v>
      </c>
      <c r="W3380" s="8">
        <v>9.4299999999999995E-2</v>
      </c>
      <c r="X3380" s="8">
        <v>0.58489999999999998</v>
      </c>
      <c r="Y3380" s="8">
        <v>7.5499999999999998E-2</v>
      </c>
    </row>
    <row r="3382" spans="1:25" ht="57.6" x14ac:dyDescent="0.3">
      <c r="A3382" s="22" t="s">
        <v>812</v>
      </c>
    </row>
    <row r="3383" spans="1:25" x14ac:dyDescent="0.3">
      <c r="A3383" s="22" t="s">
        <v>66</v>
      </c>
      <c r="B3383" t="s">
        <v>62</v>
      </c>
      <c r="C3383" t="s">
        <v>57</v>
      </c>
      <c r="D3383" t="s">
        <v>63</v>
      </c>
      <c r="E3383" t="s">
        <v>226</v>
      </c>
      <c r="F3383" t="s">
        <v>227</v>
      </c>
      <c r="G3383" t="s">
        <v>228</v>
      </c>
      <c r="H3383" t="s">
        <v>229</v>
      </c>
      <c r="I3383" t="s">
        <v>154</v>
      </c>
      <c r="J3383" t="s">
        <v>230</v>
      </c>
      <c r="K3383" t="s">
        <v>231</v>
      </c>
      <c r="L3383" t="s">
        <v>232</v>
      </c>
      <c r="M3383" t="s">
        <v>233</v>
      </c>
      <c r="N3383" t="s">
        <v>234</v>
      </c>
      <c r="O3383" t="s">
        <v>235</v>
      </c>
      <c r="P3383" t="s">
        <v>236</v>
      </c>
      <c r="Q3383" t="s">
        <v>237</v>
      </c>
      <c r="R3383" t="s">
        <v>136</v>
      </c>
      <c r="S3383" t="s">
        <v>238</v>
      </c>
      <c r="T3383" t="s">
        <v>240</v>
      </c>
      <c r="U3383" t="s">
        <v>241</v>
      </c>
      <c r="V3383" t="s">
        <v>242</v>
      </c>
      <c r="W3383" t="s">
        <v>243</v>
      </c>
      <c r="X3383" t="s">
        <v>244</v>
      </c>
      <c r="Y3383" t="s">
        <v>245</v>
      </c>
    </row>
    <row r="3384" spans="1:25" x14ac:dyDescent="0.3">
      <c r="A3384" s="22" t="s">
        <v>67</v>
      </c>
      <c r="B3384">
        <v>114</v>
      </c>
      <c r="C3384" t="s">
        <v>64</v>
      </c>
      <c r="D3384">
        <v>130</v>
      </c>
      <c r="E3384" s="8">
        <v>2.63E-2</v>
      </c>
      <c r="F3384" s="8">
        <v>8.8000000000000005E-3</v>
      </c>
      <c r="G3384" s="8">
        <v>9.6500000000000002E-2</v>
      </c>
      <c r="H3384" s="8">
        <v>0.35089999999999999</v>
      </c>
      <c r="I3384" s="8">
        <v>8.8000000000000005E-3</v>
      </c>
      <c r="J3384" s="8">
        <v>0.1404</v>
      </c>
      <c r="K3384" s="8">
        <v>1.7500000000000002E-2</v>
      </c>
      <c r="L3384" s="8">
        <v>6.1400000000000003E-2</v>
      </c>
      <c r="M3384" s="8">
        <v>0.42980000000000002</v>
      </c>
      <c r="N3384" s="8">
        <v>0.40350000000000003</v>
      </c>
      <c r="O3384" s="8">
        <v>8.77E-2</v>
      </c>
      <c r="P3384" s="8">
        <v>0.54390000000000005</v>
      </c>
      <c r="Q3384" s="8">
        <v>0.1754</v>
      </c>
      <c r="R3384" s="8">
        <v>0.1404</v>
      </c>
      <c r="S3384" s="8">
        <v>0.15790000000000001</v>
      </c>
      <c r="T3384" s="8">
        <v>6.1400000000000003E-2</v>
      </c>
      <c r="U3384" s="8">
        <v>7.0199999999999999E-2</v>
      </c>
      <c r="V3384" s="8">
        <v>2.63E-2</v>
      </c>
      <c r="W3384" s="8">
        <v>0.114</v>
      </c>
      <c r="X3384" s="8">
        <v>0.57020000000000004</v>
      </c>
      <c r="Y3384" s="8">
        <v>4.3900000000000002E-2</v>
      </c>
    </row>
    <row r="3385" spans="1:25" x14ac:dyDescent="0.3">
      <c r="A3385" s="22" t="s">
        <v>68</v>
      </c>
      <c r="B3385">
        <v>16</v>
      </c>
      <c r="C3385" t="s">
        <v>64</v>
      </c>
      <c r="D3385">
        <v>130</v>
      </c>
      <c r="E3385" s="8">
        <v>6.25E-2</v>
      </c>
      <c r="G3385" s="8">
        <v>6.25E-2</v>
      </c>
      <c r="H3385" s="8">
        <v>0.125</v>
      </c>
      <c r="J3385" s="8">
        <v>0.125</v>
      </c>
      <c r="L3385" s="8">
        <v>0.125</v>
      </c>
      <c r="M3385" s="8">
        <v>0.5625</v>
      </c>
      <c r="N3385" s="8">
        <v>0.375</v>
      </c>
      <c r="O3385" s="8">
        <v>6.25E-2</v>
      </c>
      <c r="P3385" s="8">
        <v>0.5</v>
      </c>
      <c r="Q3385" s="8">
        <v>0.1875</v>
      </c>
      <c r="R3385" s="8">
        <v>0.125</v>
      </c>
      <c r="S3385" s="8">
        <v>0.1875</v>
      </c>
      <c r="V3385" s="8">
        <v>6.25E-2</v>
      </c>
      <c r="X3385" s="8">
        <v>0.5625</v>
      </c>
      <c r="Y3385" s="8">
        <v>6.25E-2</v>
      </c>
    </row>
    <row r="3387" spans="1:25" ht="43.2" x14ac:dyDescent="0.3">
      <c r="A3387" s="22" t="s">
        <v>813</v>
      </c>
    </row>
    <row r="3388" spans="1:25" x14ac:dyDescent="0.3">
      <c r="A3388" s="22" t="s">
        <v>66</v>
      </c>
      <c r="B3388" t="s">
        <v>62</v>
      </c>
      <c r="C3388" t="s">
        <v>57</v>
      </c>
      <c r="D3388" t="s">
        <v>63</v>
      </c>
      <c r="E3388" t="s">
        <v>226</v>
      </c>
      <c r="F3388" t="s">
        <v>227</v>
      </c>
      <c r="G3388" t="s">
        <v>228</v>
      </c>
      <c r="H3388" t="s">
        <v>229</v>
      </c>
      <c r="I3388" t="s">
        <v>154</v>
      </c>
      <c r="J3388" t="s">
        <v>230</v>
      </c>
      <c r="K3388" t="s">
        <v>231</v>
      </c>
      <c r="L3388" t="s">
        <v>232</v>
      </c>
      <c r="M3388" t="s">
        <v>233</v>
      </c>
      <c r="N3388" t="s">
        <v>234</v>
      </c>
      <c r="O3388" t="s">
        <v>235</v>
      </c>
      <c r="P3388" t="s">
        <v>236</v>
      </c>
      <c r="Q3388" t="s">
        <v>237</v>
      </c>
      <c r="R3388" t="s">
        <v>136</v>
      </c>
      <c r="S3388" t="s">
        <v>238</v>
      </c>
      <c r="T3388" t="s">
        <v>240</v>
      </c>
      <c r="U3388" t="s">
        <v>241</v>
      </c>
      <c r="V3388" t="s">
        <v>242</v>
      </c>
      <c r="W3388" t="s">
        <v>243</v>
      </c>
      <c r="X3388" t="s">
        <v>244</v>
      </c>
      <c r="Y3388" t="s">
        <v>245</v>
      </c>
    </row>
    <row r="3389" spans="1:25" x14ac:dyDescent="0.3">
      <c r="A3389" s="22" t="s">
        <v>81</v>
      </c>
      <c r="B3389">
        <v>32</v>
      </c>
      <c r="C3389" t="s">
        <v>64</v>
      </c>
      <c r="D3389">
        <v>130</v>
      </c>
      <c r="E3389" s="8">
        <v>3.1199999999999999E-2</v>
      </c>
      <c r="G3389" s="8">
        <v>3.1199999999999999E-2</v>
      </c>
      <c r="H3389" s="8">
        <v>0.28120000000000001</v>
      </c>
      <c r="I3389" s="8">
        <v>3.1199999999999999E-2</v>
      </c>
      <c r="J3389" s="8">
        <v>0.15620000000000001</v>
      </c>
      <c r="K3389" s="8">
        <v>3.1199999999999999E-2</v>
      </c>
      <c r="L3389" s="8">
        <v>6.25E-2</v>
      </c>
      <c r="M3389" s="8">
        <v>0.375</v>
      </c>
      <c r="N3389" s="8">
        <v>0.375</v>
      </c>
      <c r="O3389" s="8">
        <v>0.15620000000000001</v>
      </c>
      <c r="P3389" s="8">
        <v>0.65620000000000001</v>
      </c>
      <c r="Q3389" s="8">
        <v>0.125</v>
      </c>
      <c r="R3389" s="8">
        <v>0.15620000000000001</v>
      </c>
      <c r="S3389" s="8">
        <v>0.125</v>
      </c>
      <c r="T3389" s="8">
        <v>3.1199999999999999E-2</v>
      </c>
      <c r="U3389" s="8">
        <v>0.125</v>
      </c>
      <c r="V3389" s="8">
        <v>6.25E-2</v>
      </c>
      <c r="W3389" s="8">
        <v>0.125</v>
      </c>
      <c r="X3389" s="8">
        <v>0.4375</v>
      </c>
      <c r="Y3389" s="8">
        <v>9.3799999999999994E-2</v>
      </c>
    </row>
    <row r="3390" spans="1:25" x14ac:dyDescent="0.3">
      <c r="A3390" s="22" t="s">
        <v>82</v>
      </c>
      <c r="B3390">
        <v>34</v>
      </c>
      <c r="C3390" t="s">
        <v>64</v>
      </c>
      <c r="D3390">
        <v>130</v>
      </c>
      <c r="G3390" s="8">
        <v>0.2059</v>
      </c>
      <c r="H3390" s="8">
        <v>0.38240000000000002</v>
      </c>
      <c r="J3390" s="8">
        <v>0.17649999999999999</v>
      </c>
      <c r="L3390" s="8">
        <v>8.8200000000000001E-2</v>
      </c>
      <c r="M3390" s="8">
        <v>0.44119999999999998</v>
      </c>
      <c r="N3390" s="8">
        <v>0.35289999999999999</v>
      </c>
      <c r="O3390" s="8">
        <v>2.9399999999999999E-2</v>
      </c>
      <c r="P3390" s="8">
        <v>0.47060000000000002</v>
      </c>
      <c r="Q3390" s="8">
        <v>0.2059</v>
      </c>
      <c r="R3390" s="8">
        <v>8.8200000000000001E-2</v>
      </c>
      <c r="S3390" s="8">
        <v>0.23530000000000001</v>
      </c>
      <c r="T3390" s="8">
        <v>2.9399999999999999E-2</v>
      </c>
      <c r="U3390" s="8">
        <v>5.8799999999999998E-2</v>
      </c>
      <c r="V3390" s="8">
        <v>2.9399999999999999E-2</v>
      </c>
      <c r="W3390" s="8">
        <v>5.8799999999999998E-2</v>
      </c>
      <c r="X3390" s="8">
        <v>0.61760000000000004</v>
      </c>
    </row>
    <row r="3391" spans="1:25" x14ac:dyDescent="0.3">
      <c r="A3391" s="22" t="s">
        <v>83</v>
      </c>
      <c r="B3391">
        <v>33</v>
      </c>
      <c r="C3391" t="s">
        <v>64</v>
      </c>
      <c r="D3391">
        <v>130</v>
      </c>
      <c r="E3391" s="8">
        <v>6.0600000000000001E-2</v>
      </c>
      <c r="F3391" s="8">
        <v>3.0300000000000001E-2</v>
      </c>
      <c r="G3391" s="8">
        <v>9.0899999999999995E-2</v>
      </c>
      <c r="H3391" s="8">
        <v>0.30299999999999999</v>
      </c>
      <c r="J3391" s="8">
        <v>9.0899999999999995E-2</v>
      </c>
      <c r="K3391" s="8">
        <v>3.0300000000000001E-2</v>
      </c>
      <c r="L3391" s="8">
        <v>3.0300000000000001E-2</v>
      </c>
      <c r="M3391" s="8">
        <v>0.39389999999999997</v>
      </c>
      <c r="N3391" s="8">
        <v>0.51519999999999999</v>
      </c>
      <c r="O3391" s="8">
        <v>9.0899999999999995E-2</v>
      </c>
      <c r="P3391" s="8">
        <v>0.45450000000000002</v>
      </c>
      <c r="Q3391" s="8">
        <v>0.1515</v>
      </c>
      <c r="R3391" s="8">
        <v>0.18179999999999999</v>
      </c>
      <c r="S3391" s="8">
        <v>0.1212</v>
      </c>
      <c r="T3391" s="8">
        <v>9.0899999999999995E-2</v>
      </c>
      <c r="U3391" s="8">
        <v>3.0300000000000001E-2</v>
      </c>
      <c r="W3391" s="8">
        <v>0.1212</v>
      </c>
      <c r="X3391" s="8">
        <v>0.57579999999999998</v>
      </c>
    </row>
    <row r="3392" spans="1:25" x14ac:dyDescent="0.3">
      <c r="A3392" s="22" t="s">
        <v>84</v>
      </c>
      <c r="B3392">
        <v>31</v>
      </c>
      <c r="C3392" t="s">
        <v>64</v>
      </c>
      <c r="D3392">
        <v>130</v>
      </c>
      <c r="E3392" s="8">
        <v>3.2300000000000002E-2</v>
      </c>
      <c r="G3392" s="8">
        <v>3.2300000000000002E-2</v>
      </c>
      <c r="H3392" s="8">
        <v>0.3226</v>
      </c>
      <c r="J3392" s="8">
        <v>0.129</v>
      </c>
      <c r="L3392" s="8">
        <v>9.6799999999999997E-2</v>
      </c>
      <c r="M3392" s="8">
        <v>0.5806</v>
      </c>
      <c r="N3392" s="8">
        <v>0.3548</v>
      </c>
      <c r="O3392" s="8">
        <v>6.4500000000000002E-2</v>
      </c>
      <c r="P3392" s="8">
        <v>0.5806</v>
      </c>
      <c r="Q3392" s="8">
        <v>0.2258</v>
      </c>
      <c r="R3392" s="8">
        <v>0.129</v>
      </c>
      <c r="S3392" s="8">
        <v>0.1613</v>
      </c>
      <c r="T3392" s="8">
        <v>6.4500000000000002E-2</v>
      </c>
      <c r="U3392" s="8">
        <v>3.2300000000000002E-2</v>
      </c>
      <c r="V3392" s="8">
        <v>3.2300000000000002E-2</v>
      </c>
      <c r="W3392" s="8">
        <v>9.6799999999999997E-2</v>
      </c>
      <c r="X3392" s="8">
        <v>0.6452</v>
      </c>
      <c r="Y3392" s="8">
        <v>9.6799999999999997E-2</v>
      </c>
    </row>
    <row r="3394" spans="1:7" ht="28.8" x14ac:dyDescent="0.3">
      <c r="A3394" s="27" t="s">
        <v>814</v>
      </c>
    </row>
    <row r="3395" spans="1:7" x14ac:dyDescent="0.3">
      <c r="A3395" s="22" t="s">
        <v>62</v>
      </c>
      <c r="B3395" t="s">
        <v>57</v>
      </c>
      <c r="C3395" t="s">
        <v>63</v>
      </c>
      <c r="D3395" t="s">
        <v>815</v>
      </c>
      <c r="E3395" t="s">
        <v>816</v>
      </c>
      <c r="F3395" t="s">
        <v>817</v>
      </c>
    </row>
    <row r="3396" spans="1:7" x14ac:dyDescent="0.3">
      <c r="A3396" s="22">
        <v>18</v>
      </c>
      <c r="B3396" t="s">
        <v>64</v>
      </c>
      <c r="C3396">
        <v>18</v>
      </c>
      <c r="D3396" s="8">
        <v>0.55559999999999998</v>
      </c>
      <c r="E3396" s="8">
        <v>0.22220000000000001</v>
      </c>
      <c r="F3396" s="8">
        <v>0.22220000000000001</v>
      </c>
    </row>
    <row r="3398" spans="1:7" ht="57.6" x14ac:dyDescent="0.3">
      <c r="A3398" s="22" t="s">
        <v>818</v>
      </c>
    </row>
    <row r="3399" spans="1:7" x14ac:dyDescent="0.3">
      <c r="A3399" s="22" t="s">
        <v>66</v>
      </c>
      <c r="B3399" t="s">
        <v>62</v>
      </c>
      <c r="C3399" t="s">
        <v>57</v>
      </c>
      <c r="D3399" t="s">
        <v>63</v>
      </c>
      <c r="E3399" t="s">
        <v>815</v>
      </c>
      <c r="F3399" t="s">
        <v>816</v>
      </c>
      <c r="G3399" t="s">
        <v>817</v>
      </c>
    </row>
    <row r="3400" spans="1:7" x14ac:dyDescent="0.3">
      <c r="A3400" s="22" t="s">
        <v>67</v>
      </c>
      <c r="B3400">
        <v>17</v>
      </c>
      <c r="C3400" t="s">
        <v>64</v>
      </c>
      <c r="D3400">
        <v>18</v>
      </c>
      <c r="E3400" s="8">
        <v>0.52939999999999998</v>
      </c>
      <c r="F3400" s="8">
        <v>0.23530000000000001</v>
      </c>
      <c r="G3400" s="8">
        <v>0.23530000000000001</v>
      </c>
    </row>
    <row r="3401" spans="1:7" x14ac:dyDescent="0.3">
      <c r="A3401" s="22" t="s">
        <v>68</v>
      </c>
      <c r="B3401">
        <v>1</v>
      </c>
      <c r="C3401" t="s">
        <v>64</v>
      </c>
      <c r="D3401">
        <v>18</v>
      </c>
      <c r="E3401" s="8">
        <v>1</v>
      </c>
    </row>
    <row r="3403" spans="1:7" x14ac:dyDescent="0.3">
      <c r="A3403"/>
    </row>
    <row r="3404" spans="1:7" x14ac:dyDescent="0.3">
      <c r="A3404"/>
    </row>
    <row r="3405" spans="1:7" x14ac:dyDescent="0.3">
      <c r="A3405"/>
    </row>
    <row r="3406" spans="1:7" x14ac:dyDescent="0.3">
      <c r="A3406"/>
    </row>
    <row r="3407" spans="1:7" ht="57.6" x14ac:dyDescent="0.3">
      <c r="A3407" s="22" t="s">
        <v>819</v>
      </c>
    </row>
    <row r="3408" spans="1:7" x14ac:dyDescent="0.3">
      <c r="A3408" s="22" t="s">
        <v>66</v>
      </c>
      <c r="B3408" t="s">
        <v>62</v>
      </c>
      <c r="C3408" t="s">
        <v>57</v>
      </c>
      <c r="D3408" t="s">
        <v>63</v>
      </c>
      <c r="E3408" t="s">
        <v>815</v>
      </c>
      <c r="F3408" t="s">
        <v>816</v>
      </c>
      <c r="G3408" t="s">
        <v>817</v>
      </c>
    </row>
    <row r="3409" spans="1:7" x14ac:dyDescent="0.3">
      <c r="A3409" s="22" t="s">
        <v>67</v>
      </c>
      <c r="B3409">
        <v>18</v>
      </c>
      <c r="C3409" t="s">
        <v>64</v>
      </c>
      <c r="D3409">
        <v>18</v>
      </c>
      <c r="E3409" s="8">
        <v>0.55559999999999998</v>
      </c>
      <c r="F3409" s="8">
        <v>0.22220000000000001</v>
      </c>
      <c r="G3409" s="8">
        <v>0.22220000000000001</v>
      </c>
    </row>
    <row r="3411" spans="1:7" ht="43.2" x14ac:dyDescent="0.3">
      <c r="A3411" s="22" t="s">
        <v>820</v>
      </c>
    </row>
    <row r="3412" spans="1:7" x14ac:dyDescent="0.3">
      <c r="A3412" s="22" t="s">
        <v>66</v>
      </c>
      <c r="B3412" t="s">
        <v>62</v>
      </c>
      <c r="C3412" t="s">
        <v>57</v>
      </c>
      <c r="D3412" t="s">
        <v>63</v>
      </c>
      <c r="E3412" t="s">
        <v>815</v>
      </c>
      <c r="F3412" t="s">
        <v>816</v>
      </c>
      <c r="G3412" t="s">
        <v>817</v>
      </c>
    </row>
    <row r="3413" spans="1:7" x14ac:dyDescent="0.3">
      <c r="A3413" s="22" t="s">
        <v>67</v>
      </c>
      <c r="B3413">
        <v>18</v>
      </c>
      <c r="C3413" t="s">
        <v>64</v>
      </c>
      <c r="D3413">
        <v>18</v>
      </c>
      <c r="E3413" s="8">
        <v>0.55559999999999998</v>
      </c>
      <c r="F3413" s="8">
        <v>0.22220000000000001</v>
      </c>
      <c r="G3413" s="8">
        <v>0.22220000000000001</v>
      </c>
    </row>
    <row r="3415" spans="1:7" ht="57.6" x14ac:dyDescent="0.3">
      <c r="A3415" s="22" t="s">
        <v>821</v>
      </c>
    </row>
    <row r="3416" spans="1:7" x14ac:dyDescent="0.3">
      <c r="A3416" s="22" t="s">
        <v>66</v>
      </c>
      <c r="B3416" t="s">
        <v>62</v>
      </c>
      <c r="C3416" t="s">
        <v>57</v>
      </c>
      <c r="D3416" t="s">
        <v>63</v>
      </c>
      <c r="E3416" t="s">
        <v>815</v>
      </c>
      <c r="F3416" t="s">
        <v>816</v>
      </c>
      <c r="G3416" t="s">
        <v>817</v>
      </c>
    </row>
    <row r="3417" spans="1:7" x14ac:dyDescent="0.3">
      <c r="A3417" s="22" t="s">
        <v>67</v>
      </c>
      <c r="B3417">
        <v>17</v>
      </c>
      <c r="C3417" t="s">
        <v>64</v>
      </c>
      <c r="D3417">
        <v>18</v>
      </c>
      <c r="E3417" s="8">
        <v>0.58819999999999995</v>
      </c>
      <c r="F3417" s="8">
        <v>0.23530000000000001</v>
      </c>
      <c r="G3417" s="8">
        <v>0.17649999999999999</v>
      </c>
    </row>
    <row r="3418" spans="1:7" x14ac:dyDescent="0.3">
      <c r="A3418" s="22" t="s">
        <v>68</v>
      </c>
      <c r="B3418">
        <v>1</v>
      </c>
      <c r="C3418" t="s">
        <v>64</v>
      </c>
      <c r="D3418">
        <v>18</v>
      </c>
      <c r="G3418" s="8">
        <v>1</v>
      </c>
    </row>
    <row r="3420" spans="1:7" ht="57.6" x14ac:dyDescent="0.3">
      <c r="A3420" s="22" t="s">
        <v>822</v>
      </c>
    </row>
    <row r="3421" spans="1:7" x14ac:dyDescent="0.3">
      <c r="A3421" s="22" t="s">
        <v>66</v>
      </c>
      <c r="B3421" t="s">
        <v>62</v>
      </c>
      <c r="C3421" t="s">
        <v>57</v>
      </c>
      <c r="D3421" t="s">
        <v>63</v>
      </c>
      <c r="E3421" t="s">
        <v>815</v>
      </c>
      <c r="F3421" t="s">
        <v>816</v>
      </c>
      <c r="G3421" t="s">
        <v>817</v>
      </c>
    </row>
    <row r="3422" spans="1:7" x14ac:dyDescent="0.3">
      <c r="A3422" s="22" t="s">
        <v>67</v>
      </c>
      <c r="B3422">
        <v>1</v>
      </c>
      <c r="C3422" t="s">
        <v>64</v>
      </c>
      <c r="D3422">
        <v>18</v>
      </c>
      <c r="E3422" s="8">
        <v>1</v>
      </c>
    </row>
    <row r="3423" spans="1:7" x14ac:dyDescent="0.3">
      <c r="A3423" s="22" t="s">
        <v>68</v>
      </c>
      <c r="B3423">
        <v>17</v>
      </c>
      <c r="C3423" t="s">
        <v>64</v>
      </c>
      <c r="D3423">
        <v>18</v>
      </c>
      <c r="E3423" s="8">
        <v>0.52939999999999998</v>
      </c>
      <c r="F3423" s="8">
        <v>0.23530000000000001</v>
      </c>
      <c r="G3423" s="8">
        <v>0.23530000000000001</v>
      </c>
    </row>
    <row r="3425" spans="1:7" ht="57.6" x14ac:dyDescent="0.3">
      <c r="A3425" s="22" t="s">
        <v>823</v>
      </c>
    </row>
    <row r="3426" spans="1:7" x14ac:dyDescent="0.3">
      <c r="A3426" s="22" t="s">
        <v>66</v>
      </c>
      <c r="B3426" t="s">
        <v>62</v>
      </c>
      <c r="C3426" t="s">
        <v>57</v>
      </c>
      <c r="D3426" t="s">
        <v>63</v>
      </c>
      <c r="E3426" t="s">
        <v>815</v>
      </c>
      <c r="F3426" t="s">
        <v>816</v>
      </c>
      <c r="G3426" t="s">
        <v>817</v>
      </c>
    </row>
    <row r="3427" spans="1:7" x14ac:dyDescent="0.3">
      <c r="A3427" s="22" t="s">
        <v>67</v>
      </c>
      <c r="B3427">
        <v>13</v>
      </c>
      <c r="C3427" t="s">
        <v>64</v>
      </c>
      <c r="D3427">
        <v>18</v>
      </c>
      <c r="E3427" s="8">
        <v>0.46150000000000002</v>
      </c>
      <c r="F3427" s="8">
        <v>0.30769999999999997</v>
      </c>
      <c r="G3427" s="8">
        <v>0.23080000000000001</v>
      </c>
    </row>
    <row r="3428" spans="1:7" x14ac:dyDescent="0.3">
      <c r="A3428" s="22" t="s">
        <v>68</v>
      </c>
      <c r="B3428">
        <v>5</v>
      </c>
      <c r="C3428" t="s">
        <v>64</v>
      </c>
      <c r="D3428">
        <v>18</v>
      </c>
      <c r="E3428" s="8">
        <v>0.8</v>
      </c>
      <c r="G3428" s="8">
        <v>0.2</v>
      </c>
    </row>
    <row r="3430" spans="1:7" ht="43.2" x14ac:dyDescent="0.3">
      <c r="A3430" s="22" t="s">
        <v>824</v>
      </c>
    </row>
    <row r="3431" spans="1:7" x14ac:dyDescent="0.3">
      <c r="A3431" s="22" t="s">
        <v>66</v>
      </c>
      <c r="B3431" t="s">
        <v>62</v>
      </c>
      <c r="C3431" t="s">
        <v>57</v>
      </c>
      <c r="D3431" t="s">
        <v>63</v>
      </c>
      <c r="E3431" t="s">
        <v>815</v>
      </c>
      <c r="F3431" t="s">
        <v>816</v>
      </c>
      <c r="G3431" t="s">
        <v>817</v>
      </c>
    </row>
    <row r="3432" spans="1:7" x14ac:dyDescent="0.3">
      <c r="A3432" s="22" t="s">
        <v>67</v>
      </c>
      <c r="B3432">
        <v>14</v>
      </c>
      <c r="C3432" t="s">
        <v>64</v>
      </c>
      <c r="D3432">
        <v>18</v>
      </c>
      <c r="E3432" s="8">
        <v>0.64290000000000003</v>
      </c>
      <c r="F3432" s="8">
        <v>0.21429999999999999</v>
      </c>
      <c r="G3432" s="8">
        <v>0.1429</v>
      </c>
    </row>
    <row r="3433" spans="1:7" x14ac:dyDescent="0.3">
      <c r="A3433" s="22" t="s">
        <v>68</v>
      </c>
      <c r="B3433">
        <v>4</v>
      </c>
      <c r="C3433" t="s">
        <v>64</v>
      </c>
      <c r="D3433">
        <v>18</v>
      </c>
      <c r="E3433" s="8">
        <v>0.25</v>
      </c>
      <c r="F3433" s="8">
        <v>0.25</v>
      </c>
      <c r="G3433" s="8">
        <v>0.5</v>
      </c>
    </row>
    <row r="3435" spans="1:7" ht="57.6" x14ac:dyDescent="0.3">
      <c r="A3435" s="22" t="s">
        <v>825</v>
      </c>
    </row>
    <row r="3436" spans="1:7" x14ac:dyDescent="0.3">
      <c r="A3436" s="22" t="s">
        <v>66</v>
      </c>
      <c r="B3436" t="s">
        <v>62</v>
      </c>
      <c r="C3436" t="s">
        <v>57</v>
      </c>
      <c r="D3436" t="s">
        <v>63</v>
      </c>
      <c r="E3436" t="s">
        <v>815</v>
      </c>
      <c r="F3436" t="s">
        <v>816</v>
      </c>
      <c r="G3436" t="s">
        <v>817</v>
      </c>
    </row>
    <row r="3437" spans="1:7" x14ac:dyDescent="0.3">
      <c r="A3437" s="22" t="s">
        <v>67</v>
      </c>
      <c r="B3437">
        <v>14</v>
      </c>
      <c r="C3437" t="s">
        <v>64</v>
      </c>
      <c r="D3437">
        <v>18</v>
      </c>
      <c r="E3437" s="8">
        <v>0.57140000000000002</v>
      </c>
      <c r="F3437" s="8">
        <v>0.1429</v>
      </c>
      <c r="G3437" s="8">
        <v>0.28570000000000001</v>
      </c>
    </row>
    <row r="3438" spans="1:7" x14ac:dyDescent="0.3">
      <c r="A3438" s="22" t="s">
        <v>68</v>
      </c>
      <c r="B3438">
        <v>4</v>
      </c>
      <c r="C3438" t="s">
        <v>64</v>
      </c>
      <c r="D3438">
        <v>18</v>
      </c>
      <c r="E3438" s="8">
        <v>0.5</v>
      </c>
      <c r="F3438" s="8">
        <v>0.5</v>
      </c>
    </row>
    <row r="3440" spans="1:7" ht="57.6" x14ac:dyDescent="0.3">
      <c r="A3440" s="22" t="s">
        <v>826</v>
      </c>
    </row>
    <row r="3441" spans="1:7" x14ac:dyDescent="0.3">
      <c r="A3441" s="22" t="s">
        <v>66</v>
      </c>
      <c r="B3441" t="s">
        <v>62</v>
      </c>
      <c r="C3441" t="s">
        <v>57</v>
      </c>
      <c r="D3441" t="s">
        <v>63</v>
      </c>
      <c r="E3441" t="s">
        <v>815</v>
      </c>
      <c r="F3441" t="s">
        <v>816</v>
      </c>
      <c r="G3441" t="s">
        <v>817</v>
      </c>
    </row>
    <row r="3442" spans="1:7" x14ac:dyDescent="0.3">
      <c r="A3442" s="22" t="s">
        <v>67</v>
      </c>
      <c r="B3442">
        <v>17</v>
      </c>
      <c r="C3442" t="s">
        <v>64</v>
      </c>
      <c r="D3442">
        <v>18</v>
      </c>
      <c r="E3442" s="8">
        <v>0.58819999999999995</v>
      </c>
      <c r="F3442" s="8">
        <v>0.17649999999999999</v>
      </c>
      <c r="G3442" s="8">
        <v>0.23530000000000001</v>
      </c>
    </row>
    <row r="3443" spans="1:7" x14ac:dyDescent="0.3">
      <c r="A3443" s="22" t="s">
        <v>68</v>
      </c>
      <c r="B3443">
        <v>1</v>
      </c>
      <c r="C3443" t="s">
        <v>64</v>
      </c>
      <c r="D3443">
        <v>18</v>
      </c>
      <c r="F3443" s="8">
        <v>1</v>
      </c>
    </row>
    <row r="3445" spans="1:7" ht="57.6" x14ac:dyDescent="0.3">
      <c r="A3445" s="22" t="s">
        <v>827</v>
      </c>
    </row>
    <row r="3446" spans="1:7" x14ac:dyDescent="0.3">
      <c r="A3446" s="22" t="s">
        <v>66</v>
      </c>
      <c r="B3446" t="s">
        <v>62</v>
      </c>
      <c r="C3446" t="s">
        <v>57</v>
      </c>
      <c r="D3446" t="s">
        <v>63</v>
      </c>
      <c r="E3446" t="s">
        <v>815</v>
      </c>
      <c r="F3446" t="s">
        <v>816</v>
      </c>
      <c r="G3446" t="s">
        <v>817</v>
      </c>
    </row>
    <row r="3447" spans="1:7" x14ac:dyDescent="0.3">
      <c r="A3447" s="22" t="s">
        <v>67</v>
      </c>
      <c r="B3447">
        <v>18</v>
      </c>
      <c r="C3447" t="s">
        <v>64</v>
      </c>
      <c r="D3447">
        <v>18</v>
      </c>
      <c r="E3447" s="8">
        <v>0.55559999999999998</v>
      </c>
      <c r="F3447" s="8">
        <v>0.22220000000000001</v>
      </c>
      <c r="G3447" s="8">
        <v>0.22220000000000001</v>
      </c>
    </row>
    <row r="3449" spans="1:7" ht="43.2" x14ac:dyDescent="0.3">
      <c r="A3449" s="22" t="s">
        <v>828</v>
      </c>
    </row>
    <row r="3450" spans="1:7" x14ac:dyDescent="0.3">
      <c r="A3450" s="22" t="s">
        <v>66</v>
      </c>
      <c r="B3450" t="s">
        <v>62</v>
      </c>
      <c r="C3450" t="s">
        <v>57</v>
      </c>
      <c r="D3450" t="s">
        <v>63</v>
      </c>
      <c r="E3450" t="s">
        <v>815</v>
      </c>
      <c r="F3450" t="s">
        <v>816</v>
      </c>
      <c r="G3450" t="s">
        <v>817</v>
      </c>
    </row>
    <row r="3451" spans="1:7" x14ac:dyDescent="0.3">
      <c r="A3451" s="22" t="s">
        <v>67</v>
      </c>
      <c r="B3451">
        <v>10</v>
      </c>
      <c r="C3451" t="s">
        <v>64</v>
      </c>
      <c r="D3451">
        <v>18</v>
      </c>
      <c r="E3451" s="8">
        <v>0.6</v>
      </c>
      <c r="F3451" s="8">
        <v>0.1</v>
      </c>
      <c r="G3451" s="8">
        <v>0.3</v>
      </c>
    </row>
    <row r="3452" spans="1:7" x14ac:dyDescent="0.3">
      <c r="A3452" s="22" t="s">
        <v>68</v>
      </c>
      <c r="B3452">
        <v>8</v>
      </c>
      <c r="C3452" t="s">
        <v>64</v>
      </c>
      <c r="D3452">
        <v>18</v>
      </c>
      <c r="E3452" s="8">
        <v>0.5</v>
      </c>
      <c r="F3452" s="8">
        <v>0.375</v>
      </c>
      <c r="G3452" s="8">
        <v>0.125</v>
      </c>
    </row>
    <row r="3454" spans="1:7" ht="57.6" x14ac:dyDescent="0.3">
      <c r="A3454" s="22" t="s">
        <v>829</v>
      </c>
    </row>
    <row r="3455" spans="1:7" x14ac:dyDescent="0.3">
      <c r="A3455" s="22" t="s">
        <v>66</v>
      </c>
      <c r="B3455" t="s">
        <v>62</v>
      </c>
      <c r="C3455" t="s">
        <v>57</v>
      </c>
      <c r="D3455" t="s">
        <v>63</v>
      </c>
      <c r="E3455" t="s">
        <v>815</v>
      </c>
      <c r="F3455" t="s">
        <v>816</v>
      </c>
      <c r="G3455" t="s">
        <v>817</v>
      </c>
    </row>
    <row r="3456" spans="1:7" x14ac:dyDescent="0.3">
      <c r="A3456" s="22" t="s">
        <v>67</v>
      </c>
      <c r="B3456">
        <v>16</v>
      </c>
      <c r="C3456" t="s">
        <v>64</v>
      </c>
      <c r="D3456">
        <v>18</v>
      </c>
      <c r="E3456" s="8">
        <v>0.5</v>
      </c>
      <c r="F3456" s="8">
        <v>0.25</v>
      </c>
      <c r="G3456" s="8">
        <v>0.25</v>
      </c>
    </row>
    <row r="3457" spans="1:9" x14ac:dyDescent="0.3">
      <c r="A3457" s="22" t="s">
        <v>68</v>
      </c>
      <c r="B3457">
        <v>2</v>
      </c>
      <c r="C3457" t="s">
        <v>64</v>
      </c>
      <c r="D3457">
        <v>18</v>
      </c>
      <c r="E3457" s="8">
        <v>1</v>
      </c>
    </row>
    <row r="3459" spans="1:9" ht="43.2" x14ac:dyDescent="0.3">
      <c r="A3459" s="27" t="s">
        <v>830</v>
      </c>
    </row>
    <row r="3460" spans="1:9" x14ac:dyDescent="0.3">
      <c r="A3460" s="22" t="s">
        <v>66</v>
      </c>
      <c r="B3460" t="s">
        <v>62</v>
      </c>
      <c r="C3460" t="s">
        <v>57</v>
      </c>
      <c r="D3460" t="s">
        <v>63</v>
      </c>
      <c r="E3460" t="s">
        <v>815</v>
      </c>
      <c r="F3460" t="s">
        <v>816</v>
      </c>
      <c r="G3460" t="s">
        <v>817</v>
      </c>
    </row>
    <row r="3461" spans="1:9" x14ac:dyDescent="0.3">
      <c r="A3461" s="22" t="s">
        <v>81</v>
      </c>
      <c r="B3461">
        <v>5</v>
      </c>
      <c r="C3461" t="s">
        <v>64</v>
      </c>
      <c r="D3461">
        <v>18</v>
      </c>
      <c r="E3461" s="8">
        <v>0.4</v>
      </c>
      <c r="F3461" s="8">
        <v>0.2</v>
      </c>
      <c r="G3461" s="8">
        <v>0.4</v>
      </c>
    </row>
    <row r="3462" spans="1:9" x14ac:dyDescent="0.3">
      <c r="A3462" s="22" t="s">
        <v>82</v>
      </c>
      <c r="B3462">
        <v>3</v>
      </c>
      <c r="C3462" t="s">
        <v>64</v>
      </c>
      <c r="D3462">
        <v>18</v>
      </c>
      <c r="E3462" s="8">
        <v>1</v>
      </c>
    </row>
    <row r="3463" spans="1:9" x14ac:dyDescent="0.3">
      <c r="A3463" s="22" t="s">
        <v>83</v>
      </c>
      <c r="B3463">
        <v>6</v>
      </c>
      <c r="C3463" t="s">
        <v>64</v>
      </c>
      <c r="D3463">
        <v>18</v>
      </c>
      <c r="E3463" s="8">
        <v>0.66669999999999996</v>
      </c>
      <c r="F3463" s="8">
        <v>0.16669999999999999</v>
      </c>
      <c r="G3463" s="8">
        <v>0.16669999999999999</v>
      </c>
    </row>
    <row r="3464" spans="1:9" x14ac:dyDescent="0.3">
      <c r="A3464" s="22" t="s">
        <v>84</v>
      </c>
      <c r="B3464">
        <v>4</v>
      </c>
      <c r="C3464" t="s">
        <v>64</v>
      </c>
      <c r="D3464">
        <v>18</v>
      </c>
      <c r="E3464" s="8">
        <v>0.25</v>
      </c>
      <c r="F3464" s="8">
        <v>0.5</v>
      </c>
      <c r="G3464" s="8">
        <v>0.25</v>
      </c>
    </row>
    <row r="3466" spans="1:9" ht="28.8" x14ac:dyDescent="0.3">
      <c r="A3466" s="27" t="s">
        <v>831</v>
      </c>
    </row>
    <row r="3467" spans="1:9" x14ac:dyDescent="0.3">
      <c r="A3467" s="22" t="s">
        <v>62</v>
      </c>
      <c r="B3467" t="s">
        <v>57</v>
      </c>
      <c r="C3467" t="s">
        <v>63</v>
      </c>
      <c r="D3467" t="s">
        <v>832</v>
      </c>
      <c r="E3467" t="s">
        <v>815</v>
      </c>
      <c r="F3467" t="s">
        <v>816</v>
      </c>
      <c r="G3467" t="s">
        <v>817</v>
      </c>
      <c r="H3467" t="s">
        <v>833</v>
      </c>
    </row>
    <row r="3468" spans="1:9" x14ac:dyDescent="0.3">
      <c r="A3468" s="22">
        <v>58</v>
      </c>
      <c r="B3468" t="s">
        <v>64</v>
      </c>
      <c r="C3468">
        <v>58</v>
      </c>
      <c r="D3468" s="8">
        <v>8.6199999999999999E-2</v>
      </c>
      <c r="E3468" s="8">
        <v>0.44829999999999998</v>
      </c>
      <c r="F3468" s="8">
        <v>0.29310000000000003</v>
      </c>
      <c r="G3468" s="8">
        <v>8.6199999999999999E-2</v>
      </c>
      <c r="H3468" s="8">
        <v>8.6199999999999999E-2</v>
      </c>
    </row>
    <row r="3470" spans="1:9" ht="57.6" x14ac:dyDescent="0.3">
      <c r="A3470" s="22" t="s">
        <v>834</v>
      </c>
    </row>
    <row r="3471" spans="1:9" x14ac:dyDescent="0.3">
      <c r="A3471" s="22" t="s">
        <v>66</v>
      </c>
      <c r="B3471" t="s">
        <v>62</v>
      </c>
      <c r="C3471" t="s">
        <v>57</v>
      </c>
      <c r="D3471" t="s">
        <v>63</v>
      </c>
      <c r="E3471" t="s">
        <v>832</v>
      </c>
      <c r="F3471" t="s">
        <v>815</v>
      </c>
      <c r="G3471" t="s">
        <v>816</v>
      </c>
      <c r="H3471" t="s">
        <v>817</v>
      </c>
      <c r="I3471" t="s">
        <v>833</v>
      </c>
    </row>
    <row r="3472" spans="1:9" x14ac:dyDescent="0.3">
      <c r="A3472" s="22" t="s">
        <v>67</v>
      </c>
      <c r="B3472">
        <v>53</v>
      </c>
      <c r="C3472" t="s">
        <v>64</v>
      </c>
      <c r="D3472">
        <v>58</v>
      </c>
      <c r="E3472" s="8">
        <v>9.4299999999999995E-2</v>
      </c>
      <c r="F3472" s="8">
        <v>0.3962</v>
      </c>
      <c r="G3472" s="8">
        <v>0.32079999999999997</v>
      </c>
      <c r="H3472" s="8">
        <v>9.4299999999999995E-2</v>
      </c>
      <c r="I3472" s="8">
        <v>9.4299999999999995E-2</v>
      </c>
    </row>
    <row r="3473" spans="1:9" x14ac:dyDescent="0.3">
      <c r="A3473" s="22" t="s">
        <v>68</v>
      </c>
      <c r="B3473">
        <v>5</v>
      </c>
      <c r="C3473" t="s">
        <v>64</v>
      </c>
      <c r="D3473">
        <v>58</v>
      </c>
      <c r="F3473" s="8">
        <v>1</v>
      </c>
    </row>
    <row r="3475" spans="1:9" x14ac:dyDescent="0.3">
      <c r="A3475"/>
    </row>
    <row r="3476" spans="1:9" x14ac:dyDescent="0.3">
      <c r="A3476"/>
    </row>
    <row r="3477" spans="1:9" x14ac:dyDescent="0.3">
      <c r="A3477"/>
    </row>
    <row r="3479" spans="1:9" ht="57.6" x14ac:dyDescent="0.3">
      <c r="A3479" s="22" t="s">
        <v>835</v>
      </c>
    </row>
    <row r="3480" spans="1:9" x14ac:dyDescent="0.3">
      <c r="A3480" s="22" t="s">
        <v>66</v>
      </c>
      <c r="B3480" t="s">
        <v>62</v>
      </c>
      <c r="C3480" t="s">
        <v>57</v>
      </c>
      <c r="D3480" t="s">
        <v>63</v>
      </c>
      <c r="E3480" t="s">
        <v>832</v>
      </c>
      <c r="F3480" t="s">
        <v>815</v>
      </c>
      <c r="G3480" t="s">
        <v>816</v>
      </c>
      <c r="H3480" t="s">
        <v>817</v>
      </c>
      <c r="I3480" t="s">
        <v>833</v>
      </c>
    </row>
    <row r="3481" spans="1:9" x14ac:dyDescent="0.3">
      <c r="A3481" s="22" t="s">
        <v>67</v>
      </c>
      <c r="B3481">
        <v>55</v>
      </c>
      <c r="C3481" t="s">
        <v>64</v>
      </c>
      <c r="D3481">
        <v>58</v>
      </c>
      <c r="E3481" s="8">
        <v>9.0899999999999995E-2</v>
      </c>
      <c r="F3481" s="8">
        <v>0.43640000000000001</v>
      </c>
      <c r="G3481" s="8">
        <v>0.30909999999999999</v>
      </c>
      <c r="H3481" s="8">
        <v>9.0899999999999995E-2</v>
      </c>
      <c r="I3481" s="8">
        <v>7.2700000000000001E-2</v>
      </c>
    </row>
    <row r="3482" spans="1:9" x14ac:dyDescent="0.3">
      <c r="A3482" s="22" t="s">
        <v>68</v>
      </c>
      <c r="B3482">
        <v>3</v>
      </c>
      <c r="C3482" t="s">
        <v>64</v>
      </c>
      <c r="D3482">
        <v>58</v>
      </c>
      <c r="F3482" s="8">
        <v>0.66669999999999996</v>
      </c>
      <c r="I3482" s="8">
        <v>0.33329999999999999</v>
      </c>
    </row>
    <row r="3484" spans="1:9" ht="43.2" x14ac:dyDescent="0.3">
      <c r="A3484" s="22" t="s">
        <v>836</v>
      </c>
    </row>
    <row r="3485" spans="1:9" x14ac:dyDescent="0.3">
      <c r="A3485" s="22" t="s">
        <v>66</v>
      </c>
      <c r="B3485" t="s">
        <v>62</v>
      </c>
      <c r="C3485" t="s">
        <v>57</v>
      </c>
      <c r="D3485" t="s">
        <v>63</v>
      </c>
      <c r="E3485" t="s">
        <v>832</v>
      </c>
      <c r="F3485" t="s">
        <v>815</v>
      </c>
      <c r="G3485" t="s">
        <v>816</v>
      </c>
      <c r="H3485" t="s">
        <v>817</v>
      </c>
      <c r="I3485" t="s">
        <v>833</v>
      </c>
    </row>
    <row r="3486" spans="1:9" x14ac:dyDescent="0.3">
      <c r="A3486" s="22" t="s">
        <v>67</v>
      </c>
      <c r="B3486">
        <v>58</v>
      </c>
      <c r="C3486" t="s">
        <v>64</v>
      </c>
      <c r="D3486">
        <v>58</v>
      </c>
      <c r="E3486" s="8">
        <v>8.6199999999999999E-2</v>
      </c>
      <c r="F3486" s="8">
        <v>0.44829999999999998</v>
      </c>
      <c r="G3486" s="8">
        <v>0.29310000000000003</v>
      </c>
      <c r="H3486" s="8">
        <v>8.6199999999999999E-2</v>
      </c>
      <c r="I3486" s="8">
        <v>8.6199999999999999E-2</v>
      </c>
    </row>
    <row r="3488" spans="1:9" ht="57.6" x14ac:dyDescent="0.3">
      <c r="A3488" s="22" t="s">
        <v>837</v>
      </c>
    </row>
    <row r="3489" spans="1:9" x14ac:dyDescent="0.3">
      <c r="A3489" s="22" t="s">
        <v>66</v>
      </c>
      <c r="B3489" t="s">
        <v>62</v>
      </c>
      <c r="C3489" t="s">
        <v>57</v>
      </c>
      <c r="D3489" t="s">
        <v>63</v>
      </c>
      <c r="E3489" t="s">
        <v>832</v>
      </c>
      <c r="F3489" t="s">
        <v>815</v>
      </c>
      <c r="G3489" t="s">
        <v>816</v>
      </c>
      <c r="H3489" t="s">
        <v>817</v>
      </c>
      <c r="I3489" t="s">
        <v>833</v>
      </c>
    </row>
    <row r="3490" spans="1:9" x14ac:dyDescent="0.3">
      <c r="A3490" s="22" t="s">
        <v>67</v>
      </c>
      <c r="B3490">
        <v>54</v>
      </c>
      <c r="C3490" t="s">
        <v>64</v>
      </c>
      <c r="D3490">
        <v>58</v>
      </c>
      <c r="E3490" s="8">
        <v>9.2600000000000002E-2</v>
      </c>
      <c r="F3490" s="8">
        <v>0.44440000000000002</v>
      </c>
      <c r="G3490" s="8">
        <v>0.27779999999999999</v>
      </c>
      <c r="H3490" s="8">
        <v>9.2600000000000002E-2</v>
      </c>
      <c r="I3490" s="8">
        <v>9.2600000000000002E-2</v>
      </c>
    </row>
    <row r="3491" spans="1:9" x14ac:dyDescent="0.3">
      <c r="A3491" s="22" t="s">
        <v>68</v>
      </c>
      <c r="B3491">
        <v>4</v>
      </c>
      <c r="C3491" t="s">
        <v>64</v>
      </c>
      <c r="D3491">
        <v>58</v>
      </c>
      <c r="F3491" s="8">
        <v>0.5</v>
      </c>
      <c r="G3491" s="8">
        <v>0.5</v>
      </c>
    </row>
    <row r="3493" spans="1:9" ht="57.6" x14ac:dyDescent="0.3">
      <c r="A3493" s="22" t="s">
        <v>838</v>
      </c>
    </row>
    <row r="3494" spans="1:9" x14ac:dyDescent="0.3">
      <c r="A3494" s="22" t="s">
        <v>66</v>
      </c>
      <c r="B3494" t="s">
        <v>62</v>
      </c>
      <c r="C3494" t="s">
        <v>57</v>
      </c>
      <c r="D3494" t="s">
        <v>63</v>
      </c>
      <c r="E3494" t="s">
        <v>832</v>
      </c>
      <c r="F3494" t="s">
        <v>815</v>
      </c>
      <c r="G3494" t="s">
        <v>816</v>
      </c>
      <c r="H3494" t="s">
        <v>817</v>
      </c>
      <c r="I3494" t="s">
        <v>833</v>
      </c>
    </row>
    <row r="3495" spans="1:9" x14ac:dyDescent="0.3">
      <c r="A3495" s="22" t="s">
        <v>67</v>
      </c>
      <c r="B3495">
        <v>3</v>
      </c>
      <c r="C3495" t="s">
        <v>64</v>
      </c>
      <c r="D3495">
        <v>58</v>
      </c>
      <c r="E3495" s="8">
        <v>0.33329999999999999</v>
      </c>
      <c r="F3495" s="8">
        <v>0.66669999999999996</v>
      </c>
    </row>
    <row r="3496" spans="1:9" x14ac:dyDescent="0.3">
      <c r="A3496" s="22" t="s">
        <v>68</v>
      </c>
      <c r="B3496">
        <v>55</v>
      </c>
      <c r="C3496" t="s">
        <v>64</v>
      </c>
      <c r="D3496">
        <v>58</v>
      </c>
      <c r="E3496" s="8">
        <v>7.2700000000000001E-2</v>
      </c>
      <c r="F3496" s="8">
        <v>0.43640000000000001</v>
      </c>
      <c r="G3496" s="8">
        <v>0.30909999999999999</v>
      </c>
      <c r="H3496" s="8">
        <v>9.0899999999999995E-2</v>
      </c>
      <c r="I3496" s="8">
        <v>9.0899999999999995E-2</v>
      </c>
    </row>
    <row r="3498" spans="1:9" ht="57.6" x14ac:dyDescent="0.3">
      <c r="A3498" s="22" t="s">
        <v>839</v>
      </c>
    </row>
    <row r="3499" spans="1:9" x14ac:dyDescent="0.3">
      <c r="A3499" s="22" t="s">
        <v>66</v>
      </c>
      <c r="B3499" t="s">
        <v>62</v>
      </c>
      <c r="C3499" t="s">
        <v>57</v>
      </c>
      <c r="D3499" t="s">
        <v>63</v>
      </c>
      <c r="E3499" t="s">
        <v>832</v>
      </c>
      <c r="F3499" t="s">
        <v>815</v>
      </c>
      <c r="G3499" t="s">
        <v>816</v>
      </c>
      <c r="H3499" t="s">
        <v>817</v>
      </c>
      <c r="I3499" t="s">
        <v>833</v>
      </c>
    </row>
    <row r="3500" spans="1:9" x14ac:dyDescent="0.3">
      <c r="A3500" s="22" t="s">
        <v>67</v>
      </c>
      <c r="B3500">
        <v>51</v>
      </c>
      <c r="C3500" t="s">
        <v>64</v>
      </c>
      <c r="D3500">
        <v>58</v>
      </c>
      <c r="E3500" s="8">
        <v>9.8000000000000004E-2</v>
      </c>
      <c r="F3500" s="8">
        <v>0.49020000000000002</v>
      </c>
      <c r="G3500" s="8">
        <v>0.23530000000000001</v>
      </c>
      <c r="H3500" s="8">
        <v>9.8000000000000004E-2</v>
      </c>
      <c r="I3500" s="8">
        <v>7.8399999999999997E-2</v>
      </c>
    </row>
    <row r="3501" spans="1:9" x14ac:dyDescent="0.3">
      <c r="A3501" s="22" t="s">
        <v>68</v>
      </c>
      <c r="B3501">
        <v>7</v>
      </c>
      <c r="C3501" t="s">
        <v>64</v>
      </c>
      <c r="D3501">
        <v>58</v>
      </c>
      <c r="F3501" s="8">
        <v>0.1429</v>
      </c>
      <c r="G3501" s="8">
        <v>0.71430000000000005</v>
      </c>
      <c r="I3501" s="8">
        <v>0.1429</v>
      </c>
    </row>
    <row r="3503" spans="1:9" ht="43.2" x14ac:dyDescent="0.3">
      <c r="A3503" s="22" t="s">
        <v>840</v>
      </c>
    </row>
    <row r="3504" spans="1:9" x14ac:dyDescent="0.3">
      <c r="A3504" s="22" t="s">
        <v>66</v>
      </c>
      <c r="B3504" t="s">
        <v>62</v>
      </c>
      <c r="C3504" t="s">
        <v>57</v>
      </c>
      <c r="D3504" t="s">
        <v>63</v>
      </c>
      <c r="E3504" t="s">
        <v>832</v>
      </c>
      <c r="F3504" t="s">
        <v>815</v>
      </c>
      <c r="G3504" t="s">
        <v>816</v>
      </c>
      <c r="H3504" t="s">
        <v>817</v>
      </c>
      <c r="I3504" t="s">
        <v>833</v>
      </c>
    </row>
    <row r="3505" spans="1:9" x14ac:dyDescent="0.3">
      <c r="A3505" s="22" t="s">
        <v>67</v>
      </c>
      <c r="B3505">
        <v>43</v>
      </c>
      <c r="C3505" t="s">
        <v>64</v>
      </c>
      <c r="D3505">
        <v>58</v>
      </c>
      <c r="E3505" s="8">
        <v>4.65E-2</v>
      </c>
      <c r="F3505" s="8">
        <v>0.41860000000000003</v>
      </c>
      <c r="G3505" s="8">
        <v>0.3256</v>
      </c>
      <c r="H3505" s="8">
        <v>0.1163</v>
      </c>
      <c r="I3505" s="8">
        <v>9.2999999999999999E-2</v>
      </c>
    </row>
    <row r="3506" spans="1:9" x14ac:dyDescent="0.3">
      <c r="A3506" s="22" t="s">
        <v>68</v>
      </c>
      <c r="B3506">
        <v>15</v>
      </c>
      <c r="C3506" t="s">
        <v>64</v>
      </c>
      <c r="D3506">
        <v>58</v>
      </c>
      <c r="E3506" s="8">
        <v>0.2</v>
      </c>
      <c r="F3506" s="8">
        <v>0.5333</v>
      </c>
      <c r="G3506" s="8">
        <v>0.2</v>
      </c>
      <c r="I3506" s="8">
        <v>6.6699999999999995E-2</v>
      </c>
    </row>
    <row r="3508" spans="1:9" ht="57.6" x14ac:dyDescent="0.3">
      <c r="A3508" s="22" t="s">
        <v>841</v>
      </c>
    </row>
    <row r="3509" spans="1:9" x14ac:dyDescent="0.3">
      <c r="A3509" s="22" t="s">
        <v>66</v>
      </c>
      <c r="B3509" t="s">
        <v>62</v>
      </c>
      <c r="C3509" t="s">
        <v>57</v>
      </c>
      <c r="D3509" t="s">
        <v>63</v>
      </c>
      <c r="E3509" t="s">
        <v>832</v>
      </c>
      <c r="F3509" t="s">
        <v>815</v>
      </c>
      <c r="G3509" t="s">
        <v>816</v>
      </c>
      <c r="H3509" t="s">
        <v>817</v>
      </c>
      <c r="I3509" t="s">
        <v>833</v>
      </c>
    </row>
    <row r="3510" spans="1:9" x14ac:dyDescent="0.3">
      <c r="A3510" s="22" t="s">
        <v>67</v>
      </c>
      <c r="B3510">
        <v>37</v>
      </c>
      <c r="C3510" t="s">
        <v>64</v>
      </c>
      <c r="D3510">
        <v>58</v>
      </c>
      <c r="E3510" s="8">
        <v>5.4100000000000002E-2</v>
      </c>
      <c r="F3510" s="8">
        <v>0.43240000000000001</v>
      </c>
      <c r="G3510" s="8">
        <v>0.35139999999999999</v>
      </c>
      <c r="H3510" s="8">
        <v>8.1100000000000005E-2</v>
      </c>
      <c r="I3510" s="8">
        <v>8.1100000000000005E-2</v>
      </c>
    </row>
    <row r="3511" spans="1:9" x14ac:dyDescent="0.3">
      <c r="A3511" s="22" t="s">
        <v>68</v>
      </c>
      <c r="B3511">
        <v>21</v>
      </c>
      <c r="C3511" t="s">
        <v>64</v>
      </c>
      <c r="D3511">
        <v>58</v>
      </c>
      <c r="E3511" s="8">
        <v>0.1429</v>
      </c>
      <c r="F3511" s="8">
        <v>0.47620000000000001</v>
      </c>
      <c r="G3511" s="8">
        <v>0.1905</v>
      </c>
      <c r="H3511" s="8">
        <v>9.5200000000000007E-2</v>
      </c>
      <c r="I3511" s="8">
        <v>9.5200000000000007E-2</v>
      </c>
    </row>
    <row r="3513" spans="1:9" ht="57.6" x14ac:dyDescent="0.3">
      <c r="A3513" s="22" t="s">
        <v>842</v>
      </c>
    </row>
    <row r="3514" spans="1:9" x14ac:dyDescent="0.3">
      <c r="A3514" s="22" t="s">
        <v>66</v>
      </c>
      <c r="B3514" t="s">
        <v>62</v>
      </c>
      <c r="C3514" t="s">
        <v>57</v>
      </c>
      <c r="D3514" t="s">
        <v>63</v>
      </c>
      <c r="E3514" t="s">
        <v>832</v>
      </c>
      <c r="F3514" t="s">
        <v>815</v>
      </c>
      <c r="G3514" t="s">
        <v>816</v>
      </c>
      <c r="H3514" t="s">
        <v>817</v>
      </c>
      <c r="I3514" t="s">
        <v>833</v>
      </c>
    </row>
    <row r="3515" spans="1:9" x14ac:dyDescent="0.3">
      <c r="A3515" s="22" t="s">
        <v>67</v>
      </c>
      <c r="B3515">
        <v>49</v>
      </c>
      <c r="C3515" t="s">
        <v>64</v>
      </c>
      <c r="D3515">
        <v>58</v>
      </c>
      <c r="E3515" s="8">
        <v>0.10199999999999999</v>
      </c>
      <c r="F3515" s="8">
        <v>0.40820000000000001</v>
      </c>
      <c r="G3515" s="8">
        <v>0.30609999999999998</v>
      </c>
      <c r="H3515" s="8">
        <v>8.1600000000000006E-2</v>
      </c>
      <c r="I3515" s="8">
        <v>0.10199999999999999</v>
      </c>
    </row>
    <row r="3516" spans="1:9" x14ac:dyDescent="0.3">
      <c r="A3516" s="22" t="s">
        <v>68</v>
      </c>
      <c r="B3516">
        <v>9</v>
      </c>
      <c r="C3516" t="s">
        <v>64</v>
      </c>
      <c r="D3516">
        <v>58</v>
      </c>
      <c r="F3516" s="8">
        <v>0.66669999999999996</v>
      </c>
      <c r="G3516" s="8">
        <v>0.22220000000000001</v>
      </c>
      <c r="H3516" s="8">
        <v>0.1111</v>
      </c>
    </row>
    <row r="3518" spans="1:9" ht="57.6" x14ac:dyDescent="0.3">
      <c r="A3518" s="22" t="s">
        <v>843</v>
      </c>
    </row>
    <row r="3519" spans="1:9" x14ac:dyDescent="0.3">
      <c r="A3519" s="22" t="s">
        <v>66</v>
      </c>
      <c r="B3519" t="s">
        <v>62</v>
      </c>
      <c r="C3519" t="s">
        <v>57</v>
      </c>
      <c r="D3519" t="s">
        <v>63</v>
      </c>
      <c r="E3519" t="s">
        <v>832</v>
      </c>
      <c r="F3519" t="s">
        <v>815</v>
      </c>
      <c r="G3519" t="s">
        <v>816</v>
      </c>
      <c r="H3519" t="s">
        <v>817</v>
      </c>
      <c r="I3519" t="s">
        <v>833</v>
      </c>
    </row>
    <row r="3520" spans="1:9" x14ac:dyDescent="0.3">
      <c r="A3520" s="22" t="s">
        <v>67</v>
      </c>
      <c r="B3520">
        <v>58</v>
      </c>
      <c r="C3520" t="s">
        <v>64</v>
      </c>
      <c r="D3520">
        <v>58</v>
      </c>
      <c r="E3520" s="8">
        <v>8.6199999999999999E-2</v>
      </c>
      <c r="F3520" s="8">
        <v>0.44829999999999998</v>
      </c>
      <c r="G3520" s="8">
        <v>0.29310000000000003</v>
      </c>
      <c r="H3520" s="8">
        <v>8.6199999999999999E-2</v>
      </c>
      <c r="I3520" s="8">
        <v>8.6199999999999999E-2</v>
      </c>
    </row>
    <row r="3522" spans="1:9" ht="43.2" x14ac:dyDescent="0.3">
      <c r="A3522" s="22" t="s">
        <v>844</v>
      </c>
    </row>
    <row r="3523" spans="1:9" x14ac:dyDescent="0.3">
      <c r="A3523" s="22" t="s">
        <v>66</v>
      </c>
      <c r="B3523" t="s">
        <v>62</v>
      </c>
      <c r="C3523" t="s">
        <v>57</v>
      </c>
      <c r="D3523" t="s">
        <v>63</v>
      </c>
      <c r="E3523" t="s">
        <v>832</v>
      </c>
      <c r="F3523" t="s">
        <v>815</v>
      </c>
      <c r="G3523" t="s">
        <v>816</v>
      </c>
      <c r="H3523" t="s">
        <v>817</v>
      </c>
      <c r="I3523" t="s">
        <v>833</v>
      </c>
    </row>
    <row r="3524" spans="1:9" x14ac:dyDescent="0.3">
      <c r="A3524" s="22" t="s">
        <v>67</v>
      </c>
      <c r="B3524">
        <v>32</v>
      </c>
      <c r="C3524" t="s">
        <v>64</v>
      </c>
      <c r="D3524">
        <v>58</v>
      </c>
      <c r="E3524" s="8">
        <v>9.3799999999999994E-2</v>
      </c>
      <c r="F3524" s="8">
        <v>0.5</v>
      </c>
      <c r="G3524" s="8">
        <v>0.28120000000000001</v>
      </c>
      <c r="H3524" s="8">
        <v>3.1199999999999999E-2</v>
      </c>
      <c r="I3524" s="8">
        <v>9.3799999999999994E-2</v>
      </c>
    </row>
    <row r="3525" spans="1:9" x14ac:dyDescent="0.3">
      <c r="A3525" s="22" t="s">
        <v>68</v>
      </c>
      <c r="B3525">
        <v>26</v>
      </c>
      <c r="C3525" t="s">
        <v>64</v>
      </c>
      <c r="D3525">
        <v>58</v>
      </c>
      <c r="E3525" s="8">
        <v>7.6899999999999996E-2</v>
      </c>
      <c r="F3525" s="8">
        <v>0.3846</v>
      </c>
      <c r="G3525" s="8">
        <v>0.30769999999999997</v>
      </c>
      <c r="H3525" s="8">
        <v>0.15379999999999999</v>
      </c>
      <c r="I3525" s="8">
        <v>7.6899999999999996E-2</v>
      </c>
    </row>
    <row r="3527" spans="1:9" ht="57.6" x14ac:dyDescent="0.3">
      <c r="A3527" s="22" t="s">
        <v>845</v>
      </c>
    </row>
    <row r="3528" spans="1:9" x14ac:dyDescent="0.3">
      <c r="A3528" s="22" t="s">
        <v>66</v>
      </c>
      <c r="B3528" t="s">
        <v>62</v>
      </c>
      <c r="C3528" t="s">
        <v>57</v>
      </c>
      <c r="D3528" t="s">
        <v>63</v>
      </c>
      <c r="E3528" t="s">
        <v>832</v>
      </c>
      <c r="F3528" t="s">
        <v>815</v>
      </c>
      <c r="G3528" t="s">
        <v>816</v>
      </c>
      <c r="H3528" t="s">
        <v>817</v>
      </c>
      <c r="I3528" t="s">
        <v>833</v>
      </c>
    </row>
    <row r="3529" spans="1:9" x14ac:dyDescent="0.3">
      <c r="A3529" s="22" t="s">
        <v>67</v>
      </c>
      <c r="B3529">
        <v>49</v>
      </c>
      <c r="C3529" t="s">
        <v>64</v>
      </c>
      <c r="D3529">
        <v>58</v>
      </c>
      <c r="E3529" s="8">
        <v>0.10199999999999999</v>
      </c>
      <c r="F3529" s="8">
        <v>0.48980000000000001</v>
      </c>
      <c r="G3529" s="8">
        <v>0.24490000000000001</v>
      </c>
      <c r="H3529" s="8">
        <v>8.1600000000000006E-2</v>
      </c>
      <c r="I3529" s="8">
        <v>8.1600000000000006E-2</v>
      </c>
    </row>
    <row r="3530" spans="1:9" x14ac:dyDescent="0.3">
      <c r="A3530" s="22" t="s">
        <v>68</v>
      </c>
      <c r="B3530">
        <v>9</v>
      </c>
      <c r="C3530" t="s">
        <v>64</v>
      </c>
      <c r="D3530">
        <v>58</v>
      </c>
      <c r="F3530" s="8">
        <v>0.22220000000000001</v>
      </c>
      <c r="G3530" s="8">
        <v>0.55559999999999998</v>
      </c>
      <c r="H3530" s="8">
        <v>0.1111</v>
      </c>
      <c r="I3530" s="8">
        <v>0.1111</v>
      </c>
    </row>
    <row r="3532" spans="1:9" ht="43.2" x14ac:dyDescent="0.3">
      <c r="A3532" s="27" t="s">
        <v>846</v>
      </c>
    </row>
    <row r="3533" spans="1:9" x14ac:dyDescent="0.3">
      <c r="A3533" s="22" t="s">
        <v>66</v>
      </c>
      <c r="B3533" t="s">
        <v>62</v>
      </c>
      <c r="C3533" t="s">
        <v>57</v>
      </c>
      <c r="D3533" t="s">
        <v>63</v>
      </c>
      <c r="E3533" t="s">
        <v>832</v>
      </c>
      <c r="F3533" t="s">
        <v>815</v>
      </c>
      <c r="G3533" t="s">
        <v>816</v>
      </c>
      <c r="H3533" t="s">
        <v>817</v>
      </c>
      <c r="I3533" t="s">
        <v>833</v>
      </c>
    </row>
    <row r="3534" spans="1:9" x14ac:dyDescent="0.3">
      <c r="A3534" s="22" t="s">
        <v>81</v>
      </c>
      <c r="B3534">
        <v>12</v>
      </c>
      <c r="C3534" t="s">
        <v>64</v>
      </c>
      <c r="D3534">
        <v>58</v>
      </c>
      <c r="E3534" s="8">
        <v>0.25</v>
      </c>
      <c r="F3534" s="8">
        <v>0.33329999999999999</v>
      </c>
      <c r="G3534" s="8">
        <v>0.16669999999999999</v>
      </c>
      <c r="I3534" s="8">
        <v>0.25</v>
      </c>
    </row>
    <row r="3535" spans="1:9" x14ac:dyDescent="0.3">
      <c r="A3535" s="22" t="s">
        <v>82</v>
      </c>
      <c r="B3535">
        <v>15</v>
      </c>
      <c r="C3535" t="s">
        <v>64</v>
      </c>
      <c r="D3535">
        <v>58</v>
      </c>
      <c r="E3535" s="8">
        <v>6.6699999999999995E-2</v>
      </c>
      <c r="F3535" s="8">
        <v>0.4</v>
      </c>
      <c r="G3535" s="8">
        <v>0.33329999999999999</v>
      </c>
      <c r="H3535" s="8">
        <v>6.6699999999999995E-2</v>
      </c>
      <c r="I3535" s="8">
        <v>0.1333</v>
      </c>
    </row>
    <row r="3536" spans="1:9" x14ac:dyDescent="0.3">
      <c r="A3536" s="22" t="s">
        <v>83</v>
      </c>
      <c r="B3536">
        <v>13</v>
      </c>
      <c r="C3536" t="s">
        <v>64</v>
      </c>
      <c r="D3536">
        <v>58</v>
      </c>
      <c r="E3536" s="8">
        <v>7.6899999999999996E-2</v>
      </c>
      <c r="F3536" s="8">
        <v>0.61539999999999995</v>
      </c>
      <c r="G3536" s="8">
        <v>0.30769999999999997</v>
      </c>
    </row>
    <row r="3537" spans="1:9" x14ac:dyDescent="0.3">
      <c r="A3537" s="22" t="s">
        <v>84</v>
      </c>
      <c r="B3537">
        <v>18</v>
      </c>
      <c r="C3537" t="s">
        <v>64</v>
      </c>
      <c r="D3537">
        <v>58</v>
      </c>
      <c r="F3537" s="8">
        <v>0.44440000000000002</v>
      </c>
      <c r="G3537" s="8">
        <v>0.33329999999999999</v>
      </c>
      <c r="H3537" s="8">
        <v>0.22220000000000001</v>
      </c>
    </row>
    <row r="3539" spans="1:9" ht="43.2" x14ac:dyDescent="0.3">
      <c r="A3539" s="27" t="s">
        <v>847</v>
      </c>
    </row>
    <row r="3540" spans="1:9" x14ac:dyDescent="0.3">
      <c r="A3540" s="22" t="s">
        <v>62</v>
      </c>
      <c r="B3540" t="s">
        <v>57</v>
      </c>
      <c r="C3540" t="s">
        <v>63</v>
      </c>
      <c r="D3540" t="s">
        <v>832</v>
      </c>
      <c r="E3540" t="s">
        <v>815</v>
      </c>
      <c r="F3540" t="s">
        <v>816</v>
      </c>
      <c r="G3540" t="s">
        <v>848</v>
      </c>
      <c r="H3540" t="s">
        <v>833</v>
      </c>
    </row>
    <row r="3541" spans="1:9" x14ac:dyDescent="0.3">
      <c r="A3541" s="22">
        <v>21</v>
      </c>
      <c r="B3541" t="s">
        <v>64</v>
      </c>
      <c r="C3541">
        <v>21</v>
      </c>
      <c r="D3541" s="8">
        <v>0.1429</v>
      </c>
      <c r="E3541" s="8">
        <v>0.47620000000000001</v>
      </c>
      <c r="F3541" s="8">
        <v>0.1429</v>
      </c>
      <c r="G3541" s="8">
        <v>0.1429</v>
      </c>
      <c r="H3541" s="8">
        <v>9.5200000000000007E-2</v>
      </c>
    </row>
    <row r="3543" spans="1:9" ht="57.6" x14ac:dyDescent="0.3">
      <c r="A3543" s="22" t="s">
        <v>849</v>
      </c>
    </row>
    <row r="3544" spans="1:9" x14ac:dyDescent="0.3">
      <c r="A3544" s="22" t="s">
        <v>66</v>
      </c>
      <c r="B3544" t="s">
        <v>62</v>
      </c>
      <c r="C3544" t="s">
        <v>57</v>
      </c>
      <c r="D3544" t="s">
        <v>63</v>
      </c>
      <c r="E3544" t="s">
        <v>832</v>
      </c>
      <c r="F3544" t="s">
        <v>815</v>
      </c>
      <c r="G3544" t="s">
        <v>816</v>
      </c>
      <c r="H3544" t="s">
        <v>848</v>
      </c>
      <c r="I3544" t="s">
        <v>833</v>
      </c>
    </row>
    <row r="3545" spans="1:9" x14ac:dyDescent="0.3">
      <c r="A3545" s="22" t="s">
        <v>67</v>
      </c>
      <c r="B3545">
        <v>21</v>
      </c>
      <c r="C3545" t="s">
        <v>64</v>
      </c>
      <c r="D3545">
        <v>21</v>
      </c>
      <c r="E3545" s="8">
        <v>0.1429</v>
      </c>
      <c r="F3545" s="8">
        <v>0.47620000000000001</v>
      </c>
      <c r="G3545" s="8">
        <v>0.1429</v>
      </c>
      <c r="H3545" s="8">
        <v>0.1429</v>
      </c>
      <c r="I3545" s="8">
        <v>9.5200000000000007E-2</v>
      </c>
    </row>
    <row r="3547" spans="1:9" x14ac:dyDescent="0.3">
      <c r="A3547"/>
    </row>
    <row r="3548" spans="1:9" x14ac:dyDescent="0.3">
      <c r="A3548"/>
    </row>
    <row r="3549" spans="1:9" x14ac:dyDescent="0.3">
      <c r="A3549"/>
    </row>
    <row r="3551" spans="1:9" ht="57.6" x14ac:dyDescent="0.3">
      <c r="A3551" s="22" t="s">
        <v>850</v>
      </c>
    </row>
    <row r="3552" spans="1:9" x14ac:dyDescent="0.3">
      <c r="A3552" s="22" t="s">
        <v>66</v>
      </c>
      <c r="B3552" t="s">
        <v>62</v>
      </c>
      <c r="C3552" t="s">
        <v>57</v>
      </c>
      <c r="D3552" t="s">
        <v>63</v>
      </c>
      <c r="E3552" t="s">
        <v>832</v>
      </c>
      <c r="F3552" t="s">
        <v>815</v>
      </c>
      <c r="G3552" t="s">
        <v>816</v>
      </c>
      <c r="H3552" t="s">
        <v>848</v>
      </c>
      <c r="I3552" t="s">
        <v>833</v>
      </c>
    </row>
    <row r="3553" spans="1:9" x14ac:dyDescent="0.3">
      <c r="A3553" s="22" t="s">
        <v>67</v>
      </c>
      <c r="B3553">
        <v>21</v>
      </c>
      <c r="C3553" t="s">
        <v>64</v>
      </c>
      <c r="D3553">
        <v>21</v>
      </c>
      <c r="E3553" s="8">
        <v>0.1429</v>
      </c>
      <c r="F3553" s="8">
        <v>0.47620000000000001</v>
      </c>
      <c r="G3553" s="8">
        <v>0.1429</v>
      </c>
      <c r="H3553" s="8">
        <v>0.1429</v>
      </c>
      <c r="I3553" s="8">
        <v>9.5200000000000007E-2</v>
      </c>
    </row>
    <row r="3555" spans="1:9" ht="57.6" x14ac:dyDescent="0.3">
      <c r="A3555" s="22" t="s">
        <v>851</v>
      </c>
    </row>
    <row r="3556" spans="1:9" x14ac:dyDescent="0.3">
      <c r="A3556" s="22" t="s">
        <v>66</v>
      </c>
      <c r="B3556" t="s">
        <v>62</v>
      </c>
      <c r="C3556" t="s">
        <v>57</v>
      </c>
      <c r="D3556" t="s">
        <v>63</v>
      </c>
      <c r="E3556" t="s">
        <v>832</v>
      </c>
      <c r="F3556" t="s">
        <v>815</v>
      </c>
      <c r="G3556" t="s">
        <v>816</v>
      </c>
      <c r="H3556" t="s">
        <v>848</v>
      </c>
      <c r="I3556" t="s">
        <v>833</v>
      </c>
    </row>
    <row r="3557" spans="1:9" x14ac:dyDescent="0.3">
      <c r="A3557" s="22" t="s">
        <v>67</v>
      </c>
      <c r="B3557">
        <v>21</v>
      </c>
      <c r="C3557" t="s">
        <v>64</v>
      </c>
      <c r="D3557">
        <v>21</v>
      </c>
      <c r="E3557" s="8">
        <v>0.1429</v>
      </c>
      <c r="F3557" s="8">
        <v>0.47620000000000001</v>
      </c>
      <c r="G3557" s="8">
        <v>0.1429</v>
      </c>
      <c r="H3557" s="8">
        <v>0.1429</v>
      </c>
      <c r="I3557" s="8">
        <v>9.5200000000000007E-2</v>
      </c>
    </row>
    <row r="3559" spans="1:9" ht="57.6" x14ac:dyDescent="0.3">
      <c r="A3559" s="22" t="s">
        <v>852</v>
      </c>
    </row>
    <row r="3560" spans="1:9" x14ac:dyDescent="0.3">
      <c r="A3560" s="22" t="s">
        <v>66</v>
      </c>
      <c r="B3560" t="s">
        <v>62</v>
      </c>
      <c r="C3560" t="s">
        <v>57</v>
      </c>
      <c r="D3560" t="s">
        <v>63</v>
      </c>
      <c r="E3560" t="s">
        <v>832</v>
      </c>
      <c r="F3560" t="s">
        <v>815</v>
      </c>
      <c r="G3560" t="s">
        <v>816</v>
      </c>
      <c r="H3560" t="s">
        <v>848</v>
      </c>
      <c r="I3560" t="s">
        <v>833</v>
      </c>
    </row>
    <row r="3561" spans="1:9" x14ac:dyDescent="0.3">
      <c r="A3561" s="22" t="s">
        <v>67</v>
      </c>
      <c r="B3561">
        <v>20</v>
      </c>
      <c r="C3561" t="s">
        <v>64</v>
      </c>
      <c r="D3561">
        <v>21</v>
      </c>
      <c r="E3561" s="8">
        <v>0.15</v>
      </c>
      <c r="F3561" s="8">
        <v>0.5</v>
      </c>
      <c r="G3561" s="8">
        <v>0.1</v>
      </c>
      <c r="H3561" s="8">
        <v>0.15</v>
      </c>
      <c r="I3561" s="8">
        <v>0.1</v>
      </c>
    </row>
    <row r="3562" spans="1:9" x14ac:dyDescent="0.3">
      <c r="A3562" s="22" t="s">
        <v>68</v>
      </c>
      <c r="B3562">
        <v>1</v>
      </c>
      <c r="C3562" t="s">
        <v>64</v>
      </c>
      <c r="D3562">
        <v>21</v>
      </c>
      <c r="G3562" s="8">
        <v>1</v>
      </c>
    </row>
    <row r="3564" spans="1:9" ht="57.6" x14ac:dyDescent="0.3">
      <c r="A3564" s="22" t="s">
        <v>853</v>
      </c>
    </row>
    <row r="3565" spans="1:9" x14ac:dyDescent="0.3">
      <c r="A3565" s="22" t="s">
        <v>66</v>
      </c>
      <c r="B3565" t="s">
        <v>62</v>
      </c>
      <c r="C3565" t="s">
        <v>57</v>
      </c>
      <c r="D3565" t="s">
        <v>63</v>
      </c>
      <c r="E3565" t="s">
        <v>832</v>
      </c>
      <c r="F3565" t="s">
        <v>815</v>
      </c>
      <c r="G3565" t="s">
        <v>816</v>
      </c>
      <c r="H3565" t="s">
        <v>848</v>
      </c>
      <c r="I3565" t="s">
        <v>833</v>
      </c>
    </row>
    <row r="3566" spans="1:9" x14ac:dyDescent="0.3">
      <c r="A3566" s="22" t="s">
        <v>67</v>
      </c>
      <c r="B3566">
        <v>3</v>
      </c>
      <c r="C3566" t="s">
        <v>64</v>
      </c>
      <c r="D3566">
        <v>21</v>
      </c>
      <c r="E3566" s="8">
        <v>0.33329999999999999</v>
      </c>
      <c r="F3566" s="8">
        <v>0.33329999999999999</v>
      </c>
      <c r="H3566" s="8">
        <v>0.33329999999999999</v>
      </c>
    </row>
    <row r="3567" spans="1:9" x14ac:dyDescent="0.3">
      <c r="A3567" s="22" t="s">
        <v>68</v>
      </c>
      <c r="B3567">
        <v>18</v>
      </c>
      <c r="C3567" t="s">
        <v>64</v>
      </c>
      <c r="D3567">
        <v>21</v>
      </c>
      <c r="E3567" s="8">
        <v>0.1111</v>
      </c>
      <c r="F3567" s="8">
        <v>0.5</v>
      </c>
      <c r="G3567" s="8">
        <v>0.16669999999999999</v>
      </c>
      <c r="H3567" s="8">
        <v>0.1111</v>
      </c>
      <c r="I3567" s="8">
        <v>0.1111</v>
      </c>
    </row>
    <row r="3569" spans="1:9" ht="57.6" x14ac:dyDescent="0.3">
      <c r="A3569" s="22" t="s">
        <v>854</v>
      </c>
    </row>
    <row r="3570" spans="1:9" x14ac:dyDescent="0.3">
      <c r="A3570" s="22" t="s">
        <v>66</v>
      </c>
      <c r="B3570" t="s">
        <v>62</v>
      </c>
      <c r="C3570" t="s">
        <v>57</v>
      </c>
      <c r="D3570" t="s">
        <v>63</v>
      </c>
      <c r="E3570" t="s">
        <v>832</v>
      </c>
      <c r="F3570" t="s">
        <v>815</v>
      </c>
      <c r="G3570" t="s">
        <v>816</v>
      </c>
      <c r="H3570" t="s">
        <v>848</v>
      </c>
      <c r="I3570" t="s">
        <v>833</v>
      </c>
    </row>
    <row r="3571" spans="1:9" x14ac:dyDescent="0.3">
      <c r="A3571" s="22" t="s">
        <v>67</v>
      </c>
      <c r="B3571">
        <v>18</v>
      </c>
      <c r="C3571" t="s">
        <v>64</v>
      </c>
      <c r="D3571">
        <v>21</v>
      </c>
      <c r="E3571" s="8">
        <v>0.16669999999999999</v>
      </c>
      <c r="F3571" s="8">
        <v>0.5</v>
      </c>
      <c r="G3571" s="8">
        <v>0.16669999999999999</v>
      </c>
      <c r="H3571" s="8">
        <v>0.1111</v>
      </c>
      <c r="I3571" s="8">
        <v>5.5599999999999997E-2</v>
      </c>
    </row>
    <row r="3572" spans="1:9" x14ac:dyDescent="0.3">
      <c r="A3572" s="22" t="s">
        <v>68</v>
      </c>
      <c r="B3572">
        <v>3</v>
      </c>
      <c r="C3572" t="s">
        <v>64</v>
      </c>
      <c r="D3572">
        <v>21</v>
      </c>
      <c r="F3572" s="8">
        <v>0.33329999999999999</v>
      </c>
      <c r="H3572" s="8">
        <v>0.33329999999999999</v>
      </c>
      <c r="I3572" s="8">
        <v>0.33329999999999999</v>
      </c>
    </row>
    <row r="3574" spans="1:9" ht="57.6" x14ac:dyDescent="0.3">
      <c r="A3574" s="22" t="s">
        <v>855</v>
      </c>
    </row>
    <row r="3575" spans="1:9" x14ac:dyDescent="0.3">
      <c r="A3575" s="22" t="s">
        <v>66</v>
      </c>
      <c r="B3575" t="s">
        <v>62</v>
      </c>
      <c r="C3575" t="s">
        <v>57</v>
      </c>
      <c r="D3575" t="s">
        <v>63</v>
      </c>
      <c r="E3575" t="s">
        <v>832</v>
      </c>
      <c r="F3575" t="s">
        <v>815</v>
      </c>
      <c r="G3575" t="s">
        <v>816</v>
      </c>
      <c r="H3575" t="s">
        <v>848</v>
      </c>
      <c r="I3575" t="s">
        <v>833</v>
      </c>
    </row>
    <row r="3576" spans="1:9" x14ac:dyDescent="0.3">
      <c r="A3576" s="22" t="s">
        <v>67</v>
      </c>
      <c r="B3576">
        <v>15</v>
      </c>
      <c r="C3576" t="s">
        <v>64</v>
      </c>
      <c r="D3576">
        <v>21</v>
      </c>
      <c r="E3576" s="8">
        <v>6.6699999999999995E-2</v>
      </c>
      <c r="F3576" s="8">
        <v>0.5333</v>
      </c>
      <c r="G3576" s="8">
        <v>0.2</v>
      </c>
      <c r="H3576" s="8">
        <v>6.6699999999999995E-2</v>
      </c>
      <c r="I3576" s="8">
        <v>0.1333</v>
      </c>
    </row>
    <row r="3577" spans="1:9" x14ac:dyDescent="0.3">
      <c r="A3577" s="22" t="s">
        <v>68</v>
      </c>
      <c r="B3577">
        <v>6</v>
      </c>
      <c r="C3577" t="s">
        <v>64</v>
      </c>
      <c r="D3577">
        <v>21</v>
      </c>
      <c r="E3577" s="8">
        <v>0.33329999999999999</v>
      </c>
      <c r="F3577" s="8">
        <v>0.33329999999999999</v>
      </c>
      <c r="H3577" s="8">
        <v>0.33329999999999999</v>
      </c>
    </row>
    <row r="3579" spans="1:9" ht="57.6" x14ac:dyDescent="0.3">
      <c r="A3579" s="22" t="s">
        <v>856</v>
      </c>
    </row>
    <row r="3580" spans="1:9" x14ac:dyDescent="0.3">
      <c r="A3580" s="22" t="s">
        <v>66</v>
      </c>
      <c r="B3580" t="s">
        <v>62</v>
      </c>
      <c r="C3580" t="s">
        <v>57</v>
      </c>
      <c r="D3580" t="s">
        <v>63</v>
      </c>
      <c r="E3580" t="s">
        <v>832</v>
      </c>
      <c r="F3580" t="s">
        <v>815</v>
      </c>
      <c r="G3580" t="s">
        <v>816</v>
      </c>
      <c r="H3580" t="s">
        <v>848</v>
      </c>
      <c r="I3580" t="s">
        <v>833</v>
      </c>
    </row>
    <row r="3581" spans="1:9" x14ac:dyDescent="0.3">
      <c r="A3581" s="22" t="s">
        <v>67</v>
      </c>
      <c r="B3581">
        <v>14</v>
      </c>
      <c r="C3581" t="s">
        <v>64</v>
      </c>
      <c r="D3581">
        <v>21</v>
      </c>
      <c r="E3581" s="8">
        <v>7.1400000000000005E-2</v>
      </c>
      <c r="F3581" s="8">
        <v>0.57140000000000002</v>
      </c>
      <c r="G3581" s="8">
        <v>0.1429</v>
      </c>
      <c r="H3581" s="8">
        <v>0.1429</v>
      </c>
      <c r="I3581" s="8">
        <v>7.1400000000000005E-2</v>
      </c>
    </row>
    <row r="3582" spans="1:9" x14ac:dyDescent="0.3">
      <c r="A3582" s="22" t="s">
        <v>68</v>
      </c>
      <c r="B3582">
        <v>7</v>
      </c>
      <c r="C3582" t="s">
        <v>64</v>
      </c>
      <c r="D3582">
        <v>21</v>
      </c>
      <c r="E3582" s="8">
        <v>0.28570000000000001</v>
      </c>
      <c r="F3582" s="8">
        <v>0.28570000000000001</v>
      </c>
      <c r="G3582" s="8">
        <v>0.1429</v>
      </c>
      <c r="H3582" s="8">
        <v>0.1429</v>
      </c>
      <c r="I3582" s="8">
        <v>0.1429</v>
      </c>
    </row>
    <row r="3584" spans="1:9" ht="72" x14ac:dyDescent="0.3">
      <c r="A3584" s="22" t="s">
        <v>857</v>
      </c>
    </row>
    <row r="3585" spans="1:9" x14ac:dyDescent="0.3">
      <c r="A3585" s="22" t="s">
        <v>66</v>
      </c>
      <c r="B3585" t="s">
        <v>62</v>
      </c>
      <c r="C3585" t="s">
        <v>57</v>
      </c>
      <c r="D3585" t="s">
        <v>63</v>
      </c>
      <c r="E3585" t="s">
        <v>832</v>
      </c>
      <c r="F3585" t="s">
        <v>815</v>
      </c>
      <c r="G3585" t="s">
        <v>816</v>
      </c>
      <c r="H3585" t="s">
        <v>848</v>
      </c>
      <c r="I3585" t="s">
        <v>833</v>
      </c>
    </row>
    <row r="3586" spans="1:9" x14ac:dyDescent="0.3">
      <c r="A3586" s="22" t="s">
        <v>67</v>
      </c>
      <c r="B3586">
        <v>16</v>
      </c>
      <c r="C3586" t="s">
        <v>64</v>
      </c>
      <c r="D3586">
        <v>21</v>
      </c>
      <c r="E3586" s="8">
        <v>0.1875</v>
      </c>
      <c r="F3586" s="8">
        <v>0.4375</v>
      </c>
      <c r="G3586" s="8">
        <v>0.125</v>
      </c>
      <c r="H3586" s="8">
        <v>0.125</v>
      </c>
      <c r="I3586" s="8">
        <v>0.125</v>
      </c>
    </row>
    <row r="3587" spans="1:9" x14ac:dyDescent="0.3">
      <c r="A3587" s="22" t="s">
        <v>68</v>
      </c>
      <c r="B3587">
        <v>5</v>
      </c>
      <c r="C3587" t="s">
        <v>64</v>
      </c>
      <c r="D3587">
        <v>21</v>
      </c>
      <c r="F3587" s="8">
        <v>0.6</v>
      </c>
      <c r="G3587" s="8">
        <v>0.2</v>
      </c>
      <c r="H3587" s="8">
        <v>0.2</v>
      </c>
    </row>
    <row r="3589" spans="1:9" ht="72" x14ac:dyDescent="0.3">
      <c r="A3589" s="22" t="s">
        <v>858</v>
      </c>
    </row>
    <row r="3590" spans="1:9" x14ac:dyDescent="0.3">
      <c r="A3590" s="22" t="s">
        <v>66</v>
      </c>
      <c r="B3590" t="s">
        <v>62</v>
      </c>
      <c r="C3590" t="s">
        <v>57</v>
      </c>
      <c r="D3590" t="s">
        <v>63</v>
      </c>
      <c r="E3590" t="s">
        <v>832</v>
      </c>
      <c r="F3590" t="s">
        <v>815</v>
      </c>
      <c r="G3590" t="s">
        <v>816</v>
      </c>
      <c r="H3590" t="s">
        <v>848</v>
      </c>
      <c r="I3590" t="s">
        <v>833</v>
      </c>
    </row>
    <row r="3591" spans="1:9" x14ac:dyDescent="0.3">
      <c r="A3591" s="22" t="s">
        <v>67</v>
      </c>
      <c r="B3591">
        <v>21</v>
      </c>
      <c r="C3591" t="s">
        <v>64</v>
      </c>
      <c r="D3591">
        <v>21</v>
      </c>
      <c r="E3591" s="8">
        <v>0.1429</v>
      </c>
      <c r="F3591" s="8">
        <v>0.47620000000000001</v>
      </c>
      <c r="G3591" s="8">
        <v>0.1429</v>
      </c>
      <c r="H3591" s="8">
        <v>0.1429</v>
      </c>
      <c r="I3591" s="8">
        <v>9.5200000000000007E-2</v>
      </c>
    </row>
    <row r="3593" spans="1:9" ht="57.6" x14ac:dyDescent="0.3">
      <c r="A3593" s="22" t="s">
        <v>859</v>
      </c>
    </row>
    <row r="3594" spans="1:9" x14ac:dyDescent="0.3">
      <c r="A3594" s="22" t="s">
        <v>66</v>
      </c>
      <c r="B3594" t="s">
        <v>62</v>
      </c>
      <c r="C3594" t="s">
        <v>57</v>
      </c>
      <c r="D3594" t="s">
        <v>63</v>
      </c>
      <c r="E3594" t="s">
        <v>832</v>
      </c>
      <c r="F3594" t="s">
        <v>815</v>
      </c>
      <c r="G3594" t="s">
        <v>816</v>
      </c>
      <c r="H3594" t="s">
        <v>848</v>
      </c>
      <c r="I3594" t="s">
        <v>833</v>
      </c>
    </row>
    <row r="3595" spans="1:9" x14ac:dyDescent="0.3">
      <c r="A3595" s="22" t="s">
        <v>67</v>
      </c>
      <c r="B3595">
        <v>10</v>
      </c>
      <c r="C3595" t="s">
        <v>64</v>
      </c>
      <c r="D3595">
        <v>21</v>
      </c>
      <c r="E3595" s="8">
        <v>0.3</v>
      </c>
      <c r="F3595" s="8">
        <v>0.5</v>
      </c>
      <c r="G3595" s="8">
        <v>0.1</v>
      </c>
      <c r="I3595" s="8">
        <v>0.1</v>
      </c>
    </row>
    <row r="3596" spans="1:9" x14ac:dyDescent="0.3">
      <c r="A3596" s="22" t="s">
        <v>68</v>
      </c>
      <c r="B3596">
        <v>11</v>
      </c>
      <c r="C3596" t="s">
        <v>64</v>
      </c>
      <c r="D3596">
        <v>21</v>
      </c>
      <c r="F3596" s="8">
        <v>0.45450000000000002</v>
      </c>
      <c r="G3596" s="8">
        <v>0.18179999999999999</v>
      </c>
      <c r="H3596" s="8">
        <v>0.2727</v>
      </c>
      <c r="I3596" s="8">
        <v>9.0899999999999995E-2</v>
      </c>
    </row>
    <row r="3598" spans="1:9" ht="57.6" x14ac:dyDescent="0.3">
      <c r="A3598" s="22" t="s">
        <v>860</v>
      </c>
    </row>
    <row r="3599" spans="1:9" x14ac:dyDescent="0.3">
      <c r="A3599" s="22" t="s">
        <v>66</v>
      </c>
      <c r="B3599" t="s">
        <v>62</v>
      </c>
      <c r="C3599" t="s">
        <v>57</v>
      </c>
      <c r="D3599" t="s">
        <v>63</v>
      </c>
      <c r="E3599" t="s">
        <v>832</v>
      </c>
      <c r="F3599" t="s">
        <v>815</v>
      </c>
      <c r="G3599" t="s">
        <v>816</v>
      </c>
      <c r="H3599" t="s">
        <v>848</v>
      </c>
      <c r="I3599" t="s">
        <v>833</v>
      </c>
    </row>
    <row r="3600" spans="1:9" x14ac:dyDescent="0.3">
      <c r="A3600" s="22" t="s">
        <v>67</v>
      </c>
      <c r="B3600">
        <v>18</v>
      </c>
      <c r="C3600" t="s">
        <v>64</v>
      </c>
      <c r="D3600">
        <v>21</v>
      </c>
      <c r="E3600" s="8">
        <v>0.16669999999999999</v>
      </c>
      <c r="F3600" s="8">
        <v>0.44440000000000002</v>
      </c>
      <c r="G3600" s="8">
        <v>0.16669999999999999</v>
      </c>
      <c r="H3600" s="8">
        <v>0.1111</v>
      </c>
      <c r="I3600" s="8">
        <v>0.1111</v>
      </c>
    </row>
    <row r="3601" spans="1:9" x14ac:dyDescent="0.3">
      <c r="A3601" s="22" t="s">
        <v>68</v>
      </c>
      <c r="B3601">
        <v>3</v>
      </c>
      <c r="C3601" t="s">
        <v>64</v>
      </c>
      <c r="D3601">
        <v>21</v>
      </c>
      <c r="F3601" s="8">
        <v>0.66669999999999996</v>
      </c>
      <c r="H3601" s="8">
        <v>0.33329999999999999</v>
      </c>
    </row>
    <row r="3603" spans="1:9" ht="43.2" x14ac:dyDescent="0.3">
      <c r="A3603" s="27" t="s">
        <v>861</v>
      </c>
    </row>
    <row r="3604" spans="1:9" x14ac:dyDescent="0.3">
      <c r="A3604" s="22" t="s">
        <v>66</v>
      </c>
      <c r="B3604" t="s">
        <v>62</v>
      </c>
      <c r="C3604" t="s">
        <v>57</v>
      </c>
      <c r="D3604" t="s">
        <v>63</v>
      </c>
      <c r="E3604" t="s">
        <v>832</v>
      </c>
      <c r="F3604" t="s">
        <v>815</v>
      </c>
      <c r="G3604" t="s">
        <v>816</v>
      </c>
      <c r="H3604" t="s">
        <v>848</v>
      </c>
      <c r="I3604" t="s">
        <v>833</v>
      </c>
    </row>
    <row r="3605" spans="1:9" x14ac:dyDescent="0.3">
      <c r="A3605" s="22" t="s">
        <v>81</v>
      </c>
      <c r="B3605">
        <v>4</v>
      </c>
      <c r="C3605" t="s">
        <v>64</v>
      </c>
      <c r="D3605">
        <v>21</v>
      </c>
      <c r="E3605" s="8">
        <v>0.25</v>
      </c>
      <c r="F3605" s="8">
        <v>0.5</v>
      </c>
      <c r="I3605" s="8">
        <v>0.25</v>
      </c>
    </row>
    <row r="3606" spans="1:9" x14ac:dyDescent="0.3">
      <c r="A3606" s="22" t="s">
        <v>82</v>
      </c>
      <c r="B3606">
        <v>8</v>
      </c>
      <c r="C3606" t="s">
        <v>64</v>
      </c>
      <c r="D3606">
        <v>21</v>
      </c>
      <c r="E3606" s="8">
        <v>0.25</v>
      </c>
      <c r="F3606" s="8">
        <v>0.5</v>
      </c>
      <c r="H3606" s="8">
        <v>0.125</v>
      </c>
      <c r="I3606" s="8">
        <v>0.125</v>
      </c>
    </row>
    <row r="3607" spans="1:9" x14ac:dyDescent="0.3">
      <c r="A3607" s="22" t="s">
        <v>83</v>
      </c>
      <c r="B3607">
        <v>4</v>
      </c>
      <c r="C3607" t="s">
        <v>64</v>
      </c>
      <c r="D3607">
        <v>21</v>
      </c>
      <c r="F3607" s="8">
        <v>0.5</v>
      </c>
      <c r="G3607" s="8">
        <v>0.25</v>
      </c>
      <c r="H3607" s="8">
        <v>0.25</v>
      </c>
    </row>
    <row r="3608" spans="1:9" x14ac:dyDescent="0.3">
      <c r="A3608" s="22" t="s">
        <v>84</v>
      </c>
      <c r="B3608">
        <v>5</v>
      </c>
      <c r="C3608" t="s">
        <v>64</v>
      </c>
      <c r="D3608">
        <v>21</v>
      </c>
      <c r="F3608" s="8">
        <v>0.4</v>
      </c>
      <c r="G3608" s="8">
        <v>0.4</v>
      </c>
      <c r="H3608" s="8">
        <v>0.2</v>
      </c>
    </row>
    <row r="3610" spans="1:9" ht="43.2" x14ac:dyDescent="0.3">
      <c r="A3610" s="27" t="s">
        <v>862</v>
      </c>
    </row>
    <row r="3611" spans="1:9" x14ac:dyDescent="0.3">
      <c r="A3611" s="22" t="s">
        <v>62</v>
      </c>
      <c r="B3611" t="s">
        <v>57</v>
      </c>
      <c r="C3611" t="s">
        <v>63</v>
      </c>
      <c r="D3611" t="s">
        <v>832</v>
      </c>
      <c r="E3611" t="s">
        <v>815</v>
      </c>
      <c r="F3611" t="s">
        <v>816</v>
      </c>
      <c r="G3611" t="s">
        <v>848</v>
      </c>
      <c r="H3611" t="s">
        <v>833</v>
      </c>
    </row>
    <row r="3612" spans="1:9" x14ac:dyDescent="0.3">
      <c r="A3612" s="22">
        <v>18</v>
      </c>
      <c r="B3612" t="s">
        <v>64</v>
      </c>
      <c r="C3612">
        <v>18</v>
      </c>
      <c r="D3612" s="8">
        <v>0.1111</v>
      </c>
      <c r="E3612" s="8">
        <v>0.55559999999999998</v>
      </c>
      <c r="F3612" s="8">
        <v>0.16669999999999999</v>
      </c>
      <c r="G3612" s="8">
        <v>5.5599999999999997E-2</v>
      </c>
      <c r="H3612" s="8">
        <v>0.1111</v>
      </c>
    </row>
    <row r="3614" spans="1:9" ht="57.6" x14ac:dyDescent="0.3">
      <c r="A3614" s="22" t="s">
        <v>863</v>
      </c>
    </row>
    <row r="3615" spans="1:9" x14ac:dyDescent="0.3">
      <c r="A3615" s="22" t="s">
        <v>66</v>
      </c>
      <c r="B3615" t="s">
        <v>62</v>
      </c>
      <c r="C3615" t="s">
        <v>57</v>
      </c>
      <c r="D3615" t="s">
        <v>63</v>
      </c>
      <c r="E3615" t="s">
        <v>832</v>
      </c>
      <c r="F3615" t="s">
        <v>815</v>
      </c>
      <c r="G3615" t="s">
        <v>816</v>
      </c>
      <c r="H3615" t="s">
        <v>848</v>
      </c>
      <c r="I3615" t="s">
        <v>833</v>
      </c>
    </row>
    <row r="3616" spans="1:9" x14ac:dyDescent="0.3">
      <c r="A3616" s="22" t="s">
        <v>67</v>
      </c>
      <c r="B3616">
        <v>18</v>
      </c>
      <c r="C3616" t="s">
        <v>64</v>
      </c>
      <c r="D3616">
        <v>18</v>
      </c>
      <c r="E3616" s="8">
        <v>0.1111</v>
      </c>
      <c r="F3616" s="8">
        <v>0.55559999999999998</v>
      </c>
      <c r="G3616" s="8">
        <v>0.16669999999999999</v>
      </c>
      <c r="H3616" s="8">
        <v>5.5599999999999997E-2</v>
      </c>
      <c r="I3616" s="8">
        <v>0.1111</v>
      </c>
    </row>
    <row r="3618" spans="1:9" x14ac:dyDescent="0.3">
      <c r="A3618"/>
    </row>
    <row r="3619" spans="1:9" x14ac:dyDescent="0.3">
      <c r="A3619"/>
    </row>
    <row r="3620" spans="1:9" x14ac:dyDescent="0.3">
      <c r="A3620"/>
    </row>
    <row r="3622" spans="1:9" ht="57.6" x14ac:dyDescent="0.3">
      <c r="A3622" s="22" t="s">
        <v>864</v>
      </c>
    </row>
    <row r="3623" spans="1:9" x14ac:dyDescent="0.3">
      <c r="A3623" s="22" t="s">
        <v>66</v>
      </c>
      <c r="B3623" t="s">
        <v>62</v>
      </c>
      <c r="C3623" t="s">
        <v>57</v>
      </c>
      <c r="D3623" t="s">
        <v>63</v>
      </c>
      <c r="E3623" t="s">
        <v>832</v>
      </c>
      <c r="F3623" t="s">
        <v>815</v>
      </c>
      <c r="G3623" t="s">
        <v>816</v>
      </c>
      <c r="H3623" t="s">
        <v>848</v>
      </c>
      <c r="I3623" t="s">
        <v>833</v>
      </c>
    </row>
    <row r="3624" spans="1:9" x14ac:dyDescent="0.3">
      <c r="A3624" s="22" t="s">
        <v>67</v>
      </c>
      <c r="B3624">
        <v>18</v>
      </c>
      <c r="C3624" t="s">
        <v>64</v>
      </c>
      <c r="D3624">
        <v>18</v>
      </c>
      <c r="E3624" s="8">
        <v>0.1111</v>
      </c>
      <c r="F3624" s="8">
        <v>0.55559999999999998</v>
      </c>
      <c r="G3624" s="8">
        <v>0.16669999999999999</v>
      </c>
      <c r="H3624" s="8">
        <v>5.5599999999999997E-2</v>
      </c>
      <c r="I3624" s="8">
        <v>0.1111</v>
      </c>
    </row>
    <row r="3626" spans="1:9" ht="57.6" x14ac:dyDescent="0.3">
      <c r="A3626" s="22" t="s">
        <v>865</v>
      </c>
    </row>
    <row r="3627" spans="1:9" x14ac:dyDescent="0.3">
      <c r="A3627" s="22" t="s">
        <v>66</v>
      </c>
      <c r="B3627" t="s">
        <v>62</v>
      </c>
      <c r="C3627" t="s">
        <v>57</v>
      </c>
      <c r="D3627" t="s">
        <v>63</v>
      </c>
      <c r="E3627" t="s">
        <v>832</v>
      </c>
      <c r="F3627" t="s">
        <v>815</v>
      </c>
      <c r="G3627" t="s">
        <v>816</v>
      </c>
      <c r="H3627" t="s">
        <v>848</v>
      </c>
      <c r="I3627" t="s">
        <v>833</v>
      </c>
    </row>
    <row r="3628" spans="1:9" x14ac:dyDescent="0.3">
      <c r="A3628" s="22" t="s">
        <v>67</v>
      </c>
      <c r="B3628">
        <v>18</v>
      </c>
      <c r="C3628" t="s">
        <v>64</v>
      </c>
      <c r="D3628">
        <v>18</v>
      </c>
      <c r="E3628" s="8">
        <v>0.1111</v>
      </c>
      <c r="F3628" s="8">
        <v>0.55559999999999998</v>
      </c>
      <c r="G3628" s="8">
        <v>0.16669999999999999</v>
      </c>
      <c r="H3628" s="8">
        <v>5.5599999999999997E-2</v>
      </c>
      <c r="I3628" s="8">
        <v>0.1111</v>
      </c>
    </row>
    <row r="3630" spans="1:9" ht="57.6" x14ac:dyDescent="0.3">
      <c r="A3630" s="22" t="s">
        <v>866</v>
      </c>
    </row>
    <row r="3631" spans="1:9" x14ac:dyDescent="0.3">
      <c r="A3631" s="22" t="s">
        <v>66</v>
      </c>
      <c r="B3631" t="s">
        <v>62</v>
      </c>
      <c r="C3631" t="s">
        <v>57</v>
      </c>
      <c r="D3631" t="s">
        <v>63</v>
      </c>
      <c r="E3631" t="s">
        <v>832</v>
      </c>
      <c r="F3631" t="s">
        <v>815</v>
      </c>
      <c r="G3631" t="s">
        <v>816</v>
      </c>
      <c r="H3631" t="s">
        <v>848</v>
      </c>
      <c r="I3631" t="s">
        <v>833</v>
      </c>
    </row>
    <row r="3632" spans="1:9" x14ac:dyDescent="0.3">
      <c r="A3632" s="22" t="s">
        <v>67</v>
      </c>
      <c r="B3632">
        <v>17</v>
      </c>
      <c r="C3632" t="s">
        <v>64</v>
      </c>
      <c r="D3632">
        <v>18</v>
      </c>
      <c r="E3632" s="8">
        <v>0.1176</v>
      </c>
      <c r="F3632" s="8">
        <v>0.58819999999999995</v>
      </c>
      <c r="G3632" s="8">
        <v>0.1176</v>
      </c>
      <c r="H3632" s="8">
        <v>5.8799999999999998E-2</v>
      </c>
      <c r="I3632" s="8">
        <v>0.1176</v>
      </c>
    </row>
    <row r="3633" spans="1:9" x14ac:dyDescent="0.3">
      <c r="A3633" s="22" t="s">
        <v>68</v>
      </c>
      <c r="B3633">
        <v>1</v>
      </c>
      <c r="C3633" t="s">
        <v>64</v>
      </c>
      <c r="D3633">
        <v>18</v>
      </c>
      <c r="G3633" s="8">
        <v>1</v>
      </c>
    </row>
    <row r="3635" spans="1:9" ht="57.6" x14ac:dyDescent="0.3">
      <c r="A3635" s="22" t="s">
        <v>867</v>
      </c>
    </row>
    <row r="3636" spans="1:9" x14ac:dyDescent="0.3">
      <c r="A3636" s="22" t="s">
        <v>66</v>
      </c>
      <c r="B3636" t="s">
        <v>62</v>
      </c>
      <c r="C3636" t="s">
        <v>57</v>
      </c>
      <c r="D3636" t="s">
        <v>63</v>
      </c>
      <c r="E3636" t="s">
        <v>832</v>
      </c>
      <c r="F3636" t="s">
        <v>815</v>
      </c>
      <c r="G3636" t="s">
        <v>816</v>
      </c>
      <c r="H3636" t="s">
        <v>848</v>
      </c>
      <c r="I3636" t="s">
        <v>833</v>
      </c>
    </row>
    <row r="3637" spans="1:9" x14ac:dyDescent="0.3">
      <c r="A3637" s="22" t="s">
        <v>67</v>
      </c>
      <c r="B3637">
        <v>1</v>
      </c>
      <c r="C3637" t="s">
        <v>64</v>
      </c>
      <c r="D3637">
        <v>18</v>
      </c>
      <c r="F3637" s="8">
        <v>1</v>
      </c>
    </row>
    <row r="3638" spans="1:9" x14ac:dyDescent="0.3">
      <c r="A3638" s="22" t="s">
        <v>68</v>
      </c>
      <c r="B3638">
        <v>17</v>
      </c>
      <c r="C3638" t="s">
        <v>64</v>
      </c>
      <c r="D3638">
        <v>18</v>
      </c>
      <c r="E3638" s="8">
        <v>0.1176</v>
      </c>
      <c r="F3638" s="8">
        <v>0.52939999999999998</v>
      </c>
      <c r="G3638" s="8">
        <v>0.17649999999999999</v>
      </c>
      <c r="H3638" s="8">
        <v>5.8799999999999998E-2</v>
      </c>
      <c r="I3638" s="8">
        <v>0.1176</v>
      </c>
    </row>
    <row r="3640" spans="1:9" ht="57.6" x14ac:dyDescent="0.3">
      <c r="A3640" s="22" t="s">
        <v>868</v>
      </c>
    </row>
    <row r="3641" spans="1:9" x14ac:dyDescent="0.3">
      <c r="A3641" s="22" t="s">
        <v>66</v>
      </c>
      <c r="B3641" t="s">
        <v>62</v>
      </c>
      <c r="C3641" t="s">
        <v>57</v>
      </c>
      <c r="D3641" t="s">
        <v>63</v>
      </c>
      <c r="E3641" t="s">
        <v>832</v>
      </c>
      <c r="F3641" t="s">
        <v>815</v>
      </c>
      <c r="G3641" t="s">
        <v>816</v>
      </c>
      <c r="H3641" t="s">
        <v>848</v>
      </c>
      <c r="I3641" t="s">
        <v>833</v>
      </c>
    </row>
    <row r="3642" spans="1:9" x14ac:dyDescent="0.3">
      <c r="A3642" s="22" t="s">
        <v>67</v>
      </c>
      <c r="B3642">
        <v>17</v>
      </c>
      <c r="C3642" t="s">
        <v>64</v>
      </c>
      <c r="D3642">
        <v>18</v>
      </c>
      <c r="E3642" s="8">
        <v>0.1176</v>
      </c>
      <c r="F3642" s="8">
        <v>0.58819999999999995</v>
      </c>
      <c r="G3642" s="8">
        <v>0.1176</v>
      </c>
      <c r="H3642" s="8">
        <v>5.8799999999999998E-2</v>
      </c>
      <c r="I3642" s="8">
        <v>0.1176</v>
      </c>
    </row>
    <row r="3643" spans="1:9" x14ac:dyDescent="0.3">
      <c r="A3643" s="22" t="s">
        <v>68</v>
      </c>
      <c r="B3643">
        <v>1</v>
      </c>
      <c r="C3643" t="s">
        <v>64</v>
      </c>
      <c r="D3643">
        <v>18</v>
      </c>
      <c r="G3643" s="8">
        <v>1</v>
      </c>
    </row>
    <row r="3645" spans="1:9" ht="57.6" x14ac:dyDescent="0.3">
      <c r="A3645" s="22" t="s">
        <v>869</v>
      </c>
    </row>
    <row r="3646" spans="1:9" x14ac:dyDescent="0.3">
      <c r="A3646" s="22" t="s">
        <v>66</v>
      </c>
      <c r="B3646" t="s">
        <v>62</v>
      </c>
      <c r="C3646" t="s">
        <v>57</v>
      </c>
      <c r="D3646" t="s">
        <v>63</v>
      </c>
      <c r="E3646" t="s">
        <v>832</v>
      </c>
      <c r="F3646" t="s">
        <v>815</v>
      </c>
      <c r="G3646" t="s">
        <v>816</v>
      </c>
      <c r="H3646" t="s">
        <v>848</v>
      </c>
      <c r="I3646" t="s">
        <v>833</v>
      </c>
    </row>
    <row r="3647" spans="1:9" x14ac:dyDescent="0.3">
      <c r="A3647" s="22" t="s">
        <v>67</v>
      </c>
      <c r="B3647">
        <v>14</v>
      </c>
      <c r="C3647" t="s">
        <v>64</v>
      </c>
      <c r="D3647">
        <v>18</v>
      </c>
      <c r="E3647" s="8">
        <v>7.1400000000000005E-2</v>
      </c>
      <c r="F3647" s="8">
        <v>0.57140000000000002</v>
      </c>
      <c r="G3647" s="8">
        <v>0.21429999999999999</v>
      </c>
      <c r="I3647" s="8">
        <v>0.1429</v>
      </c>
    </row>
    <row r="3648" spans="1:9" x14ac:dyDescent="0.3">
      <c r="A3648" s="22" t="s">
        <v>68</v>
      </c>
      <c r="B3648">
        <v>4</v>
      </c>
      <c r="C3648" t="s">
        <v>64</v>
      </c>
      <c r="D3648">
        <v>18</v>
      </c>
      <c r="E3648" s="8">
        <v>0.25</v>
      </c>
      <c r="F3648" s="8">
        <v>0.5</v>
      </c>
      <c r="H3648" s="8">
        <v>0.25</v>
      </c>
    </row>
    <row r="3650" spans="1:9" ht="57.6" x14ac:dyDescent="0.3">
      <c r="A3650" s="22" t="s">
        <v>870</v>
      </c>
    </row>
    <row r="3651" spans="1:9" x14ac:dyDescent="0.3">
      <c r="A3651" s="22" t="s">
        <v>66</v>
      </c>
      <c r="B3651" t="s">
        <v>62</v>
      </c>
      <c r="C3651" t="s">
        <v>57</v>
      </c>
      <c r="D3651" t="s">
        <v>63</v>
      </c>
      <c r="E3651" t="s">
        <v>832</v>
      </c>
      <c r="F3651" t="s">
        <v>815</v>
      </c>
      <c r="G3651" t="s">
        <v>816</v>
      </c>
      <c r="H3651" t="s">
        <v>848</v>
      </c>
      <c r="I3651" t="s">
        <v>833</v>
      </c>
    </row>
    <row r="3652" spans="1:9" x14ac:dyDescent="0.3">
      <c r="A3652" s="22" t="s">
        <v>67</v>
      </c>
      <c r="B3652">
        <v>13</v>
      </c>
      <c r="C3652" t="s">
        <v>64</v>
      </c>
      <c r="D3652">
        <v>18</v>
      </c>
      <c r="E3652" s="8">
        <v>7.6899999999999996E-2</v>
      </c>
      <c r="F3652" s="8">
        <v>0.61539999999999995</v>
      </c>
      <c r="G3652" s="8">
        <v>0.15379999999999999</v>
      </c>
      <c r="H3652" s="8">
        <v>7.6899999999999996E-2</v>
      </c>
      <c r="I3652" s="8">
        <v>7.6899999999999996E-2</v>
      </c>
    </row>
    <row r="3653" spans="1:9" x14ac:dyDescent="0.3">
      <c r="A3653" s="22" t="s">
        <v>68</v>
      </c>
      <c r="B3653">
        <v>5</v>
      </c>
      <c r="C3653" t="s">
        <v>64</v>
      </c>
      <c r="D3653">
        <v>18</v>
      </c>
      <c r="E3653" s="8">
        <v>0.2</v>
      </c>
      <c r="F3653" s="8">
        <v>0.4</v>
      </c>
      <c r="G3653" s="8">
        <v>0.2</v>
      </c>
      <c r="I3653" s="8">
        <v>0.2</v>
      </c>
    </row>
    <row r="3655" spans="1:9" ht="72" x14ac:dyDescent="0.3">
      <c r="A3655" s="22" t="s">
        <v>871</v>
      </c>
    </row>
    <row r="3656" spans="1:9" x14ac:dyDescent="0.3">
      <c r="A3656" s="22" t="s">
        <v>66</v>
      </c>
      <c r="B3656" t="s">
        <v>62</v>
      </c>
      <c r="C3656" t="s">
        <v>57</v>
      </c>
      <c r="D3656" t="s">
        <v>63</v>
      </c>
      <c r="E3656" t="s">
        <v>832</v>
      </c>
      <c r="F3656" t="s">
        <v>815</v>
      </c>
      <c r="G3656" t="s">
        <v>816</v>
      </c>
      <c r="H3656" t="s">
        <v>848</v>
      </c>
      <c r="I3656" t="s">
        <v>833</v>
      </c>
    </row>
    <row r="3657" spans="1:9" x14ac:dyDescent="0.3">
      <c r="A3657" s="22" t="s">
        <v>67</v>
      </c>
      <c r="B3657">
        <v>14</v>
      </c>
      <c r="C3657" t="s">
        <v>64</v>
      </c>
      <c r="D3657">
        <v>18</v>
      </c>
      <c r="E3657" s="8">
        <v>0.1429</v>
      </c>
      <c r="F3657" s="8">
        <v>0.5</v>
      </c>
      <c r="G3657" s="8">
        <v>0.1429</v>
      </c>
      <c r="H3657" s="8">
        <v>7.1400000000000005E-2</v>
      </c>
      <c r="I3657" s="8">
        <v>0.1429</v>
      </c>
    </row>
    <row r="3658" spans="1:9" x14ac:dyDescent="0.3">
      <c r="A3658" s="22" t="s">
        <v>68</v>
      </c>
      <c r="B3658">
        <v>4</v>
      </c>
      <c r="C3658" t="s">
        <v>64</v>
      </c>
      <c r="D3658">
        <v>18</v>
      </c>
      <c r="F3658" s="8">
        <v>0.75</v>
      </c>
      <c r="G3658" s="8">
        <v>0.25</v>
      </c>
    </row>
    <row r="3660" spans="1:9" ht="72" x14ac:dyDescent="0.3">
      <c r="A3660" s="22" t="s">
        <v>872</v>
      </c>
    </row>
    <row r="3661" spans="1:9" x14ac:dyDescent="0.3">
      <c r="A3661" s="22" t="s">
        <v>66</v>
      </c>
      <c r="B3661" t="s">
        <v>62</v>
      </c>
      <c r="C3661" t="s">
        <v>57</v>
      </c>
      <c r="D3661" t="s">
        <v>63</v>
      </c>
      <c r="E3661" t="s">
        <v>832</v>
      </c>
      <c r="F3661" t="s">
        <v>815</v>
      </c>
      <c r="G3661" t="s">
        <v>816</v>
      </c>
      <c r="H3661" t="s">
        <v>848</v>
      </c>
      <c r="I3661" t="s">
        <v>833</v>
      </c>
    </row>
    <row r="3662" spans="1:9" x14ac:dyDescent="0.3">
      <c r="A3662" s="22" t="s">
        <v>67</v>
      </c>
      <c r="B3662">
        <v>18</v>
      </c>
      <c r="C3662" t="s">
        <v>64</v>
      </c>
      <c r="D3662">
        <v>18</v>
      </c>
      <c r="E3662" s="8">
        <v>0.1111</v>
      </c>
      <c r="F3662" s="8">
        <v>0.55559999999999998</v>
      </c>
      <c r="G3662" s="8">
        <v>0.16669999999999999</v>
      </c>
      <c r="H3662" s="8">
        <v>5.5599999999999997E-2</v>
      </c>
      <c r="I3662" s="8">
        <v>0.1111</v>
      </c>
    </row>
    <row r="3664" spans="1:9" ht="57.6" x14ac:dyDescent="0.3">
      <c r="A3664" s="22" t="s">
        <v>873</v>
      </c>
    </row>
    <row r="3665" spans="1:9" x14ac:dyDescent="0.3">
      <c r="A3665" s="22" t="s">
        <v>66</v>
      </c>
      <c r="B3665" t="s">
        <v>62</v>
      </c>
      <c r="C3665" t="s">
        <v>57</v>
      </c>
      <c r="D3665" t="s">
        <v>63</v>
      </c>
      <c r="E3665" t="s">
        <v>832</v>
      </c>
      <c r="F3665" t="s">
        <v>815</v>
      </c>
      <c r="G3665" t="s">
        <v>816</v>
      </c>
      <c r="H3665" t="s">
        <v>848</v>
      </c>
      <c r="I3665" t="s">
        <v>833</v>
      </c>
    </row>
    <row r="3666" spans="1:9" x14ac:dyDescent="0.3">
      <c r="A3666" s="22" t="s">
        <v>67</v>
      </c>
      <c r="B3666">
        <v>11</v>
      </c>
      <c r="C3666" t="s">
        <v>64</v>
      </c>
      <c r="D3666">
        <v>18</v>
      </c>
      <c r="E3666" s="8">
        <v>0.18179999999999999</v>
      </c>
      <c r="F3666" s="8">
        <v>0.63639999999999997</v>
      </c>
      <c r="G3666" s="8">
        <v>0.18179999999999999</v>
      </c>
    </row>
    <row r="3667" spans="1:9" x14ac:dyDescent="0.3">
      <c r="A3667" s="22" t="s">
        <v>68</v>
      </c>
      <c r="B3667">
        <v>7</v>
      </c>
      <c r="C3667" t="s">
        <v>64</v>
      </c>
      <c r="D3667">
        <v>18</v>
      </c>
      <c r="F3667" s="8">
        <v>0.42859999999999998</v>
      </c>
      <c r="G3667" s="8">
        <v>0.1429</v>
      </c>
      <c r="H3667" s="8">
        <v>0.1429</v>
      </c>
      <c r="I3667" s="8">
        <v>0.28570000000000001</v>
      </c>
    </row>
    <row r="3669" spans="1:9" ht="57.6" x14ac:dyDescent="0.3">
      <c r="A3669" s="22" t="s">
        <v>874</v>
      </c>
    </row>
    <row r="3670" spans="1:9" x14ac:dyDescent="0.3">
      <c r="A3670" s="22" t="s">
        <v>66</v>
      </c>
      <c r="B3670" t="s">
        <v>62</v>
      </c>
      <c r="C3670" t="s">
        <v>57</v>
      </c>
      <c r="D3670" t="s">
        <v>63</v>
      </c>
      <c r="E3670" t="s">
        <v>832</v>
      </c>
      <c r="F3670" t="s">
        <v>815</v>
      </c>
      <c r="G3670" t="s">
        <v>816</v>
      </c>
      <c r="H3670" t="s">
        <v>848</v>
      </c>
      <c r="I3670" t="s">
        <v>833</v>
      </c>
    </row>
    <row r="3671" spans="1:9" x14ac:dyDescent="0.3">
      <c r="A3671" s="22" t="s">
        <v>67</v>
      </c>
      <c r="B3671">
        <v>16</v>
      </c>
      <c r="C3671" t="s">
        <v>64</v>
      </c>
      <c r="D3671">
        <v>18</v>
      </c>
      <c r="E3671" s="8">
        <v>0.125</v>
      </c>
      <c r="F3671" s="8">
        <v>0.5</v>
      </c>
      <c r="G3671" s="8">
        <v>0.1875</v>
      </c>
      <c r="H3671" s="8">
        <v>6.25E-2</v>
      </c>
      <c r="I3671" s="8">
        <v>0.125</v>
      </c>
    </row>
    <row r="3672" spans="1:9" x14ac:dyDescent="0.3">
      <c r="A3672" s="22" t="s">
        <v>68</v>
      </c>
      <c r="B3672">
        <v>2</v>
      </c>
      <c r="C3672" t="s">
        <v>64</v>
      </c>
      <c r="D3672">
        <v>18</v>
      </c>
      <c r="F3672" s="8">
        <v>1</v>
      </c>
    </row>
    <row r="3674" spans="1:9" ht="43.2" x14ac:dyDescent="0.3">
      <c r="A3674" s="27" t="s">
        <v>875</v>
      </c>
    </row>
    <row r="3675" spans="1:9" x14ac:dyDescent="0.3">
      <c r="A3675" s="22" t="s">
        <v>66</v>
      </c>
      <c r="B3675" t="s">
        <v>62</v>
      </c>
      <c r="C3675" t="s">
        <v>57</v>
      </c>
      <c r="D3675" t="s">
        <v>63</v>
      </c>
      <c r="E3675" t="s">
        <v>832</v>
      </c>
      <c r="F3675" t="s">
        <v>815</v>
      </c>
      <c r="G3675" t="s">
        <v>816</v>
      </c>
      <c r="H3675" t="s">
        <v>848</v>
      </c>
      <c r="I3675" t="s">
        <v>833</v>
      </c>
    </row>
    <row r="3676" spans="1:9" x14ac:dyDescent="0.3">
      <c r="A3676" s="22" t="s">
        <v>81</v>
      </c>
      <c r="B3676">
        <v>5</v>
      </c>
      <c r="C3676" t="s">
        <v>64</v>
      </c>
      <c r="D3676">
        <v>18</v>
      </c>
      <c r="F3676" s="8">
        <v>0.8</v>
      </c>
      <c r="I3676" s="8">
        <v>0.2</v>
      </c>
    </row>
    <row r="3677" spans="1:9" x14ac:dyDescent="0.3">
      <c r="A3677" s="22" t="s">
        <v>82</v>
      </c>
      <c r="B3677">
        <v>6</v>
      </c>
      <c r="C3677" t="s">
        <v>64</v>
      </c>
      <c r="D3677">
        <v>18</v>
      </c>
      <c r="E3677" s="8">
        <v>0.33329999999999999</v>
      </c>
      <c r="F3677" s="8">
        <v>0.33329999999999999</v>
      </c>
      <c r="G3677" s="8">
        <v>0.16669999999999999</v>
      </c>
      <c r="H3677" s="8">
        <v>0.16669999999999999</v>
      </c>
    </row>
    <row r="3678" spans="1:9" x14ac:dyDescent="0.3">
      <c r="A3678" s="22" t="s">
        <v>83</v>
      </c>
      <c r="B3678">
        <v>3</v>
      </c>
      <c r="C3678" t="s">
        <v>64</v>
      </c>
      <c r="D3678">
        <v>18</v>
      </c>
      <c r="F3678" s="8">
        <v>0.66669999999999996</v>
      </c>
      <c r="G3678" s="8">
        <v>0.33329999999999999</v>
      </c>
    </row>
    <row r="3679" spans="1:9" x14ac:dyDescent="0.3">
      <c r="A3679" s="22" t="s">
        <v>84</v>
      </c>
      <c r="B3679">
        <v>4</v>
      </c>
      <c r="C3679" t="s">
        <v>64</v>
      </c>
      <c r="D3679">
        <v>18</v>
      </c>
      <c r="F3679" s="8">
        <v>0.5</v>
      </c>
      <c r="G3679" s="8">
        <v>0.25</v>
      </c>
      <c r="I3679" s="8">
        <v>0.25</v>
      </c>
    </row>
    <row r="3681" spans="1:9" ht="43.2" x14ac:dyDescent="0.3">
      <c r="A3681" s="27" t="s">
        <v>876</v>
      </c>
    </row>
    <row r="3682" spans="1:9" x14ac:dyDescent="0.3">
      <c r="A3682" s="22" t="s">
        <v>62</v>
      </c>
      <c r="B3682" t="s">
        <v>57</v>
      </c>
      <c r="C3682" t="s">
        <v>63</v>
      </c>
      <c r="D3682" t="s">
        <v>832</v>
      </c>
      <c r="E3682" t="s">
        <v>815</v>
      </c>
      <c r="F3682" t="s">
        <v>816</v>
      </c>
      <c r="G3682" t="s">
        <v>817</v>
      </c>
      <c r="H3682" t="s">
        <v>833</v>
      </c>
    </row>
    <row r="3683" spans="1:9" x14ac:dyDescent="0.3">
      <c r="A3683" s="22">
        <v>11</v>
      </c>
      <c r="B3683" t="s">
        <v>64</v>
      </c>
      <c r="C3683">
        <v>11</v>
      </c>
      <c r="D3683" s="8">
        <v>0.18179999999999999</v>
      </c>
      <c r="E3683" s="8">
        <v>0.2727</v>
      </c>
      <c r="F3683" s="8">
        <v>0.18179999999999999</v>
      </c>
      <c r="G3683" s="8">
        <v>0.2727</v>
      </c>
      <c r="H3683" s="8">
        <v>9.0899999999999995E-2</v>
      </c>
    </row>
    <row r="3685" spans="1:9" ht="57.6" x14ac:dyDescent="0.3">
      <c r="A3685" s="22" t="s">
        <v>877</v>
      </c>
    </row>
    <row r="3686" spans="1:9" x14ac:dyDescent="0.3">
      <c r="A3686" s="22" t="s">
        <v>66</v>
      </c>
      <c r="B3686" t="s">
        <v>62</v>
      </c>
      <c r="C3686" t="s">
        <v>57</v>
      </c>
      <c r="D3686" t="s">
        <v>63</v>
      </c>
      <c r="E3686" t="s">
        <v>832</v>
      </c>
      <c r="F3686" t="s">
        <v>815</v>
      </c>
      <c r="G3686" t="s">
        <v>816</v>
      </c>
      <c r="H3686" t="s">
        <v>817</v>
      </c>
      <c r="I3686" t="s">
        <v>833</v>
      </c>
    </row>
    <row r="3687" spans="1:9" x14ac:dyDescent="0.3">
      <c r="A3687" s="22" t="s">
        <v>67</v>
      </c>
      <c r="B3687">
        <v>11</v>
      </c>
      <c r="C3687" t="s">
        <v>64</v>
      </c>
      <c r="D3687">
        <v>11</v>
      </c>
      <c r="E3687" s="8">
        <v>0.18179999999999999</v>
      </c>
      <c r="F3687" s="8">
        <v>0.2727</v>
      </c>
      <c r="G3687" s="8">
        <v>0.18179999999999999</v>
      </c>
      <c r="H3687" s="8">
        <v>0.2727</v>
      </c>
      <c r="I3687" s="8">
        <v>9.0899999999999995E-2</v>
      </c>
    </row>
    <row r="3689" spans="1:9" x14ac:dyDescent="0.3">
      <c r="A3689"/>
    </row>
    <row r="3690" spans="1:9" x14ac:dyDescent="0.3">
      <c r="A3690"/>
    </row>
    <row r="3691" spans="1:9" x14ac:dyDescent="0.3">
      <c r="A3691"/>
    </row>
    <row r="3693" spans="1:9" ht="57.6" x14ac:dyDescent="0.3">
      <c r="A3693" s="22" t="s">
        <v>878</v>
      </c>
    </row>
    <row r="3694" spans="1:9" x14ac:dyDescent="0.3">
      <c r="A3694" s="22" t="s">
        <v>66</v>
      </c>
      <c r="B3694" t="s">
        <v>62</v>
      </c>
      <c r="C3694" t="s">
        <v>57</v>
      </c>
      <c r="D3694" t="s">
        <v>63</v>
      </c>
      <c r="E3694" t="s">
        <v>832</v>
      </c>
      <c r="F3694" t="s">
        <v>815</v>
      </c>
      <c r="G3694" t="s">
        <v>816</v>
      </c>
      <c r="H3694" t="s">
        <v>817</v>
      </c>
      <c r="I3694" t="s">
        <v>833</v>
      </c>
    </row>
    <row r="3695" spans="1:9" x14ac:dyDescent="0.3">
      <c r="A3695" s="22" t="s">
        <v>67</v>
      </c>
      <c r="B3695">
        <v>10</v>
      </c>
      <c r="C3695" t="s">
        <v>64</v>
      </c>
      <c r="D3695">
        <v>11</v>
      </c>
      <c r="E3695" s="8">
        <v>0.2</v>
      </c>
      <c r="F3695" s="8">
        <v>0.3</v>
      </c>
      <c r="G3695" s="8">
        <v>0.2</v>
      </c>
      <c r="H3695" s="8">
        <v>0.2</v>
      </c>
      <c r="I3695" s="8">
        <v>0.1</v>
      </c>
    </row>
    <row r="3696" spans="1:9" x14ac:dyDescent="0.3">
      <c r="A3696" s="22" t="s">
        <v>68</v>
      </c>
      <c r="B3696">
        <v>1</v>
      </c>
      <c r="C3696" t="s">
        <v>64</v>
      </c>
      <c r="D3696">
        <v>11</v>
      </c>
      <c r="H3696" s="8">
        <v>1</v>
      </c>
    </row>
    <row r="3698" spans="1:9" ht="57.6" x14ac:dyDescent="0.3">
      <c r="A3698" s="22" t="s">
        <v>879</v>
      </c>
    </row>
    <row r="3699" spans="1:9" x14ac:dyDescent="0.3">
      <c r="A3699" s="22" t="s">
        <v>66</v>
      </c>
      <c r="B3699" t="s">
        <v>62</v>
      </c>
      <c r="C3699" t="s">
        <v>57</v>
      </c>
      <c r="D3699" t="s">
        <v>63</v>
      </c>
      <c r="E3699" t="s">
        <v>832</v>
      </c>
      <c r="F3699" t="s">
        <v>815</v>
      </c>
      <c r="G3699" t="s">
        <v>816</v>
      </c>
      <c r="H3699" t="s">
        <v>817</v>
      </c>
      <c r="I3699" t="s">
        <v>833</v>
      </c>
    </row>
    <row r="3700" spans="1:9" x14ac:dyDescent="0.3">
      <c r="A3700" s="22" t="s">
        <v>67</v>
      </c>
      <c r="B3700">
        <v>11</v>
      </c>
      <c r="C3700" t="s">
        <v>64</v>
      </c>
      <c r="D3700">
        <v>11</v>
      </c>
      <c r="E3700" s="8">
        <v>0.18179999999999999</v>
      </c>
      <c r="F3700" s="8">
        <v>0.2727</v>
      </c>
      <c r="G3700" s="8">
        <v>0.18179999999999999</v>
      </c>
      <c r="H3700" s="8">
        <v>0.2727</v>
      </c>
      <c r="I3700" s="8">
        <v>9.0899999999999995E-2</v>
      </c>
    </row>
    <row r="3702" spans="1:9" ht="57.6" x14ac:dyDescent="0.3">
      <c r="A3702" s="22" t="s">
        <v>880</v>
      </c>
    </row>
    <row r="3703" spans="1:9" x14ac:dyDescent="0.3">
      <c r="A3703" s="22" t="s">
        <v>66</v>
      </c>
      <c r="B3703" t="s">
        <v>62</v>
      </c>
      <c r="C3703" t="s">
        <v>57</v>
      </c>
      <c r="D3703" t="s">
        <v>63</v>
      </c>
      <c r="E3703" t="s">
        <v>832</v>
      </c>
      <c r="F3703" t="s">
        <v>815</v>
      </c>
      <c r="G3703" t="s">
        <v>816</v>
      </c>
      <c r="H3703" t="s">
        <v>817</v>
      </c>
      <c r="I3703" t="s">
        <v>833</v>
      </c>
    </row>
    <row r="3704" spans="1:9" x14ac:dyDescent="0.3">
      <c r="A3704" s="22" t="s">
        <v>67</v>
      </c>
      <c r="B3704">
        <v>8</v>
      </c>
      <c r="C3704" t="s">
        <v>64</v>
      </c>
      <c r="D3704">
        <v>11</v>
      </c>
      <c r="F3704" s="8">
        <v>0.375</v>
      </c>
      <c r="G3704" s="8">
        <v>0.125</v>
      </c>
      <c r="H3704" s="8">
        <v>0.375</v>
      </c>
      <c r="I3704" s="8">
        <v>0.125</v>
      </c>
    </row>
    <row r="3705" spans="1:9" x14ac:dyDescent="0.3">
      <c r="A3705" s="22" t="s">
        <v>68</v>
      </c>
      <c r="B3705">
        <v>3</v>
      </c>
      <c r="C3705" t="s">
        <v>64</v>
      </c>
      <c r="D3705">
        <v>11</v>
      </c>
      <c r="E3705" s="8">
        <v>0.66669999999999996</v>
      </c>
      <c r="G3705" s="8">
        <v>0.33329999999999999</v>
      </c>
    </row>
    <row r="3707" spans="1:9" ht="57.6" x14ac:dyDescent="0.3">
      <c r="A3707" s="22" t="s">
        <v>881</v>
      </c>
    </row>
    <row r="3708" spans="1:9" x14ac:dyDescent="0.3">
      <c r="A3708" s="22" t="s">
        <v>66</v>
      </c>
      <c r="B3708" t="s">
        <v>62</v>
      </c>
      <c r="C3708" t="s">
        <v>57</v>
      </c>
      <c r="D3708" t="s">
        <v>63</v>
      </c>
      <c r="E3708" t="s">
        <v>832</v>
      </c>
      <c r="F3708" t="s">
        <v>815</v>
      </c>
      <c r="G3708" t="s">
        <v>816</v>
      </c>
      <c r="H3708" t="s">
        <v>817</v>
      </c>
      <c r="I3708" t="s">
        <v>833</v>
      </c>
    </row>
    <row r="3709" spans="1:9" x14ac:dyDescent="0.3">
      <c r="A3709" s="22" t="s">
        <v>68</v>
      </c>
      <c r="B3709">
        <v>11</v>
      </c>
      <c r="C3709" t="s">
        <v>64</v>
      </c>
      <c r="D3709">
        <v>11</v>
      </c>
      <c r="E3709" s="8">
        <v>0.18179999999999999</v>
      </c>
      <c r="F3709" s="8">
        <v>0.2727</v>
      </c>
      <c r="G3709" s="8">
        <v>0.18179999999999999</v>
      </c>
      <c r="H3709" s="8">
        <v>0.2727</v>
      </c>
      <c r="I3709" s="8">
        <v>9.0899999999999995E-2</v>
      </c>
    </row>
    <row r="3711" spans="1:9" ht="57.6" x14ac:dyDescent="0.3">
      <c r="A3711" s="22" t="s">
        <v>882</v>
      </c>
    </row>
    <row r="3712" spans="1:9" x14ac:dyDescent="0.3">
      <c r="A3712" s="22" t="s">
        <v>66</v>
      </c>
      <c r="B3712" t="s">
        <v>62</v>
      </c>
      <c r="C3712" t="s">
        <v>57</v>
      </c>
      <c r="D3712" t="s">
        <v>63</v>
      </c>
      <c r="E3712" t="s">
        <v>832</v>
      </c>
      <c r="F3712" t="s">
        <v>815</v>
      </c>
      <c r="G3712" t="s">
        <v>816</v>
      </c>
      <c r="H3712" t="s">
        <v>817</v>
      </c>
      <c r="I3712" t="s">
        <v>833</v>
      </c>
    </row>
    <row r="3713" spans="1:9" x14ac:dyDescent="0.3">
      <c r="A3713" s="22" t="s">
        <v>67</v>
      </c>
      <c r="B3713">
        <v>11</v>
      </c>
      <c r="C3713" t="s">
        <v>64</v>
      </c>
      <c r="D3713">
        <v>11</v>
      </c>
      <c r="E3713" s="8">
        <v>0.18179999999999999</v>
      </c>
      <c r="F3713" s="8">
        <v>0.2727</v>
      </c>
      <c r="G3713" s="8">
        <v>0.18179999999999999</v>
      </c>
      <c r="H3713" s="8">
        <v>0.2727</v>
      </c>
      <c r="I3713" s="8">
        <v>9.0899999999999995E-2</v>
      </c>
    </row>
    <row r="3715" spans="1:9" ht="57.6" x14ac:dyDescent="0.3">
      <c r="A3715" s="22" t="s">
        <v>883</v>
      </c>
    </row>
    <row r="3716" spans="1:9" x14ac:dyDescent="0.3">
      <c r="A3716" s="22" t="s">
        <v>66</v>
      </c>
      <c r="B3716" t="s">
        <v>62</v>
      </c>
      <c r="C3716" t="s">
        <v>57</v>
      </c>
      <c r="D3716" t="s">
        <v>63</v>
      </c>
      <c r="E3716" t="s">
        <v>832</v>
      </c>
      <c r="F3716" t="s">
        <v>815</v>
      </c>
      <c r="G3716" t="s">
        <v>816</v>
      </c>
      <c r="H3716" t="s">
        <v>817</v>
      </c>
      <c r="I3716" t="s">
        <v>833</v>
      </c>
    </row>
    <row r="3717" spans="1:9" x14ac:dyDescent="0.3">
      <c r="A3717" s="22" t="s">
        <v>67</v>
      </c>
      <c r="B3717">
        <v>9</v>
      </c>
      <c r="C3717" t="s">
        <v>64</v>
      </c>
      <c r="D3717">
        <v>11</v>
      </c>
      <c r="E3717" s="8">
        <v>0.22220000000000001</v>
      </c>
      <c r="F3717" s="8">
        <v>0.22220000000000001</v>
      </c>
      <c r="G3717" s="8">
        <v>0.22220000000000001</v>
      </c>
      <c r="H3717" s="8">
        <v>0.22220000000000001</v>
      </c>
      <c r="I3717" s="8">
        <v>0.1111</v>
      </c>
    </row>
    <row r="3718" spans="1:9" x14ac:dyDescent="0.3">
      <c r="A3718" s="22" t="s">
        <v>68</v>
      </c>
      <c r="B3718">
        <v>2</v>
      </c>
      <c r="C3718" t="s">
        <v>64</v>
      </c>
      <c r="D3718">
        <v>11</v>
      </c>
      <c r="F3718" s="8">
        <v>0.5</v>
      </c>
      <c r="H3718" s="8">
        <v>0.5</v>
      </c>
    </row>
    <row r="3720" spans="1:9" ht="57.6" x14ac:dyDescent="0.3">
      <c r="A3720" s="22" t="s">
        <v>884</v>
      </c>
    </row>
    <row r="3721" spans="1:9" x14ac:dyDescent="0.3">
      <c r="A3721" s="22" t="s">
        <v>66</v>
      </c>
      <c r="B3721" t="s">
        <v>62</v>
      </c>
      <c r="C3721" t="s">
        <v>57</v>
      </c>
      <c r="D3721" t="s">
        <v>63</v>
      </c>
      <c r="E3721" t="s">
        <v>832</v>
      </c>
      <c r="F3721" t="s">
        <v>815</v>
      </c>
      <c r="G3721" t="s">
        <v>816</v>
      </c>
      <c r="H3721" t="s">
        <v>817</v>
      </c>
      <c r="I3721" t="s">
        <v>833</v>
      </c>
    </row>
    <row r="3722" spans="1:9" x14ac:dyDescent="0.3">
      <c r="A3722" s="22" t="s">
        <v>67</v>
      </c>
      <c r="B3722">
        <v>9</v>
      </c>
      <c r="C3722" t="s">
        <v>64</v>
      </c>
      <c r="D3722">
        <v>11</v>
      </c>
      <c r="E3722" s="8">
        <v>0.22220000000000001</v>
      </c>
      <c r="F3722" s="8">
        <v>0.33329999999999999</v>
      </c>
      <c r="G3722" s="8">
        <v>0.1111</v>
      </c>
      <c r="H3722" s="8">
        <v>0.22220000000000001</v>
      </c>
      <c r="I3722" s="8">
        <v>0.1111</v>
      </c>
    </row>
    <row r="3723" spans="1:9" x14ac:dyDescent="0.3">
      <c r="A3723" s="22" t="s">
        <v>68</v>
      </c>
      <c r="B3723">
        <v>2</v>
      </c>
      <c r="C3723" t="s">
        <v>64</v>
      </c>
      <c r="D3723">
        <v>11</v>
      </c>
      <c r="G3723" s="8">
        <v>0.5</v>
      </c>
      <c r="H3723" s="8">
        <v>0.5</v>
      </c>
    </row>
    <row r="3725" spans="1:9" ht="72" x14ac:dyDescent="0.3">
      <c r="A3725" s="22" t="s">
        <v>885</v>
      </c>
    </row>
    <row r="3726" spans="1:9" x14ac:dyDescent="0.3">
      <c r="A3726" s="22" t="s">
        <v>66</v>
      </c>
      <c r="B3726" t="s">
        <v>62</v>
      </c>
      <c r="C3726" t="s">
        <v>57</v>
      </c>
      <c r="D3726" t="s">
        <v>63</v>
      </c>
      <c r="E3726" t="s">
        <v>832</v>
      </c>
      <c r="F3726" t="s">
        <v>815</v>
      </c>
      <c r="G3726" t="s">
        <v>816</v>
      </c>
      <c r="H3726" t="s">
        <v>817</v>
      </c>
      <c r="I3726" t="s">
        <v>833</v>
      </c>
    </row>
    <row r="3727" spans="1:9" x14ac:dyDescent="0.3">
      <c r="A3727" s="22" t="s">
        <v>67</v>
      </c>
      <c r="B3727">
        <v>8</v>
      </c>
      <c r="C3727" t="s">
        <v>64</v>
      </c>
      <c r="D3727">
        <v>11</v>
      </c>
      <c r="E3727" s="8">
        <v>0.125</v>
      </c>
      <c r="F3727" s="8">
        <v>0.25</v>
      </c>
      <c r="G3727" s="8">
        <v>0.125</v>
      </c>
      <c r="H3727" s="8">
        <v>0.375</v>
      </c>
      <c r="I3727" s="8">
        <v>0.125</v>
      </c>
    </row>
    <row r="3728" spans="1:9" x14ac:dyDescent="0.3">
      <c r="A3728" s="22" t="s">
        <v>68</v>
      </c>
      <c r="B3728">
        <v>3</v>
      </c>
      <c r="C3728" t="s">
        <v>64</v>
      </c>
      <c r="D3728">
        <v>11</v>
      </c>
      <c r="E3728" s="8">
        <v>0.33329999999999999</v>
      </c>
      <c r="F3728" s="8">
        <v>0.33329999999999999</v>
      </c>
      <c r="G3728" s="8">
        <v>0.33329999999999999</v>
      </c>
    </row>
    <row r="3730" spans="1:9" ht="72" x14ac:dyDescent="0.3">
      <c r="A3730" s="22" t="s">
        <v>886</v>
      </c>
    </row>
    <row r="3731" spans="1:9" x14ac:dyDescent="0.3">
      <c r="A3731" s="22" t="s">
        <v>66</v>
      </c>
      <c r="B3731" t="s">
        <v>62</v>
      </c>
      <c r="C3731" t="s">
        <v>57</v>
      </c>
      <c r="D3731" t="s">
        <v>63</v>
      </c>
      <c r="E3731" t="s">
        <v>832</v>
      </c>
      <c r="F3731" t="s">
        <v>815</v>
      </c>
      <c r="G3731" t="s">
        <v>816</v>
      </c>
      <c r="H3731" t="s">
        <v>817</v>
      </c>
      <c r="I3731" t="s">
        <v>833</v>
      </c>
    </row>
    <row r="3732" spans="1:9" x14ac:dyDescent="0.3">
      <c r="A3732" s="22" t="s">
        <v>67</v>
      </c>
      <c r="B3732">
        <v>11</v>
      </c>
      <c r="C3732" t="s">
        <v>64</v>
      </c>
      <c r="D3732">
        <v>11</v>
      </c>
      <c r="E3732" s="8">
        <v>0.18179999999999999</v>
      </c>
      <c r="F3732" s="8">
        <v>0.2727</v>
      </c>
      <c r="G3732" s="8">
        <v>0.18179999999999999</v>
      </c>
      <c r="H3732" s="8">
        <v>0.2727</v>
      </c>
      <c r="I3732" s="8">
        <v>9.0899999999999995E-2</v>
      </c>
    </row>
    <row r="3734" spans="1:9" ht="57.6" x14ac:dyDescent="0.3">
      <c r="A3734" s="22" t="s">
        <v>887</v>
      </c>
    </row>
    <row r="3735" spans="1:9" x14ac:dyDescent="0.3">
      <c r="A3735" s="22" t="s">
        <v>66</v>
      </c>
      <c r="B3735" t="s">
        <v>62</v>
      </c>
      <c r="C3735" t="s">
        <v>57</v>
      </c>
      <c r="D3735" t="s">
        <v>63</v>
      </c>
      <c r="E3735" t="s">
        <v>832</v>
      </c>
      <c r="F3735" t="s">
        <v>815</v>
      </c>
      <c r="G3735" t="s">
        <v>816</v>
      </c>
      <c r="H3735" t="s">
        <v>817</v>
      </c>
      <c r="I3735" t="s">
        <v>833</v>
      </c>
    </row>
    <row r="3736" spans="1:9" x14ac:dyDescent="0.3">
      <c r="A3736" s="22" t="s">
        <v>67</v>
      </c>
      <c r="B3736">
        <v>6</v>
      </c>
      <c r="C3736" t="s">
        <v>64</v>
      </c>
      <c r="D3736">
        <v>11</v>
      </c>
      <c r="F3736" s="8">
        <v>0.33329999999999999</v>
      </c>
      <c r="G3736" s="8">
        <v>0.16669999999999999</v>
      </c>
      <c r="H3736" s="8">
        <v>0.33329999999999999</v>
      </c>
      <c r="I3736" s="8">
        <v>0.16669999999999999</v>
      </c>
    </row>
    <row r="3737" spans="1:9" x14ac:dyDescent="0.3">
      <c r="A3737" s="22" t="s">
        <v>68</v>
      </c>
      <c r="B3737">
        <v>5</v>
      </c>
      <c r="C3737" t="s">
        <v>64</v>
      </c>
      <c r="D3737">
        <v>11</v>
      </c>
      <c r="E3737" s="8">
        <v>0.4</v>
      </c>
      <c r="F3737" s="8">
        <v>0.2</v>
      </c>
      <c r="G3737" s="8">
        <v>0.2</v>
      </c>
      <c r="H3737" s="8">
        <v>0.2</v>
      </c>
    </row>
    <row r="3739" spans="1:9" ht="57.6" x14ac:dyDescent="0.3">
      <c r="A3739" s="22" t="s">
        <v>888</v>
      </c>
    </row>
    <row r="3740" spans="1:9" x14ac:dyDescent="0.3">
      <c r="A3740" s="22" t="s">
        <v>66</v>
      </c>
      <c r="B3740" t="s">
        <v>62</v>
      </c>
      <c r="C3740" t="s">
        <v>57</v>
      </c>
      <c r="D3740" t="s">
        <v>63</v>
      </c>
      <c r="E3740" t="s">
        <v>832</v>
      </c>
      <c r="F3740" t="s">
        <v>815</v>
      </c>
      <c r="G3740" t="s">
        <v>816</v>
      </c>
      <c r="H3740" t="s">
        <v>817</v>
      </c>
      <c r="I3740" t="s">
        <v>833</v>
      </c>
    </row>
    <row r="3741" spans="1:9" x14ac:dyDescent="0.3">
      <c r="A3741" s="22" t="s">
        <v>67</v>
      </c>
      <c r="B3741">
        <v>10</v>
      </c>
      <c r="C3741" t="s">
        <v>64</v>
      </c>
      <c r="D3741">
        <v>11</v>
      </c>
      <c r="E3741" s="8">
        <v>0.1</v>
      </c>
      <c r="F3741" s="8">
        <v>0.3</v>
      </c>
      <c r="G3741" s="8">
        <v>0.2</v>
      </c>
      <c r="H3741" s="8">
        <v>0.3</v>
      </c>
      <c r="I3741" s="8">
        <v>0.1</v>
      </c>
    </row>
    <row r="3742" spans="1:9" x14ac:dyDescent="0.3">
      <c r="A3742" s="22" t="s">
        <v>68</v>
      </c>
      <c r="B3742">
        <v>1</v>
      </c>
      <c r="C3742" t="s">
        <v>64</v>
      </c>
      <c r="D3742">
        <v>11</v>
      </c>
      <c r="E3742" s="8">
        <v>1</v>
      </c>
    </row>
    <row r="3744" spans="1:9" ht="43.2" x14ac:dyDescent="0.3">
      <c r="A3744" s="27" t="s">
        <v>889</v>
      </c>
    </row>
    <row r="3745" spans="1:10" x14ac:dyDescent="0.3">
      <c r="A3745" s="22" t="s">
        <v>66</v>
      </c>
      <c r="B3745" t="s">
        <v>62</v>
      </c>
      <c r="C3745" t="s">
        <v>57</v>
      </c>
      <c r="D3745" t="s">
        <v>63</v>
      </c>
      <c r="E3745" t="s">
        <v>832</v>
      </c>
      <c r="F3745" t="s">
        <v>815</v>
      </c>
      <c r="G3745" t="s">
        <v>816</v>
      </c>
      <c r="H3745" t="s">
        <v>817</v>
      </c>
      <c r="I3745" t="s">
        <v>833</v>
      </c>
    </row>
    <row r="3746" spans="1:10" x14ac:dyDescent="0.3">
      <c r="A3746" s="22" t="s">
        <v>81</v>
      </c>
      <c r="B3746">
        <v>5</v>
      </c>
      <c r="C3746" t="s">
        <v>64</v>
      </c>
      <c r="D3746">
        <v>11</v>
      </c>
      <c r="F3746" s="8">
        <v>0.2</v>
      </c>
      <c r="H3746" s="8">
        <v>0.6</v>
      </c>
      <c r="I3746" s="8">
        <v>0.2</v>
      </c>
    </row>
    <row r="3747" spans="1:10" x14ac:dyDescent="0.3">
      <c r="A3747" s="22" t="s">
        <v>82</v>
      </c>
      <c r="B3747">
        <v>1</v>
      </c>
      <c r="C3747" t="s">
        <v>64</v>
      </c>
      <c r="D3747">
        <v>11</v>
      </c>
      <c r="F3747" s="8">
        <v>1</v>
      </c>
    </row>
    <row r="3748" spans="1:10" x14ac:dyDescent="0.3">
      <c r="A3748" s="22" t="s">
        <v>83</v>
      </c>
      <c r="B3748">
        <v>3</v>
      </c>
      <c r="C3748" t="s">
        <v>64</v>
      </c>
      <c r="D3748">
        <v>11</v>
      </c>
      <c r="E3748" s="8">
        <v>0.33329999999999999</v>
      </c>
      <c r="F3748" s="8">
        <v>0.33329999999999999</v>
      </c>
      <c r="G3748" s="8">
        <v>0.33329999999999999</v>
      </c>
    </row>
    <row r="3749" spans="1:10" x14ac:dyDescent="0.3">
      <c r="A3749" s="22" t="s">
        <v>84</v>
      </c>
      <c r="B3749">
        <v>2</v>
      </c>
      <c r="C3749" t="s">
        <v>64</v>
      </c>
      <c r="D3749">
        <v>11</v>
      </c>
      <c r="E3749" s="8">
        <v>0.5</v>
      </c>
      <c r="G3749" s="8">
        <v>0.5</v>
      </c>
    </row>
    <row r="3751" spans="1:10" ht="43.2" x14ac:dyDescent="0.3">
      <c r="A3751" s="27" t="s">
        <v>890</v>
      </c>
    </row>
    <row r="3752" spans="1:10" x14ac:dyDescent="0.3">
      <c r="A3752" s="22" t="s">
        <v>62</v>
      </c>
      <c r="B3752" t="s">
        <v>57</v>
      </c>
      <c r="C3752" t="s">
        <v>63</v>
      </c>
      <c r="D3752" t="s">
        <v>832</v>
      </c>
      <c r="E3752" t="s">
        <v>815</v>
      </c>
      <c r="F3752" t="s">
        <v>816</v>
      </c>
      <c r="G3752" t="s">
        <v>848</v>
      </c>
      <c r="H3752" t="s">
        <v>817</v>
      </c>
      <c r="I3752" t="s">
        <v>833</v>
      </c>
    </row>
    <row r="3753" spans="1:10" x14ac:dyDescent="0.3">
      <c r="A3753" s="22">
        <v>42</v>
      </c>
      <c r="B3753" t="s">
        <v>64</v>
      </c>
      <c r="C3753">
        <v>42</v>
      </c>
      <c r="D3753" s="8">
        <v>0.1429</v>
      </c>
      <c r="E3753" s="8">
        <v>0.35709999999999997</v>
      </c>
      <c r="F3753" s="8">
        <v>0.1905</v>
      </c>
      <c r="G3753" s="8">
        <v>7.1400000000000005E-2</v>
      </c>
      <c r="H3753" s="8">
        <v>0.16669999999999999</v>
      </c>
      <c r="I3753" s="8">
        <v>7.1400000000000005E-2</v>
      </c>
    </row>
    <row r="3755" spans="1:10" ht="57.6" x14ac:dyDescent="0.3">
      <c r="A3755" s="22" t="s">
        <v>891</v>
      </c>
    </row>
    <row r="3756" spans="1:10" x14ac:dyDescent="0.3">
      <c r="A3756" s="22" t="s">
        <v>66</v>
      </c>
      <c r="B3756" t="s">
        <v>62</v>
      </c>
      <c r="C3756" t="s">
        <v>57</v>
      </c>
      <c r="D3756" t="s">
        <v>63</v>
      </c>
      <c r="E3756" t="s">
        <v>832</v>
      </c>
      <c r="F3756" t="s">
        <v>815</v>
      </c>
      <c r="G3756" t="s">
        <v>816</v>
      </c>
      <c r="H3756" t="s">
        <v>848</v>
      </c>
      <c r="I3756" t="s">
        <v>817</v>
      </c>
      <c r="J3756" t="s">
        <v>833</v>
      </c>
    </row>
    <row r="3757" spans="1:10" x14ac:dyDescent="0.3">
      <c r="A3757" s="22" t="s">
        <v>67</v>
      </c>
      <c r="B3757">
        <v>37</v>
      </c>
      <c r="C3757" t="s">
        <v>64</v>
      </c>
      <c r="D3757">
        <v>42</v>
      </c>
      <c r="E3757" s="8">
        <v>0.1081</v>
      </c>
      <c r="F3757" s="8">
        <v>0.35139999999999999</v>
      </c>
      <c r="G3757" s="8">
        <v>0.2162</v>
      </c>
      <c r="H3757" s="8">
        <v>8.1100000000000005E-2</v>
      </c>
      <c r="I3757" s="8">
        <v>0.16220000000000001</v>
      </c>
      <c r="J3757" s="8">
        <v>8.1100000000000005E-2</v>
      </c>
    </row>
    <row r="3758" spans="1:10" x14ac:dyDescent="0.3">
      <c r="A3758" s="22" t="s">
        <v>68</v>
      </c>
      <c r="B3758">
        <v>5</v>
      </c>
      <c r="C3758" t="s">
        <v>64</v>
      </c>
      <c r="D3758">
        <v>42</v>
      </c>
      <c r="E3758" s="8">
        <v>0.4</v>
      </c>
      <c r="F3758" s="8">
        <v>0.4</v>
      </c>
      <c r="I3758" s="8">
        <v>0.2</v>
      </c>
    </row>
    <row r="3760" spans="1:10" x14ac:dyDescent="0.3">
      <c r="A3760"/>
    </row>
    <row r="3761" spans="1:10" x14ac:dyDescent="0.3">
      <c r="A3761"/>
    </row>
    <row r="3762" spans="1:10" x14ac:dyDescent="0.3">
      <c r="A3762"/>
    </row>
    <row r="3764" spans="1:10" ht="57.6" x14ac:dyDescent="0.3">
      <c r="A3764" s="22" t="s">
        <v>892</v>
      </c>
    </row>
    <row r="3765" spans="1:10" x14ac:dyDescent="0.3">
      <c r="A3765" s="22" t="s">
        <v>66</v>
      </c>
      <c r="B3765" t="s">
        <v>62</v>
      </c>
      <c r="C3765" t="s">
        <v>57</v>
      </c>
      <c r="D3765" t="s">
        <v>63</v>
      </c>
      <c r="E3765" t="s">
        <v>832</v>
      </c>
      <c r="F3765" t="s">
        <v>815</v>
      </c>
      <c r="G3765" t="s">
        <v>816</v>
      </c>
      <c r="H3765" t="s">
        <v>848</v>
      </c>
      <c r="I3765" t="s">
        <v>817</v>
      </c>
      <c r="J3765" t="s">
        <v>833</v>
      </c>
    </row>
    <row r="3766" spans="1:10" x14ac:dyDescent="0.3">
      <c r="A3766" s="22" t="s">
        <v>67</v>
      </c>
      <c r="B3766">
        <v>39</v>
      </c>
      <c r="C3766" t="s">
        <v>64</v>
      </c>
      <c r="D3766">
        <v>42</v>
      </c>
      <c r="E3766" s="8">
        <v>0.12820000000000001</v>
      </c>
      <c r="F3766" s="8">
        <v>0.33329999999999999</v>
      </c>
      <c r="G3766" s="8">
        <v>0.2051</v>
      </c>
      <c r="H3766" s="8">
        <v>7.6899999999999996E-2</v>
      </c>
      <c r="I3766" s="8">
        <v>0.17949999999999999</v>
      </c>
      <c r="J3766" s="8">
        <v>7.6899999999999996E-2</v>
      </c>
    </row>
    <row r="3767" spans="1:10" x14ac:dyDescent="0.3">
      <c r="A3767" s="22" t="s">
        <v>68</v>
      </c>
      <c r="B3767">
        <v>3</v>
      </c>
      <c r="C3767" t="s">
        <v>64</v>
      </c>
      <c r="D3767">
        <v>42</v>
      </c>
      <c r="E3767" s="8">
        <v>0.33329999999999999</v>
      </c>
      <c r="F3767" s="8">
        <v>0.66669999999999996</v>
      </c>
    </row>
    <row r="3769" spans="1:10" ht="57.6" x14ac:dyDescent="0.3">
      <c r="A3769" s="22" t="s">
        <v>893</v>
      </c>
    </row>
    <row r="3770" spans="1:10" x14ac:dyDescent="0.3">
      <c r="A3770" s="22" t="s">
        <v>66</v>
      </c>
      <c r="B3770" t="s">
        <v>62</v>
      </c>
      <c r="C3770" t="s">
        <v>57</v>
      </c>
      <c r="D3770" t="s">
        <v>63</v>
      </c>
      <c r="E3770" t="s">
        <v>832</v>
      </c>
      <c r="F3770" t="s">
        <v>815</v>
      </c>
      <c r="G3770" t="s">
        <v>816</v>
      </c>
      <c r="H3770" t="s">
        <v>848</v>
      </c>
      <c r="I3770" t="s">
        <v>817</v>
      </c>
      <c r="J3770" t="s">
        <v>833</v>
      </c>
    </row>
    <row r="3771" spans="1:10" x14ac:dyDescent="0.3">
      <c r="A3771" s="22" t="s">
        <v>67</v>
      </c>
      <c r="B3771">
        <v>42</v>
      </c>
      <c r="C3771" t="s">
        <v>64</v>
      </c>
      <c r="D3771">
        <v>42</v>
      </c>
      <c r="E3771" s="8">
        <v>0.1429</v>
      </c>
      <c r="F3771" s="8">
        <v>0.35709999999999997</v>
      </c>
      <c r="G3771" s="8">
        <v>0.1905</v>
      </c>
      <c r="H3771" s="8">
        <v>7.1400000000000005E-2</v>
      </c>
      <c r="I3771" s="8">
        <v>0.16669999999999999</v>
      </c>
      <c r="J3771" s="8">
        <v>7.1400000000000005E-2</v>
      </c>
    </row>
    <row r="3773" spans="1:10" ht="57.6" x14ac:dyDescent="0.3">
      <c r="A3773" s="22" t="s">
        <v>894</v>
      </c>
    </row>
    <row r="3774" spans="1:10" x14ac:dyDescent="0.3">
      <c r="A3774" s="22" t="s">
        <v>66</v>
      </c>
      <c r="B3774" t="s">
        <v>62</v>
      </c>
      <c r="C3774" t="s">
        <v>57</v>
      </c>
      <c r="D3774" t="s">
        <v>63</v>
      </c>
      <c r="E3774" t="s">
        <v>832</v>
      </c>
      <c r="F3774" t="s">
        <v>815</v>
      </c>
      <c r="G3774" t="s">
        <v>816</v>
      </c>
      <c r="H3774" t="s">
        <v>848</v>
      </c>
      <c r="I3774" t="s">
        <v>817</v>
      </c>
      <c r="J3774" t="s">
        <v>833</v>
      </c>
    </row>
    <row r="3775" spans="1:10" x14ac:dyDescent="0.3">
      <c r="A3775" s="22" t="s">
        <v>67</v>
      </c>
      <c r="B3775">
        <v>41</v>
      </c>
      <c r="C3775" t="s">
        <v>64</v>
      </c>
      <c r="D3775">
        <v>42</v>
      </c>
      <c r="E3775" s="8">
        <v>0.14630000000000001</v>
      </c>
      <c r="F3775" s="8">
        <v>0.34150000000000003</v>
      </c>
      <c r="G3775" s="8">
        <v>0.1951</v>
      </c>
      <c r="H3775" s="8">
        <v>7.3200000000000001E-2</v>
      </c>
      <c r="I3775" s="8">
        <v>0.17069999999999999</v>
      </c>
      <c r="J3775" s="8">
        <v>7.3200000000000001E-2</v>
      </c>
    </row>
    <row r="3776" spans="1:10" x14ac:dyDescent="0.3">
      <c r="A3776" s="22" t="s">
        <v>68</v>
      </c>
      <c r="B3776">
        <v>1</v>
      </c>
      <c r="C3776" t="s">
        <v>64</v>
      </c>
      <c r="D3776">
        <v>42</v>
      </c>
      <c r="F3776" s="8">
        <v>1</v>
      </c>
    </row>
    <row r="3778" spans="1:10" ht="57.6" x14ac:dyDescent="0.3">
      <c r="A3778" s="22" t="s">
        <v>895</v>
      </c>
    </row>
    <row r="3779" spans="1:10" x14ac:dyDescent="0.3">
      <c r="A3779" s="22" t="s">
        <v>66</v>
      </c>
      <c r="B3779" t="s">
        <v>62</v>
      </c>
      <c r="C3779" t="s">
        <v>57</v>
      </c>
      <c r="D3779" t="s">
        <v>63</v>
      </c>
      <c r="E3779" t="s">
        <v>832</v>
      </c>
      <c r="F3779" t="s">
        <v>815</v>
      </c>
      <c r="G3779" t="s">
        <v>816</v>
      </c>
      <c r="H3779" t="s">
        <v>848</v>
      </c>
      <c r="I3779" t="s">
        <v>817</v>
      </c>
      <c r="J3779" t="s">
        <v>833</v>
      </c>
    </row>
    <row r="3780" spans="1:10" x14ac:dyDescent="0.3">
      <c r="A3780" s="22" t="s">
        <v>67</v>
      </c>
      <c r="B3780">
        <v>2</v>
      </c>
      <c r="C3780" t="s">
        <v>64</v>
      </c>
      <c r="D3780">
        <v>42</v>
      </c>
      <c r="E3780" s="8">
        <v>0.5</v>
      </c>
      <c r="I3780" s="8">
        <v>0.5</v>
      </c>
    </row>
    <row r="3781" spans="1:10" x14ac:dyDescent="0.3">
      <c r="A3781" s="22" t="s">
        <v>68</v>
      </c>
      <c r="B3781">
        <v>40</v>
      </c>
      <c r="C3781" t="s">
        <v>64</v>
      </c>
      <c r="D3781">
        <v>42</v>
      </c>
      <c r="E3781" s="8">
        <v>0.125</v>
      </c>
      <c r="F3781" s="8">
        <v>0.375</v>
      </c>
      <c r="G3781" s="8">
        <v>0.2</v>
      </c>
      <c r="H3781" s="8">
        <v>7.4999999999999997E-2</v>
      </c>
      <c r="I3781" s="8">
        <v>0.15</v>
      </c>
      <c r="J3781" s="8">
        <v>7.4999999999999997E-2</v>
      </c>
    </row>
    <row r="3783" spans="1:10" ht="57.6" x14ac:dyDescent="0.3">
      <c r="A3783" s="22" t="s">
        <v>896</v>
      </c>
    </row>
    <row r="3784" spans="1:10" x14ac:dyDescent="0.3">
      <c r="A3784" s="22" t="s">
        <v>66</v>
      </c>
      <c r="B3784" t="s">
        <v>62</v>
      </c>
      <c r="C3784" t="s">
        <v>57</v>
      </c>
      <c r="D3784" t="s">
        <v>63</v>
      </c>
      <c r="E3784" t="s">
        <v>832</v>
      </c>
      <c r="F3784" t="s">
        <v>815</v>
      </c>
      <c r="G3784" t="s">
        <v>816</v>
      </c>
      <c r="H3784" t="s">
        <v>848</v>
      </c>
      <c r="I3784" t="s">
        <v>817</v>
      </c>
      <c r="J3784" t="s">
        <v>833</v>
      </c>
    </row>
    <row r="3785" spans="1:10" x14ac:dyDescent="0.3">
      <c r="A3785" s="22" t="s">
        <v>67</v>
      </c>
      <c r="B3785">
        <v>36</v>
      </c>
      <c r="C3785" t="s">
        <v>64</v>
      </c>
      <c r="D3785">
        <v>42</v>
      </c>
      <c r="E3785" s="8">
        <v>0.1389</v>
      </c>
      <c r="F3785" s="8">
        <v>0.38890000000000002</v>
      </c>
      <c r="G3785" s="8">
        <v>0.16669999999999999</v>
      </c>
      <c r="H3785" s="8">
        <v>8.3299999999999999E-2</v>
      </c>
      <c r="I3785" s="8">
        <v>0.1389</v>
      </c>
      <c r="J3785" s="8">
        <v>8.3299999999999999E-2</v>
      </c>
    </row>
    <row r="3786" spans="1:10" x14ac:dyDescent="0.3">
      <c r="A3786" s="22" t="s">
        <v>68</v>
      </c>
      <c r="B3786">
        <v>6</v>
      </c>
      <c r="C3786" t="s">
        <v>64</v>
      </c>
      <c r="D3786">
        <v>42</v>
      </c>
      <c r="E3786" s="8">
        <v>0.16669999999999999</v>
      </c>
      <c r="F3786" s="8">
        <v>0.16669999999999999</v>
      </c>
      <c r="G3786" s="8">
        <v>0.33329999999999999</v>
      </c>
      <c r="I3786" s="8">
        <v>0.33329999999999999</v>
      </c>
    </row>
    <row r="3788" spans="1:10" ht="57.6" x14ac:dyDescent="0.3">
      <c r="A3788" s="22" t="s">
        <v>897</v>
      </c>
    </row>
    <row r="3789" spans="1:10" x14ac:dyDescent="0.3">
      <c r="A3789" s="22" t="s">
        <v>66</v>
      </c>
      <c r="B3789" t="s">
        <v>62</v>
      </c>
      <c r="C3789" t="s">
        <v>57</v>
      </c>
      <c r="D3789" t="s">
        <v>63</v>
      </c>
      <c r="E3789" t="s">
        <v>832</v>
      </c>
      <c r="F3789" t="s">
        <v>815</v>
      </c>
      <c r="G3789" t="s">
        <v>816</v>
      </c>
      <c r="H3789" t="s">
        <v>848</v>
      </c>
      <c r="I3789" t="s">
        <v>817</v>
      </c>
      <c r="J3789" t="s">
        <v>833</v>
      </c>
    </row>
    <row r="3790" spans="1:10" x14ac:dyDescent="0.3">
      <c r="A3790" s="22" t="s">
        <v>67</v>
      </c>
      <c r="B3790">
        <v>30</v>
      </c>
      <c r="C3790" t="s">
        <v>64</v>
      </c>
      <c r="D3790">
        <v>42</v>
      </c>
      <c r="E3790" s="8">
        <v>0.1333</v>
      </c>
      <c r="F3790" s="8">
        <v>0.33329999999999999</v>
      </c>
      <c r="G3790" s="8">
        <v>0.16669999999999999</v>
      </c>
      <c r="H3790" s="8">
        <v>6.6699999999999995E-2</v>
      </c>
      <c r="I3790" s="8">
        <v>0.2</v>
      </c>
      <c r="J3790" s="8">
        <v>0.1</v>
      </c>
    </row>
    <row r="3791" spans="1:10" x14ac:dyDescent="0.3">
      <c r="A3791" s="22" t="s">
        <v>68</v>
      </c>
      <c r="B3791">
        <v>12</v>
      </c>
      <c r="C3791" t="s">
        <v>64</v>
      </c>
      <c r="D3791">
        <v>42</v>
      </c>
      <c r="E3791" s="8">
        <v>0.16669999999999999</v>
      </c>
      <c r="F3791" s="8">
        <v>0.41670000000000001</v>
      </c>
      <c r="G3791" s="8">
        <v>0.25</v>
      </c>
      <c r="H3791" s="8">
        <v>8.3299999999999999E-2</v>
      </c>
      <c r="I3791" s="8">
        <v>8.3299999999999999E-2</v>
      </c>
    </row>
    <row r="3793" spans="1:10" ht="57.6" x14ac:dyDescent="0.3">
      <c r="A3793" s="22" t="s">
        <v>898</v>
      </c>
    </row>
    <row r="3794" spans="1:10" x14ac:dyDescent="0.3">
      <c r="A3794" s="22" t="s">
        <v>66</v>
      </c>
      <c r="B3794" t="s">
        <v>62</v>
      </c>
      <c r="C3794" t="s">
        <v>57</v>
      </c>
      <c r="D3794" t="s">
        <v>63</v>
      </c>
      <c r="E3794" t="s">
        <v>832</v>
      </c>
      <c r="F3794" t="s">
        <v>815</v>
      </c>
      <c r="G3794" t="s">
        <v>816</v>
      </c>
      <c r="H3794" t="s">
        <v>848</v>
      </c>
      <c r="I3794" t="s">
        <v>817</v>
      </c>
      <c r="J3794" t="s">
        <v>833</v>
      </c>
    </row>
    <row r="3795" spans="1:10" x14ac:dyDescent="0.3">
      <c r="A3795" s="22" t="s">
        <v>67</v>
      </c>
      <c r="B3795">
        <v>30</v>
      </c>
      <c r="C3795" t="s">
        <v>64</v>
      </c>
      <c r="D3795">
        <v>42</v>
      </c>
      <c r="E3795" s="8">
        <v>0.1333</v>
      </c>
      <c r="F3795" s="8">
        <v>0.36670000000000003</v>
      </c>
      <c r="G3795" s="8">
        <v>0.1333</v>
      </c>
      <c r="H3795" s="8">
        <v>6.6699999999999995E-2</v>
      </c>
      <c r="I3795" s="8">
        <v>0.2</v>
      </c>
      <c r="J3795" s="8">
        <v>0.1</v>
      </c>
    </row>
    <row r="3796" spans="1:10" x14ac:dyDescent="0.3">
      <c r="A3796" s="22" t="s">
        <v>68</v>
      </c>
      <c r="B3796">
        <v>12</v>
      </c>
      <c r="C3796" t="s">
        <v>64</v>
      </c>
      <c r="D3796">
        <v>42</v>
      </c>
      <c r="E3796" s="8">
        <v>0.16669999999999999</v>
      </c>
      <c r="F3796" s="8">
        <v>0.33329999999999999</v>
      </c>
      <c r="G3796" s="8">
        <v>0.33329999999999999</v>
      </c>
      <c r="H3796" s="8">
        <v>8.3299999999999999E-2</v>
      </c>
      <c r="I3796" s="8">
        <v>8.3299999999999999E-2</v>
      </c>
    </row>
    <row r="3798" spans="1:10" ht="72" x14ac:dyDescent="0.3">
      <c r="A3798" s="22" t="s">
        <v>899</v>
      </c>
    </row>
    <row r="3799" spans="1:10" x14ac:dyDescent="0.3">
      <c r="A3799" s="22" t="s">
        <v>66</v>
      </c>
      <c r="B3799" t="s">
        <v>62</v>
      </c>
      <c r="C3799" t="s">
        <v>57</v>
      </c>
      <c r="D3799" t="s">
        <v>63</v>
      </c>
      <c r="E3799" t="s">
        <v>832</v>
      </c>
      <c r="F3799" t="s">
        <v>815</v>
      </c>
      <c r="G3799" t="s">
        <v>816</v>
      </c>
      <c r="H3799" t="s">
        <v>848</v>
      </c>
      <c r="I3799" t="s">
        <v>817</v>
      </c>
      <c r="J3799" t="s">
        <v>833</v>
      </c>
    </row>
    <row r="3800" spans="1:10" x14ac:dyDescent="0.3">
      <c r="A3800" s="22" t="s">
        <v>67</v>
      </c>
      <c r="B3800">
        <v>38</v>
      </c>
      <c r="C3800" t="s">
        <v>64</v>
      </c>
      <c r="D3800">
        <v>42</v>
      </c>
      <c r="E3800" s="8">
        <v>0.15790000000000001</v>
      </c>
      <c r="F3800" s="8">
        <v>0.34210000000000002</v>
      </c>
      <c r="G3800" s="8">
        <v>0.1842</v>
      </c>
      <c r="H3800" s="8">
        <v>7.8899999999999998E-2</v>
      </c>
      <c r="I3800" s="8">
        <v>0.15790000000000001</v>
      </c>
      <c r="J3800" s="8">
        <v>7.8899999999999998E-2</v>
      </c>
    </row>
    <row r="3801" spans="1:10" x14ac:dyDescent="0.3">
      <c r="A3801" s="22" t="s">
        <v>68</v>
      </c>
      <c r="B3801">
        <v>4</v>
      </c>
      <c r="C3801" t="s">
        <v>64</v>
      </c>
      <c r="D3801">
        <v>42</v>
      </c>
      <c r="F3801" s="8">
        <v>0.5</v>
      </c>
      <c r="G3801" s="8">
        <v>0.25</v>
      </c>
      <c r="I3801" s="8">
        <v>0.25</v>
      </c>
    </row>
    <row r="3803" spans="1:10" ht="72" x14ac:dyDescent="0.3">
      <c r="A3803" s="22" t="s">
        <v>900</v>
      </c>
    </row>
    <row r="3804" spans="1:10" x14ac:dyDescent="0.3">
      <c r="A3804" s="22" t="s">
        <v>66</v>
      </c>
      <c r="B3804" t="s">
        <v>62</v>
      </c>
      <c r="C3804" t="s">
        <v>57</v>
      </c>
      <c r="D3804" t="s">
        <v>63</v>
      </c>
      <c r="E3804" t="s">
        <v>832</v>
      </c>
      <c r="F3804" t="s">
        <v>815</v>
      </c>
      <c r="G3804" t="s">
        <v>816</v>
      </c>
      <c r="H3804" t="s">
        <v>848</v>
      </c>
      <c r="I3804" t="s">
        <v>817</v>
      </c>
      <c r="J3804" t="s">
        <v>833</v>
      </c>
    </row>
    <row r="3805" spans="1:10" x14ac:dyDescent="0.3">
      <c r="A3805" s="22" t="s">
        <v>67</v>
      </c>
      <c r="B3805">
        <v>42</v>
      </c>
      <c r="C3805" t="s">
        <v>64</v>
      </c>
      <c r="D3805">
        <v>42</v>
      </c>
      <c r="E3805" s="8">
        <v>0.1429</v>
      </c>
      <c r="F3805" s="8">
        <v>0.35709999999999997</v>
      </c>
      <c r="G3805" s="8">
        <v>0.1905</v>
      </c>
      <c r="H3805" s="8">
        <v>7.1400000000000005E-2</v>
      </c>
      <c r="I3805" s="8">
        <v>0.16669999999999999</v>
      </c>
      <c r="J3805" s="8">
        <v>7.1400000000000005E-2</v>
      </c>
    </row>
    <row r="3807" spans="1:10" ht="57.6" x14ac:dyDescent="0.3">
      <c r="A3807" s="22" t="s">
        <v>901</v>
      </c>
    </row>
    <row r="3808" spans="1:10" x14ac:dyDescent="0.3">
      <c r="A3808" s="22" t="s">
        <v>66</v>
      </c>
      <c r="B3808" t="s">
        <v>62</v>
      </c>
      <c r="C3808" t="s">
        <v>57</v>
      </c>
      <c r="D3808" t="s">
        <v>63</v>
      </c>
      <c r="E3808" t="s">
        <v>832</v>
      </c>
      <c r="F3808" t="s">
        <v>815</v>
      </c>
      <c r="G3808" t="s">
        <v>816</v>
      </c>
      <c r="H3808" t="s">
        <v>848</v>
      </c>
      <c r="I3808" t="s">
        <v>817</v>
      </c>
      <c r="J3808" t="s">
        <v>833</v>
      </c>
    </row>
    <row r="3809" spans="1:10" x14ac:dyDescent="0.3">
      <c r="A3809" s="22" t="s">
        <v>67</v>
      </c>
      <c r="B3809">
        <v>27</v>
      </c>
      <c r="C3809" t="s">
        <v>64</v>
      </c>
      <c r="D3809">
        <v>42</v>
      </c>
      <c r="E3809" s="8">
        <v>0.14810000000000001</v>
      </c>
      <c r="F3809" s="8">
        <v>0.44440000000000002</v>
      </c>
      <c r="G3809" s="8">
        <v>0.14810000000000001</v>
      </c>
      <c r="I3809" s="8">
        <v>0.1852</v>
      </c>
      <c r="J3809" s="8">
        <v>7.4099999999999999E-2</v>
      </c>
    </row>
    <row r="3810" spans="1:10" x14ac:dyDescent="0.3">
      <c r="A3810" s="22" t="s">
        <v>68</v>
      </c>
      <c r="B3810">
        <v>15</v>
      </c>
      <c r="C3810" t="s">
        <v>64</v>
      </c>
      <c r="D3810">
        <v>42</v>
      </c>
      <c r="E3810" s="8">
        <v>0.1333</v>
      </c>
      <c r="F3810" s="8">
        <v>0.2</v>
      </c>
      <c r="G3810" s="8">
        <v>0.26669999999999999</v>
      </c>
      <c r="H3810" s="8">
        <v>0.2</v>
      </c>
      <c r="I3810" s="8">
        <v>0.1333</v>
      </c>
      <c r="J3810" s="8">
        <v>6.6699999999999995E-2</v>
      </c>
    </row>
    <row r="3812" spans="1:10" ht="57.6" x14ac:dyDescent="0.3">
      <c r="A3812" s="22" t="s">
        <v>902</v>
      </c>
    </row>
    <row r="3813" spans="1:10" x14ac:dyDescent="0.3">
      <c r="A3813" s="22" t="s">
        <v>66</v>
      </c>
      <c r="B3813" t="s">
        <v>62</v>
      </c>
      <c r="C3813" t="s">
        <v>57</v>
      </c>
      <c r="D3813" t="s">
        <v>63</v>
      </c>
      <c r="E3813" t="s">
        <v>832</v>
      </c>
      <c r="F3813" t="s">
        <v>815</v>
      </c>
      <c r="G3813" t="s">
        <v>816</v>
      </c>
      <c r="H3813" t="s">
        <v>848</v>
      </c>
      <c r="I3813" t="s">
        <v>817</v>
      </c>
      <c r="J3813" t="s">
        <v>833</v>
      </c>
    </row>
    <row r="3814" spans="1:10" x14ac:dyDescent="0.3">
      <c r="A3814" s="22" t="s">
        <v>67</v>
      </c>
      <c r="B3814">
        <v>40</v>
      </c>
      <c r="C3814" t="s">
        <v>64</v>
      </c>
      <c r="D3814">
        <v>42</v>
      </c>
      <c r="E3814" s="8">
        <v>0.15</v>
      </c>
      <c r="F3814" s="8">
        <v>0.35</v>
      </c>
      <c r="G3814" s="8">
        <v>0.2</v>
      </c>
      <c r="H3814" s="8">
        <v>7.4999999999999997E-2</v>
      </c>
      <c r="I3814" s="8">
        <v>0.15</v>
      </c>
      <c r="J3814" s="8">
        <v>7.4999999999999997E-2</v>
      </c>
    </row>
    <row r="3815" spans="1:10" x14ac:dyDescent="0.3">
      <c r="A3815" s="22" t="s">
        <v>68</v>
      </c>
      <c r="B3815">
        <v>2</v>
      </c>
      <c r="C3815" t="s">
        <v>64</v>
      </c>
      <c r="D3815">
        <v>42</v>
      </c>
      <c r="F3815" s="8">
        <v>0.5</v>
      </c>
      <c r="I3815" s="8">
        <v>0.5</v>
      </c>
    </row>
    <row r="3817" spans="1:10" ht="43.2" x14ac:dyDescent="0.3">
      <c r="A3817" s="27" t="s">
        <v>903</v>
      </c>
    </row>
    <row r="3818" spans="1:10" x14ac:dyDescent="0.3">
      <c r="A3818" s="22" t="s">
        <v>66</v>
      </c>
      <c r="B3818" t="s">
        <v>62</v>
      </c>
      <c r="C3818" t="s">
        <v>57</v>
      </c>
      <c r="D3818" t="s">
        <v>63</v>
      </c>
      <c r="E3818" t="s">
        <v>832</v>
      </c>
      <c r="F3818" t="s">
        <v>815</v>
      </c>
      <c r="G3818" t="s">
        <v>816</v>
      </c>
      <c r="H3818" t="s">
        <v>848</v>
      </c>
      <c r="I3818" t="s">
        <v>817</v>
      </c>
      <c r="J3818" t="s">
        <v>833</v>
      </c>
    </row>
    <row r="3819" spans="1:10" x14ac:dyDescent="0.3">
      <c r="A3819" s="22" t="s">
        <v>81</v>
      </c>
      <c r="B3819">
        <v>9</v>
      </c>
      <c r="C3819" t="s">
        <v>64</v>
      </c>
      <c r="D3819">
        <v>42</v>
      </c>
      <c r="E3819" s="8">
        <v>0.1111</v>
      </c>
      <c r="F3819" s="8">
        <v>0.44440000000000002</v>
      </c>
      <c r="G3819" s="8">
        <v>0.1111</v>
      </c>
      <c r="I3819" s="8">
        <v>0.1111</v>
      </c>
      <c r="J3819" s="8">
        <v>0.22220000000000001</v>
      </c>
    </row>
    <row r="3820" spans="1:10" x14ac:dyDescent="0.3">
      <c r="A3820" s="22" t="s">
        <v>82</v>
      </c>
      <c r="B3820">
        <v>13</v>
      </c>
      <c r="C3820" t="s">
        <v>64</v>
      </c>
      <c r="D3820">
        <v>42</v>
      </c>
      <c r="E3820" s="8">
        <v>0.15379999999999999</v>
      </c>
      <c r="F3820" s="8">
        <v>0.30769999999999997</v>
      </c>
      <c r="G3820" s="8">
        <v>0.23080000000000001</v>
      </c>
      <c r="H3820" s="8">
        <v>7.6899999999999996E-2</v>
      </c>
      <c r="I3820" s="8">
        <v>0.15379999999999999</v>
      </c>
      <c r="J3820" s="8">
        <v>7.6899999999999996E-2</v>
      </c>
    </row>
    <row r="3821" spans="1:10" x14ac:dyDescent="0.3">
      <c r="A3821" s="22" t="s">
        <v>83</v>
      </c>
      <c r="B3821">
        <v>10</v>
      </c>
      <c r="C3821" t="s">
        <v>64</v>
      </c>
      <c r="D3821">
        <v>42</v>
      </c>
      <c r="E3821" s="8">
        <v>0.1</v>
      </c>
      <c r="F3821" s="8">
        <v>0.4</v>
      </c>
      <c r="G3821" s="8">
        <v>0.3</v>
      </c>
      <c r="I3821" s="8">
        <v>0.2</v>
      </c>
    </row>
    <row r="3822" spans="1:10" x14ac:dyDescent="0.3">
      <c r="A3822" s="22" t="s">
        <v>84</v>
      </c>
      <c r="B3822">
        <v>10</v>
      </c>
      <c r="C3822" t="s">
        <v>64</v>
      </c>
      <c r="D3822">
        <v>42</v>
      </c>
      <c r="E3822" s="8">
        <v>0.2</v>
      </c>
      <c r="F3822" s="8">
        <v>0.3</v>
      </c>
      <c r="G3822" s="8">
        <v>0.1</v>
      </c>
      <c r="H3822" s="8">
        <v>0.2</v>
      </c>
      <c r="I3822" s="8">
        <v>0.2</v>
      </c>
    </row>
    <row r="3824" spans="1:10" ht="43.2" x14ac:dyDescent="0.3">
      <c r="A3824" s="27" t="s">
        <v>904</v>
      </c>
    </row>
    <row r="3825" spans="1:9" x14ac:dyDescent="0.3">
      <c r="A3825" s="22" t="s">
        <v>62</v>
      </c>
      <c r="B3825" t="s">
        <v>57</v>
      </c>
      <c r="C3825" t="s">
        <v>63</v>
      </c>
      <c r="D3825" t="s">
        <v>832</v>
      </c>
      <c r="E3825" t="s">
        <v>815</v>
      </c>
      <c r="F3825" t="s">
        <v>816</v>
      </c>
      <c r="G3825" t="s">
        <v>817</v>
      </c>
      <c r="H3825" t="s">
        <v>833</v>
      </c>
    </row>
    <row r="3826" spans="1:9" x14ac:dyDescent="0.3">
      <c r="A3826" s="22">
        <v>52</v>
      </c>
      <c r="B3826" t="s">
        <v>64</v>
      </c>
      <c r="C3826">
        <v>52</v>
      </c>
      <c r="D3826" s="8">
        <v>0.1346</v>
      </c>
      <c r="E3826" s="8">
        <v>0.3654</v>
      </c>
      <c r="F3826" s="8">
        <v>0.28849999999999998</v>
      </c>
      <c r="G3826" s="8">
        <v>0.1346</v>
      </c>
      <c r="H3826" s="8">
        <v>7.6899999999999996E-2</v>
      </c>
    </row>
    <row r="3828" spans="1:9" ht="57.6" x14ac:dyDescent="0.3">
      <c r="A3828" s="22" t="s">
        <v>905</v>
      </c>
    </row>
    <row r="3829" spans="1:9" x14ac:dyDescent="0.3">
      <c r="A3829" s="22" t="s">
        <v>66</v>
      </c>
      <c r="B3829" t="s">
        <v>62</v>
      </c>
      <c r="C3829" t="s">
        <v>57</v>
      </c>
      <c r="D3829" t="s">
        <v>63</v>
      </c>
      <c r="E3829" t="s">
        <v>832</v>
      </c>
      <c r="F3829" t="s">
        <v>815</v>
      </c>
      <c r="G3829" t="s">
        <v>816</v>
      </c>
      <c r="H3829" t="s">
        <v>817</v>
      </c>
      <c r="I3829" t="s">
        <v>833</v>
      </c>
    </row>
    <row r="3830" spans="1:9" x14ac:dyDescent="0.3">
      <c r="A3830" s="22" t="s">
        <v>67</v>
      </c>
      <c r="B3830">
        <v>50</v>
      </c>
      <c r="C3830" t="s">
        <v>64</v>
      </c>
      <c r="D3830">
        <v>52</v>
      </c>
      <c r="E3830" s="8">
        <v>0.14000000000000001</v>
      </c>
      <c r="F3830" s="8">
        <v>0.36</v>
      </c>
      <c r="G3830" s="8">
        <v>0.28000000000000003</v>
      </c>
      <c r="H3830" s="8">
        <v>0.14000000000000001</v>
      </c>
      <c r="I3830" s="8">
        <v>0.08</v>
      </c>
    </row>
    <row r="3831" spans="1:9" x14ac:dyDescent="0.3">
      <c r="A3831" s="22" t="s">
        <v>68</v>
      </c>
      <c r="B3831">
        <v>2</v>
      </c>
      <c r="C3831" t="s">
        <v>64</v>
      </c>
      <c r="D3831">
        <v>52</v>
      </c>
      <c r="F3831" s="8">
        <v>0.5</v>
      </c>
      <c r="G3831" s="8">
        <v>0.5</v>
      </c>
    </row>
    <row r="3833" spans="1:9" x14ac:dyDescent="0.3">
      <c r="A3833"/>
    </row>
    <row r="3834" spans="1:9" x14ac:dyDescent="0.3">
      <c r="A3834"/>
    </row>
    <row r="3835" spans="1:9" x14ac:dyDescent="0.3">
      <c r="A3835"/>
    </row>
    <row r="3836" spans="1:9" x14ac:dyDescent="0.3">
      <c r="A3836"/>
    </row>
    <row r="3837" spans="1:9" ht="57.6" x14ac:dyDescent="0.3">
      <c r="A3837" s="22" t="s">
        <v>906</v>
      </c>
    </row>
    <row r="3838" spans="1:9" x14ac:dyDescent="0.3">
      <c r="A3838" s="22" t="s">
        <v>66</v>
      </c>
      <c r="B3838" t="s">
        <v>62</v>
      </c>
      <c r="C3838" t="s">
        <v>57</v>
      </c>
      <c r="D3838" t="s">
        <v>63</v>
      </c>
      <c r="E3838" t="s">
        <v>832</v>
      </c>
      <c r="F3838" t="s">
        <v>815</v>
      </c>
      <c r="G3838" t="s">
        <v>816</v>
      </c>
      <c r="H3838" t="s">
        <v>817</v>
      </c>
      <c r="I3838" t="s">
        <v>833</v>
      </c>
    </row>
    <row r="3839" spans="1:9" x14ac:dyDescent="0.3">
      <c r="A3839" s="22" t="s">
        <v>67</v>
      </c>
      <c r="B3839">
        <v>49</v>
      </c>
      <c r="C3839" t="s">
        <v>64</v>
      </c>
      <c r="D3839">
        <v>52</v>
      </c>
      <c r="E3839" s="8">
        <v>0.12239999999999999</v>
      </c>
      <c r="F3839" s="8">
        <v>0.36730000000000002</v>
      </c>
      <c r="G3839" s="8">
        <v>0.28570000000000001</v>
      </c>
      <c r="H3839" s="8">
        <v>0.1429</v>
      </c>
      <c r="I3839" s="8">
        <v>8.1600000000000006E-2</v>
      </c>
    </row>
    <row r="3840" spans="1:9" x14ac:dyDescent="0.3">
      <c r="A3840" s="22" t="s">
        <v>68</v>
      </c>
      <c r="B3840">
        <v>3</v>
      </c>
      <c r="C3840" t="s">
        <v>64</v>
      </c>
      <c r="D3840">
        <v>52</v>
      </c>
      <c r="E3840" s="8">
        <v>0.33329999999999999</v>
      </c>
      <c r="F3840" s="8">
        <v>0.33329999999999999</v>
      </c>
      <c r="G3840" s="8">
        <v>0.33329999999999999</v>
      </c>
    </row>
    <row r="3842" spans="1:9" ht="57.6" x14ac:dyDescent="0.3">
      <c r="A3842" s="22" t="s">
        <v>907</v>
      </c>
    </row>
    <row r="3843" spans="1:9" x14ac:dyDescent="0.3">
      <c r="A3843" s="22" t="s">
        <v>66</v>
      </c>
      <c r="B3843" t="s">
        <v>62</v>
      </c>
      <c r="C3843" t="s">
        <v>57</v>
      </c>
      <c r="D3843" t="s">
        <v>63</v>
      </c>
      <c r="E3843" t="s">
        <v>832</v>
      </c>
      <c r="F3843" t="s">
        <v>815</v>
      </c>
      <c r="G3843" t="s">
        <v>816</v>
      </c>
      <c r="H3843" t="s">
        <v>817</v>
      </c>
      <c r="I3843" t="s">
        <v>833</v>
      </c>
    </row>
    <row r="3844" spans="1:9" x14ac:dyDescent="0.3">
      <c r="A3844" s="22" t="s">
        <v>67</v>
      </c>
      <c r="B3844">
        <v>51</v>
      </c>
      <c r="C3844" t="s">
        <v>64</v>
      </c>
      <c r="D3844">
        <v>52</v>
      </c>
      <c r="E3844" s="8">
        <v>0.13730000000000001</v>
      </c>
      <c r="F3844" s="8">
        <v>0.35289999999999999</v>
      </c>
      <c r="G3844" s="8">
        <v>0.29409999999999997</v>
      </c>
      <c r="H3844" s="8">
        <v>0.13730000000000001</v>
      </c>
      <c r="I3844" s="8">
        <v>7.8399999999999997E-2</v>
      </c>
    </row>
    <row r="3845" spans="1:9" x14ac:dyDescent="0.3">
      <c r="A3845" s="22" t="s">
        <v>68</v>
      </c>
      <c r="B3845">
        <v>1</v>
      </c>
      <c r="C3845" t="s">
        <v>64</v>
      </c>
      <c r="D3845">
        <v>52</v>
      </c>
      <c r="F3845" s="8">
        <v>1</v>
      </c>
    </row>
    <row r="3847" spans="1:9" ht="57.6" x14ac:dyDescent="0.3">
      <c r="A3847" s="22" t="s">
        <v>908</v>
      </c>
    </row>
    <row r="3848" spans="1:9" x14ac:dyDescent="0.3">
      <c r="A3848" s="22" t="s">
        <v>66</v>
      </c>
      <c r="B3848" t="s">
        <v>62</v>
      </c>
      <c r="C3848" t="s">
        <v>57</v>
      </c>
      <c r="D3848" t="s">
        <v>63</v>
      </c>
      <c r="E3848" t="s">
        <v>832</v>
      </c>
      <c r="F3848" t="s">
        <v>815</v>
      </c>
      <c r="G3848" t="s">
        <v>816</v>
      </c>
      <c r="H3848" t="s">
        <v>817</v>
      </c>
      <c r="I3848" t="s">
        <v>833</v>
      </c>
    </row>
    <row r="3849" spans="1:9" x14ac:dyDescent="0.3">
      <c r="A3849" s="22" t="s">
        <v>67</v>
      </c>
      <c r="B3849">
        <v>50</v>
      </c>
      <c r="C3849" t="s">
        <v>64</v>
      </c>
      <c r="D3849">
        <v>52</v>
      </c>
      <c r="E3849" s="8">
        <v>0.14000000000000001</v>
      </c>
      <c r="F3849" s="8">
        <v>0.36</v>
      </c>
      <c r="G3849" s="8">
        <v>0.3</v>
      </c>
      <c r="H3849" s="8">
        <v>0.14000000000000001</v>
      </c>
      <c r="I3849" s="8">
        <v>0.06</v>
      </c>
    </row>
    <row r="3850" spans="1:9" x14ac:dyDescent="0.3">
      <c r="A3850" s="22" t="s">
        <v>68</v>
      </c>
      <c r="B3850">
        <v>2</v>
      </c>
      <c r="C3850" t="s">
        <v>64</v>
      </c>
      <c r="D3850">
        <v>52</v>
      </c>
      <c r="F3850" s="8">
        <v>0.5</v>
      </c>
      <c r="I3850" s="8">
        <v>0.5</v>
      </c>
    </row>
    <row r="3852" spans="1:9" ht="57.6" x14ac:dyDescent="0.3">
      <c r="A3852" s="22" t="s">
        <v>909</v>
      </c>
    </row>
    <row r="3853" spans="1:9" x14ac:dyDescent="0.3">
      <c r="A3853" s="22" t="s">
        <v>66</v>
      </c>
      <c r="B3853" t="s">
        <v>62</v>
      </c>
      <c r="C3853" t="s">
        <v>57</v>
      </c>
      <c r="D3853" t="s">
        <v>63</v>
      </c>
      <c r="E3853" t="s">
        <v>832</v>
      </c>
      <c r="F3853" t="s">
        <v>815</v>
      </c>
      <c r="G3853" t="s">
        <v>816</v>
      </c>
      <c r="H3853" t="s">
        <v>817</v>
      </c>
      <c r="I3853" t="s">
        <v>833</v>
      </c>
    </row>
    <row r="3854" spans="1:9" x14ac:dyDescent="0.3">
      <c r="A3854" s="22" t="s">
        <v>67</v>
      </c>
      <c r="B3854">
        <v>2</v>
      </c>
      <c r="C3854" t="s">
        <v>64</v>
      </c>
      <c r="D3854">
        <v>52</v>
      </c>
      <c r="F3854" s="8">
        <v>1</v>
      </c>
    </row>
    <row r="3855" spans="1:9" x14ac:dyDescent="0.3">
      <c r="A3855" s="22" t="s">
        <v>68</v>
      </c>
      <c r="B3855">
        <v>50</v>
      </c>
      <c r="C3855" t="s">
        <v>64</v>
      </c>
      <c r="D3855">
        <v>52</v>
      </c>
      <c r="E3855" s="8">
        <v>0.14000000000000001</v>
      </c>
      <c r="F3855" s="8">
        <v>0.34</v>
      </c>
      <c r="G3855" s="8">
        <v>0.3</v>
      </c>
      <c r="H3855" s="8">
        <v>0.14000000000000001</v>
      </c>
      <c r="I3855" s="8">
        <v>0.08</v>
      </c>
    </row>
    <row r="3857" spans="1:9" ht="57.6" x14ac:dyDescent="0.3">
      <c r="A3857" s="22" t="s">
        <v>910</v>
      </c>
    </row>
    <row r="3858" spans="1:9" x14ac:dyDescent="0.3">
      <c r="A3858" s="22" t="s">
        <v>66</v>
      </c>
      <c r="B3858" t="s">
        <v>62</v>
      </c>
      <c r="C3858" t="s">
        <v>57</v>
      </c>
      <c r="D3858" t="s">
        <v>63</v>
      </c>
      <c r="E3858" t="s">
        <v>832</v>
      </c>
      <c r="F3858" t="s">
        <v>815</v>
      </c>
      <c r="G3858" t="s">
        <v>816</v>
      </c>
      <c r="H3858" t="s">
        <v>817</v>
      </c>
      <c r="I3858" t="s">
        <v>833</v>
      </c>
    </row>
    <row r="3859" spans="1:9" x14ac:dyDescent="0.3">
      <c r="A3859" s="22" t="s">
        <v>67</v>
      </c>
      <c r="B3859">
        <v>44</v>
      </c>
      <c r="C3859" t="s">
        <v>64</v>
      </c>
      <c r="D3859">
        <v>52</v>
      </c>
      <c r="E3859" s="8">
        <v>0.11360000000000001</v>
      </c>
      <c r="F3859" s="8">
        <v>0.36359999999999998</v>
      </c>
      <c r="G3859" s="8">
        <v>0.29549999999999998</v>
      </c>
      <c r="H3859" s="8">
        <v>0.13639999999999999</v>
      </c>
      <c r="I3859" s="8">
        <v>9.0899999999999995E-2</v>
      </c>
    </row>
    <row r="3860" spans="1:9" x14ac:dyDescent="0.3">
      <c r="A3860" s="22" t="s">
        <v>68</v>
      </c>
      <c r="B3860">
        <v>8</v>
      </c>
      <c r="C3860" t="s">
        <v>64</v>
      </c>
      <c r="D3860">
        <v>52</v>
      </c>
      <c r="E3860" s="8">
        <v>0.25</v>
      </c>
      <c r="F3860" s="8">
        <v>0.375</v>
      </c>
      <c r="G3860" s="8">
        <v>0.25</v>
      </c>
      <c r="H3860" s="8">
        <v>0.125</v>
      </c>
    </row>
    <row r="3862" spans="1:9" ht="57.6" x14ac:dyDescent="0.3">
      <c r="A3862" s="22" t="s">
        <v>911</v>
      </c>
    </row>
    <row r="3863" spans="1:9" x14ac:dyDescent="0.3">
      <c r="A3863" s="22" t="s">
        <v>66</v>
      </c>
      <c r="B3863" t="s">
        <v>62</v>
      </c>
      <c r="C3863" t="s">
        <v>57</v>
      </c>
      <c r="D3863" t="s">
        <v>63</v>
      </c>
      <c r="E3863" t="s">
        <v>832</v>
      </c>
      <c r="F3863" t="s">
        <v>815</v>
      </c>
      <c r="G3863" t="s">
        <v>816</v>
      </c>
      <c r="H3863" t="s">
        <v>817</v>
      </c>
      <c r="I3863" t="s">
        <v>833</v>
      </c>
    </row>
    <row r="3864" spans="1:9" x14ac:dyDescent="0.3">
      <c r="A3864" s="22" t="s">
        <v>67</v>
      </c>
      <c r="B3864">
        <v>43</v>
      </c>
      <c r="C3864" t="s">
        <v>64</v>
      </c>
      <c r="D3864">
        <v>52</v>
      </c>
      <c r="E3864" s="8">
        <v>0.13950000000000001</v>
      </c>
      <c r="F3864" s="8">
        <v>0.3488</v>
      </c>
      <c r="G3864" s="8">
        <v>0.25580000000000003</v>
      </c>
      <c r="H3864" s="8">
        <v>0.1628</v>
      </c>
      <c r="I3864" s="8">
        <v>9.2999999999999999E-2</v>
      </c>
    </row>
    <row r="3865" spans="1:9" x14ac:dyDescent="0.3">
      <c r="A3865" s="22" t="s">
        <v>68</v>
      </c>
      <c r="B3865">
        <v>9</v>
      </c>
      <c r="C3865" t="s">
        <v>64</v>
      </c>
      <c r="D3865">
        <v>52</v>
      </c>
      <c r="E3865" s="8">
        <v>0.1111</v>
      </c>
      <c r="F3865" s="8">
        <v>0.44440000000000002</v>
      </c>
      <c r="G3865" s="8">
        <v>0.44440000000000002</v>
      </c>
    </row>
    <row r="3867" spans="1:9" ht="57.6" x14ac:dyDescent="0.3">
      <c r="A3867" s="22" t="s">
        <v>912</v>
      </c>
    </row>
    <row r="3868" spans="1:9" x14ac:dyDescent="0.3">
      <c r="A3868" s="22" t="s">
        <v>66</v>
      </c>
      <c r="B3868" t="s">
        <v>62</v>
      </c>
      <c r="C3868" t="s">
        <v>57</v>
      </c>
      <c r="D3868" t="s">
        <v>63</v>
      </c>
      <c r="E3868" t="s">
        <v>832</v>
      </c>
      <c r="F3868" t="s">
        <v>815</v>
      </c>
      <c r="G3868" t="s">
        <v>816</v>
      </c>
      <c r="H3868" t="s">
        <v>817</v>
      </c>
      <c r="I3868" t="s">
        <v>833</v>
      </c>
    </row>
    <row r="3869" spans="1:9" x14ac:dyDescent="0.3">
      <c r="A3869" s="22" t="s">
        <v>67</v>
      </c>
      <c r="B3869">
        <v>40</v>
      </c>
      <c r="C3869" t="s">
        <v>64</v>
      </c>
      <c r="D3869">
        <v>52</v>
      </c>
      <c r="E3869" s="8">
        <v>0.15</v>
      </c>
      <c r="F3869" s="8">
        <v>0.375</v>
      </c>
      <c r="G3869" s="8">
        <v>0.27500000000000002</v>
      </c>
      <c r="H3869" s="8">
        <v>0.15</v>
      </c>
      <c r="I3869" s="8">
        <v>0.05</v>
      </c>
    </row>
    <row r="3870" spans="1:9" x14ac:dyDescent="0.3">
      <c r="A3870" s="22" t="s">
        <v>68</v>
      </c>
      <c r="B3870">
        <v>12</v>
      </c>
      <c r="C3870" t="s">
        <v>64</v>
      </c>
      <c r="D3870">
        <v>52</v>
      </c>
      <c r="E3870" s="8">
        <v>8.3299999999999999E-2</v>
      </c>
      <c r="F3870" s="8">
        <v>0.33329999999999999</v>
      </c>
      <c r="G3870" s="8">
        <v>0.33329999999999999</v>
      </c>
      <c r="H3870" s="8">
        <v>8.3299999999999999E-2</v>
      </c>
      <c r="I3870" s="8">
        <v>0.16669999999999999</v>
      </c>
    </row>
    <row r="3872" spans="1:9" ht="72" x14ac:dyDescent="0.3">
      <c r="A3872" s="22" t="s">
        <v>913</v>
      </c>
    </row>
    <row r="3873" spans="1:9" x14ac:dyDescent="0.3">
      <c r="A3873" s="22" t="s">
        <v>66</v>
      </c>
      <c r="B3873" t="s">
        <v>62</v>
      </c>
      <c r="C3873" t="s">
        <v>57</v>
      </c>
      <c r="D3873" t="s">
        <v>63</v>
      </c>
      <c r="E3873" t="s">
        <v>832</v>
      </c>
      <c r="F3873" t="s">
        <v>815</v>
      </c>
      <c r="G3873" t="s">
        <v>816</v>
      </c>
      <c r="H3873" t="s">
        <v>817</v>
      </c>
      <c r="I3873" t="s">
        <v>833</v>
      </c>
    </row>
    <row r="3874" spans="1:9" x14ac:dyDescent="0.3">
      <c r="A3874" s="22" t="s">
        <v>67</v>
      </c>
      <c r="B3874">
        <v>46</v>
      </c>
      <c r="C3874" t="s">
        <v>64</v>
      </c>
      <c r="D3874">
        <v>52</v>
      </c>
      <c r="E3874" s="8">
        <v>0.1522</v>
      </c>
      <c r="F3874" s="8">
        <v>0.3478</v>
      </c>
      <c r="G3874" s="8">
        <v>0.30430000000000001</v>
      </c>
      <c r="H3874" s="8">
        <v>0.1087</v>
      </c>
      <c r="I3874" s="8">
        <v>8.6999999999999994E-2</v>
      </c>
    </row>
    <row r="3875" spans="1:9" x14ac:dyDescent="0.3">
      <c r="A3875" s="22" t="s">
        <v>68</v>
      </c>
      <c r="B3875">
        <v>6</v>
      </c>
      <c r="C3875" t="s">
        <v>64</v>
      </c>
      <c r="D3875">
        <v>52</v>
      </c>
      <c r="F3875" s="8">
        <v>0.5</v>
      </c>
      <c r="G3875" s="8">
        <v>0.16669999999999999</v>
      </c>
      <c r="H3875" s="8">
        <v>0.33329999999999999</v>
      </c>
    </row>
    <row r="3877" spans="1:9" ht="72" x14ac:dyDescent="0.3">
      <c r="A3877" s="22" t="s">
        <v>914</v>
      </c>
    </row>
    <row r="3878" spans="1:9" x14ac:dyDescent="0.3">
      <c r="A3878" s="22" t="s">
        <v>66</v>
      </c>
      <c r="B3878" t="s">
        <v>62</v>
      </c>
      <c r="C3878" t="s">
        <v>57</v>
      </c>
      <c r="D3878" t="s">
        <v>63</v>
      </c>
      <c r="E3878" t="s">
        <v>832</v>
      </c>
      <c r="F3878" t="s">
        <v>815</v>
      </c>
      <c r="G3878" t="s">
        <v>816</v>
      </c>
      <c r="H3878" t="s">
        <v>817</v>
      </c>
      <c r="I3878" t="s">
        <v>833</v>
      </c>
    </row>
    <row r="3879" spans="1:9" x14ac:dyDescent="0.3">
      <c r="A3879" s="22" t="s">
        <v>67</v>
      </c>
      <c r="B3879">
        <v>52</v>
      </c>
      <c r="C3879" t="s">
        <v>64</v>
      </c>
      <c r="D3879">
        <v>52</v>
      </c>
      <c r="E3879" s="8">
        <v>0.1346</v>
      </c>
      <c r="F3879" s="8">
        <v>0.3654</v>
      </c>
      <c r="G3879" s="8">
        <v>0.28849999999999998</v>
      </c>
      <c r="H3879" s="8">
        <v>0.1346</v>
      </c>
      <c r="I3879" s="8">
        <v>7.6899999999999996E-2</v>
      </c>
    </row>
    <row r="3881" spans="1:9" ht="57.6" x14ac:dyDescent="0.3">
      <c r="A3881" s="22" t="s">
        <v>915</v>
      </c>
    </row>
    <row r="3882" spans="1:9" x14ac:dyDescent="0.3">
      <c r="A3882" s="22" t="s">
        <v>66</v>
      </c>
      <c r="B3882" t="s">
        <v>62</v>
      </c>
      <c r="C3882" t="s">
        <v>57</v>
      </c>
      <c r="D3882" t="s">
        <v>63</v>
      </c>
      <c r="E3882" t="s">
        <v>832</v>
      </c>
      <c r="F3882" t="s">
        <v>815</v>
      </c>
      <c r="G3882" t="s">
        <v>816</v>
      </c>
      <c r="H3882" t="s">
        <v>817</v>
      </c>
      <c r="I3882" t="s">
        <v>833</v>
      </c>
    </row>
    <row r="3883" spans="1:9" x14ac:dyDescent="0.3">
      <c r="A3883" s="22" t="s">
        <v>67</v>
      </c>
      <c r="B3883">
        <v>28</v>
      </c>
      <c r="C3883" t="s">
        <v>64</v>
      </c>
      <c r="D3883">
        <v>52</v>
      </c>
      <c r="E3883" s="8">
        <v>0.17860000000000001</v>
      </c>
      <c r="F3883" s="8">
        <v>0.32140000000000002</v>
      </c>
      <c r="G3883" s="8">
        <v>0.32140000000000002</v>
      </c>
      <c r="H3883" s="8">
        <v>0.1071</v>
      </c>
      <c r="I3883" s="8">
        <v>7.1400000000000005E-2</v>
      </c>
    </row>
    <row r="3884" spans="1:9" x14ac:dyDescent="0.3">
      <c r="A3884" s="22" t="s">
        <v>68</v>
      </c>
      <c r="B3884">
        <v>24</v>
      </c>
      <c r="C3884" t="s">
        <v>64</v>
      </c>
      <c r="D3884">
        <v>52</v>
      </c>
      <c r="E3884" s="8">
        <v>8.3299999999999999E-2</v>
      </c>
      <c r="F3884" s="8">
        <v>0.41670000000000001</v>
      </c>
      <c r="G3884" s="8">
        <v>0.25</v>
      </c>
      <c r="H3884" s="8">
        <v>0.16669999999999999</v>
      </c>
      <c r="I3884" s="8">
        <v>8.3299999999999999E-2</v>
      </c>
    </row>
    <row r="3886" spans="1:9" ht="57.6" x14ac:dyDescent="0.3">
      <c r="A3886" s="22" t="s">
        <v>916</v>
      </c>
    </row>
    <row r="3887" spans="1:9" x14ac:dyDescent="0.3">
      <c r="A3887" s="22" t="s">
        <v>66</v>
      </c>
      <c r="B3887" t="s">
        <v>62</v>
      </c>
      <c r="C3887" t="s">
        <v>57</v>
      </c>
      <c r="D3887" t="s">
        <v>63</v>
      </c>
      <c r="E3887" t="s">
        <v>832</v>
      </c>
      <c r="F3887" t="s">
        <v>815</v>
      </c>
      <c r="G3887" t="s">
        <v>816</v>
      </c>
      <c r="H3887" t="s">
        <v>817</v>
      </c>
      <c r="I3887" t="s">
        <v>833</v>
      </c>
    </row>
    <row r="3888" spans="1:9" x14ac:dyDescent="0.3">
      <c r="A3888" s="22" t="s">
        <v>67</v>
      </c>
      <c r="B3888">
        <v>46</v>
      </c>
      <c r="C3888" t="s">
        <v>64</v>
      </c>
      <c r="D3888">
        <v>52</v>
      </c>
      <c r="E3888" s="8">
        <v>0.1522</v>
      </c>
      <c r="F3888" s="8">
        <v>0.3261</v>
      </c>
      <c r="G3888" s="8">
        <v>0.28260000000000002</v>
      </c>
      <c r="H3888" s="8">
        <v>0.1522</v>
      </c>
      <c r="I3888" s="8">
        <v>8.6999999999999994E-2</v>
      </c>
    </row>
    <row r="3889" spans="1:9" x14ac:dyDescent="0.3">
      <c r="A3889" s="22" t="s">
        <v>68</v>
      </c>
      <c r="B3889">
        <v>6</v>
      </c>
      <c r="C3889" t="s">
        <v>64</v>
      </c>
      <c r="D3889">
        <v>52</v>
      </c>
      <c r="F3889" s="8">
        <v>0.66669999999999996</v>
      </c>
      <c r="G3889" s="8">
        <v>0.33329999999999999</v>
      </c>
    </row>
    <row r="3891" spans="1:9" ht="43.2" x14ac:dyDescent="0.3">
      <c r="A3891" s="27" t="s">
        <v>917</v>
      </c>
    </row>
    <row r="3892" spans="1:9" x14ac:dyDescent="0.3">
      <c r="A3892" s="22" t="s">
        <v>66</v>
      </c>
      <c r="B3892" t="s">
        <v>62</v>
      </c>
      <c r="C3892" t="s">
        <v>57</v>
      </c>
      <c r="D3892" t="s">
        <v>63</v>
      </c>
      <c r="E3892" t="s">
        <v>832</v>
      </c>
      <c r="F3892" t="s">
        <v>815</v>
      </c>
      <c r="G3892" t="s">
        <v>816</v>
      </c>
      <c r="H3892" t="s">
        <v>817</v>
      </c>
      <c r="I3892" t="s">
        <v>833</v>
      </c>
    </row>
    <row r="3893" spans="1:9" x14ac:dyDescent="0.3">
      <c r="A3893" s="22" t="s">
        <v>81</v>
      </c>
      <c r="B3893">
        <v>12</v>
      </c>
      <c r="C3893" t="s">
        <v>64</v>
      </c>
      <c r="D3893">
        <v>52</v>
      </c>
      <c r="F3893" s="8">
        <v>0.33329999999999999</v>
      </c>
      <c r="G3893" s="8">
        <v>0.25</v>
      </c>
      <c r="H3893" s="8">
        <v>0.25</v>
      </c>
      <c r="I3893" s="8">
        <v>0.16669999999999999</v>
      </c>
    </row>
    <row r="3894" spans="1:9" x14ac:dyDescent="0.3">
      <c r="A3894" s="22" t="s">
        <v>82</v>
      </c>
      <c r="B3894">
        <v>12</v>
      </c>
      <c r="C3894" t="s">
        <v>64</v>
      </c>
      <c r="D3894">
        <v>52</v>
      </c>
      <c r="E3894" s="8">
        <v>0.33329999999999999</v>
      </c>
      <c r="F3894" s="8">
        <v>0.25</v>
      </c>
      <c r="G3894" s="8">
        <v>0.33329999999999999</v>
      </c>
      <c r="H3894" s="8">
        <v>8.3299999999999999E-2</v>
      </c>
    </row>
    <row r="3895" spans="1:9" x14ac:dyDescent="0.3">
      <c r="A3895" s="22" t="s">
        <v>83</v>
      </c>
      <c r="B3895">
        <v>17</v>
      </c>
      <c r="C3895" t="s">
        <v>64</v>
      </c>
      <c r="D3895">
        <v>52</v>
      </c>
      <c r="E3895" s="8">
        <v>0.1176</v>
      </c>
      <c r="F3895" s="8">
        <v>0.47060000000000002</v>
      </c>
      <c r="G3895" s="8">
        <v>0.23530000000000001</v>
      </c>
      <c r="H3895" s="8">
        <v>0.1176</v>
      </c>
      <c r="I3895" s="8">
        <v>5.8799999999999998E-2</v>
      </c>
    </row>
    <row r="3896" spans="1:9" x14ac:dyDescent="0.3">
      <c r="A3896" s="22" t="s">
        <v>84</v>
      </c>
      <c r="B3896">
        <v>11</v>
      </c>
      <c r="C3896" t="s">
        <v>64</v>
      </c>
      <c r="D3896">
        <v>52</v>
      </c>
      <c r="E3896" s="8">
        <v>9.0899999999999995E-2</v>
      </c>
      <c r="F3896" s="8">
        <v>0.36359999999999998</v>
      </c>
      <c r="G3896" s="8">
        <v>0.36359999999999998</v>
      </c>
      <c r="H3896" s="8">
        <v>9.0899999999999995E-2</v>
      </c>
      <c r="I3896" s="8">
        <v>9.0899999999999995E-2</v>
      </c>
    </row>
    <row r="3898" spans="1:9" ht="43.2" x14ac:dyDescent="0.3">
      <c r="A3898" s="27" t="s">
        <v>918</v>
      </c>
    </row>
    <row r="3899" spans="1:9" x14ac:dyDescent="0.3">
      <c r="A3899" s="22" t="s">
        <v>62</v>
      </c>
      <c r="B3899" t="s">
        <v>57</v>
      </c>
      <c r="C3899" t="s">
        <v>63</v>
      </c>
      <c r="D3899" t="s">
        <v>815</v>
      </c>
      <c r="E3899" t="s">
        <v>833</v>
      </c>
    </row>
    <row r="3900" spans="1:9" x14ac:dyDescent="0.3">
      <c r="A3900" s="22">
        <v>2</v>
      </c>
      <c r="B3900" t="s">
        <v>64</v>
      </c>
      <c r="C3900">
        <v>2</v>
      </c>
      <c r="D3900" s="8">
        <v>0.5</v>
      </c>
      <c r="E3900" s="8">
        <v>0.5</v>
      </c>
    </row>
    <row r="3902" spans="1:9" ht="57.6" x14ac:dyDescent="0.3">
      <c r="A3902" s="22" t="s">
        <v>919</v>
      </c>
    </row>
    <row r="3903" spans="1:9" x14ac:dyDescent="0.3">
      <c r="A3903" s="22" t="s">
        <v>66</v>
      </c>
      <c r="B3903" t="s">
        <v>62</v>
      </c>
      <c r="C3903" t="s">
        <v>57</v>
      </c>
      <c r="D3903" t="s">
        <v>63</v>
      </c>
      <c r="E3903" t="s">
        <v>815</v>
      </c>
      <c r="F3903" t="s">
        <v>833</v>
      </c>
    </row>
    <row r="3904" spans="1:9" x14ac:dyDescent="0.3">
      <c r="A3904" s="22" t="s">
        <v>67</v>
      </c>
      <c r="B3904">
        <v>2</v>
      </c>
      <c r="C3904" t="s">
        <v>64</v>
      </c>
      <c r="D3904">
        <v>2</v>
      </c>
      <c r="E3904" s="8">
        <v>0.5</v>
      </c>
      <c r="F3904" s="8">
        <v>0.5</v>
      </c>
    </row>
    <row r="3906" spans="1:6" x14ac:dyDescent="0.3">
      <c r="A3906"/>
    </row>
    <row r="3907" spans="1:6" x14ac:dyDescent="0.3">
      <c r="A3907"/>
    </row>
    <row r="3908" spans="1:6" x14ac:dyDescent="0.3">
      <c r="A3908"/>
    </row>
    <row r="3910" spans="1:6" ht="57.6" x14ac:dyDescent="0.3">
      <c r="A3910" s="22" t="s">
        <v>920</v>
      </c>
    </row>
    <row r="3911" spans="1:6" x14ac:dyDescent="0.3">
      <c r="A3911" s="22" t="s">
        <v>66</v>
      </c>
      <c r="B3911" t="s">
        <v>62</v>
      </c>
      <c r="C3911" t="s">
        <v>57</v>
      </c>
      <c r="D3911" t="s">
        <v>63</v>
      </c>
      <c r="E3911" t="s">
        <v>815</v>
      </c>
      <c r="F3911" t="s">
        <v>833</v>
      </c>
    </row>
    <row r="3912" spans="1:6" x14ac:dyDescent="0.3">
      <c r="A3912" s="22" t="s">
        <v>67</v>
      </c>
      <c r="B3912">
        <v>2</v>
      </c>
      <c r="C3912" t="s">
        <v>64</v>
      </c>
      <c r="D3912">
        <v>2</v>
      </c>
      <c r="E3912" s="8">
        <v>0.5</v>
      </c>
      <c r="F3912" s="8">
        <v>0.5</v>
      </c>
    </row>
    <row r="3914" spans="1:6" ht="57.6" x14ac:dyDescent="0.3">
      <c r="A3914" s="22" t="s">
        <v>921</v>
      </c>
    </row>
    <row r="3915" spans="1:6" x14ac:dyDescent="0.3">
      <c r="A3915" s="22" t="s">
        <v>66</v>
      </c>
      <c r="B3915" t="s">
        <v>62</v>
      </c>
      <c r="C3915" t="s">
        <v>57</v>
      </c>
      <c r="D3915" t="s">
        <v>63</v>
      </c>
      <c r="E3915" t="s">
        <v>815</v>
      </c>
      <c r="F3915" t="s">
        <v>833</v>
      </c>
    </row>
    <row r="3916" spans="1:6" x14ac:dyDescent="0.3">
      <c r="A3916" s="22" t="s">
        <v>67</v>
      </c>
      <c r="B3916">
        <v>2</v>
      </c>
      <c r="C3916" t="s">
        <v>64</v>
      </c>
      <c r="D3916">
        <v>2</v>
      </c>
      <c r="E3916" s="8">
        <v>0.5</v>
      </c>
      <c r="F3916" s="8">
        <v>0.5</v>
      </c>
    </row>
    <row r="3918" spans="1:6" ht="57.6" x14ac:dyDescent="0.3">
      <c r="A3918" s="22" t="s">
        <v>922</v>
      </c>
    </row>
    <row r="3919" spans="1:6" x14ac:dyDescent="0.3">
      <c r="A3919" s="22" t="s">
        <v>66</v>
      </c>
      <c r="B3919" t="s">
        <v>62</v>
      </c>
      <c r="C3919" t="s">
        <v>57</v>
      </c>
      <c r="D3919" t="s">
        <v>63</v>
      </c>
      <c r="E3919" t="s">
        <v>815</v>
      </c>
      <c r="F3919" t="s">
        <v>833</v>
      </c>
    </row>
    <row r="3920" spans="1:6" x14ac:dyDescent="0.3">
      <c r="A3920" s="22" t="s">
        <v>67</v>
      </c>
      <c r="B3920">
        <v>2</v>
      </c>
      <c r="C3920" t="s">
        <v>64</v>
      </c>
      <c r="D3920">
        <v>2</v>
      </c>
      <c r="E3920" s="8">
        <v>0.5</v>
      </c>
      <c r="F3920" s="8">
        <v>0.5</v>
      </c>
    </row>
    <row r="3922" spans="1:6" ht="57.6" x14ac:dyDescent="0.3">
      <c r="A3922" s="22" t="s">
        <v>923</v>
      </c>
    </row>
    <row r="3923" spans="1:6" x14ac:dyDescent="0.3">
      <c r="A3923" s="22" t="s">
        <v>66</v>
      </c>
      <c r="B3923" t="s">
        <v>62</v>
      </c>
      <c r="C3923" t="s">
        <v>57</v>
      </c>
      <c r="D3923" t="s">
        <v>63</v>
      </c>
      <c r="E3923" t="s">
        <v>815</v>
      </c>
      <c r="F3923" t="s">
        <v>833</v>
      </c>
    </row>
    <row r="3924" spans="1:6" x14ac:dyDescent="0.3">
      <c r="A3924" s="22" t="s">
        <v>68</v>
      </c>
      <c r="B3924">
        <v>2</v>
      </c>
      <c r="C3924" t="s">
        <v>64</v>
      </c>
      <c r="D3924">
        <v>2</v>
      </c>
      <c r="E3924" s="8">
        <v>0.5</v>
      </c>
      <c r="F3924" s="8">
        <v>0.5</v>
      </c>
    </row>
    <row r="3926" spans="1:6" ht="57.6" x14ac:dyDescent="0.3">
      <c r="A3926" s="22" t="s">
        <v>924</v>
      </c>
    </row>
    <row r="3927" spans="1:6" x14ac:dyDescent="0.3">
      <c r="A3927" s="22" t="s">
        <v>66</v>
      </c>
      <c r="B3927" t="s">
        <v>62</v>
      </c>
      <c r="C3927" t="s">
        <v>57</v>
      </c>
      <c r="D3927" t="s">
        <v>63</v>
      </c>
      <c r="E3927" t="s">
        <v>815</v>
      </c>
      <c r="F3927" t="s">
        <v>833</v>
      </c>
    </row>
    <row r="3928" spans="1:6" x14ac:dyDescent="0.3">
      <c r="A3928" s="22" t="s">
        <v>67</v>
      </c>
      <c r="B3928">
        <v>2</v>
      </c>
      <c r="C3928" t="s">
        <v>64</v>
      </c>
      <c r="D3928">
        <v>2</v>
      </c>
      <c r="E3928" s="8">
        <v>0.5</v>
      </c>
      <c r="F3928" s="8">
        <v>0.5</v>
      </c>
    </row>
    <row r="3930" spans="1:6" ht="57.6" x14ac:dyDescent="0.3">
      <c r="A3930" s="22" t="s">
        <v>925</v>
      </c>
    </row>
    <row r="3931" spans="1:6" x14ac:dyDescent="0.3">
      <c r="A3931" s="22" t="s">
        <v>66</v>
      </c>
      <c r="B3931" t="s">
        <v>62</v>
      </c>
      <c r="C3931" t="s">
        <v>57</v>
      </c>
      <c r="D3931" t="s">
        <v>63</v>
      </c>
      <c r="E3931" t="s">
        <v>815</v>
      </c>
      <c r="F3931" t="s">
        <v>833</v>
      </c>
    </row>
    <row r="3932" spans="1:6" x14ac:dyDescent="0.3">
      <c r="A3932" s="22" t="s">
        <v>67</v>
      </c>
      <c r="B3932">
        <v>1</v>
      </c>
      <c r="C3932" t="s">
        <v>64</v>
      </c>
      <c r="D3932">
        <v>2</v>
      </c>
      <c r="F3932" s="8">
        <v>1</v>
      </c>
    </row>
    <row r="3933" spans="1:6" x14ac:dyDescent="0.3">
      <c r="A3933" s="22" t="s">
        <v>68</v>
      </c>
      <c r="B3933">
        <v>1</v>
      </c>
      <c r="C3933" t="s">
        <v>64</v>
      </c>
      <c r="D3933">
        <v>2</v>
      </c>
      <c r="E3933" s="8">
        <v>1</v>
      </c>
    </row>
    <row r="3935" spans="1:6" ht="57.6" x14ac:dyDescent="0.3">
      <c r="A3935" s="22" t="s">
        <v>926</v>
      </c>
    </row>
    <row r="3936" spans="1:6" x14ac:dyDescent="0.3">
      <c r="A3936" s="22" t="s">
        <v>66</v>
      </c>
      <c r="B3936" t="s">
        <v>62</v>
      </c>
      <c r="C3936" t="s">
        <v>57</v>
      </c>
      <c r="D3936" t="s">
        <v>63</v>
      </c>
      <c r="E3936" t="s">
        <v>815</v>
      </c>
      <c r="F3936" t="s">
        <v>833</v>
      </c>
    </row>
    <row r="3937" spans="1:6" x14ac:dyDescent="0.3">
      <c r="A3937" s="22" t="s">
        <v>67</v>
      </c>
      <c r="B3937">
        <v>2</v>
      </c>
      <c r="C3937" t="s">
        <v>64</v>
      </c>
      <c r="D3937">
        <v>2</v>
      </c>
      <c r="E3937" s="8">
        <v>0.5</v>
      </c>
      <c r="F3937" s="8">
        <v>0.5</v>
      </c>
    </row>
    <row r="3939" spans="1:6" ht="72" x14ac:dyDescent="0.3">
      <c r="A3939" s="22" t="s">
        <v>927</v>
      </c>
    </row>
    <row r="3940" spans="1:6" x14ac:dyDescent="0.3">
      <c r="A3940" s="22" t="s">
        <v>66</v>
      </c>
      <c r="B3940" t="s">
        <v>62</v>
      </c>
      <c r="C3940" t="s">
        <v>57</v>
      </c>
      <c r="D3940" t="s">
        <v>63</v>
      </c>
      <c r="E3940" t="s">
        <v>815</v>
      </c>
      <c r="F3940" t="s">
        <v>833</v>
      </c>
    </row>
    <row r="3941" spans="1:6" x14ac:dyDescent="0.3">
      <c r="A3941" s="22" t="s">
        <v>67</v>
      </c>
      <c r="B3941">
        <v>2</v>
      </c>
      <c r="C3941" t="s">
        <v>64</v>
      </c>
      <c r="D3941">
        <v>2</v>
      </c>
      <c r="E3941" s="8">
        <v>0.5</v>
      </c>
      <c r="F3941" s="8">
        <v>0.5</v>
      </c>
    </row>
    <row r="3943" spans="1:6" ht="72" x14ac:dyDescent="0.3">
      <c r="A3943" s="22" t="s">
        <v>928</v>
      </c>
    </row>
    <row r="3944" spans="1:6" x14ac:dyDescent="0.3">
      <c r="A3944" s="22" t="s">
        <v>66</v>
      </c>
      <c r="B3944" t="s">
        <v>62</v>
      </c>
      <c r="C3944" t="s">
        <v>57</v>
      </c>
      <c r="D3944" t="s">
        <v>63</v>
      </c>
      <c r="E3944" t="s">
        <v>815</v>
      </c>
      <c r="F3944" t="s">
        <v>833</v>
      </c>
    </row>
    <row r="3945" spans="1:6" x14ac:dyDescent="0.3">
      <c r="A3945" s="22" t="s">
        <v>67</v>
      </c>
      <c r="B3945">
        <v>2</v>
      </c>
      <c r="C3945" t="s">
        <v>64</v>
      </c>
      <c r="D3945">
        <v>2</v>
      </c>
      <c r="E3945" s="8">
        <v>0.5</v>
      </c>
      <c r="F3945" s="8">
        <v>0.5</v>
      </c>
    </row>
    <row r="3947" spans="1:6" ht="57.6" x14ac:dyDescent="0.3">
      <c r="A3947" s="22" t="s">
        <v>929</v>
      </c>
    </row>
    <row r="3948" spans="1:6" x14ac:dyDescent="0.3">
      <c r="A3948" s="22" t="s">
        <v>66</v>
      </c>
      <c r="B3948" t="s">
        <v>62</v>
      </c>
      <c r="C3948" t="s">
        <v>57</v>
      </c>
      <c r="D3948" t="s">
        <v>63</v>
      </c>
      <c r="E3948" t="s">
        <v>815</v>
      </c>
      <c r="F3948" t="s">
        <v>833</v>
      </c>
    </row>
    <row r="3949" spans="1:6" x14ac:dyDescent="0.3">
      <c r="A3949" s="22" t="s">
        <v>67</v>
      </c>
      <c r="B3949">
        <v>1</v>
      </c>
      <c r="C3949" t="s">
        <v>64</v>
      </c>
      <c r="D3949">
        <v>2</v>
      </c>
      <c r="F3949" s="8">
        <v>1</v>
      </c>
    </row>
    <row r="3950" spans="1:6" x14ac:dyDescent="0.3">
      <c r="A3950" s="22" t="s">
        <v>68</v>
      </c>
      <c r="B3950">
        <v>1</v>
      </c>
      <c r="C3950" t="s">
        <v>64</v>
      </c>
      <c r="D3950">
        <v>2</v>
      </c>
      <c r="E3950" s="8">
        <v>1</v>
      </c>
    </row>
    <row r="3952" spans="1:6" ht="57.6" x14ac:dyDescent="0.3">
      <c r="A3952" s="22" t="s">
        <v>930</v>
      </c>
    </row>
    <row r="3953" spans="1:9" x14ac:dyDescent="0.3">
      <c r="A3953" s="22" t="s">
        <v>66</v>
      </c>
      <c r="B3953" t="s">
        <v>62</v>
      </c>
      <c r="C3953" t="s">
        <v>57</v>
      </c>
      <c r="D3953" t="s">
        <v>63</v>
      </c>
      <c r="E3953" t="s">
        <v>815</v>
      </c>
      <c r="F3953" t="s">
        <v>833</v>
      </c>
    </row>
    <row r="3954" spans="1:9" x14ac:dyDescent="0.3">
      <c r="A3954" s="22" t="s">
        <v>67</v>
      </c>
      <c r="B3954">
        <v>2</v>
      </c>
      <c r="C3954" t="s">
        <v>64</v>
      </c>
      <c r="D3954">
        <v>2</v>
      </c>
      <c r="E3954" s="8">
        <v>0.5</v>
      </c>
      <c r="F3954" s="8">
        <v>0.5</v>
      </c>
    </row>
    <row r="3956" spans="1:9" ht="43.2" x14ac:dyDescent="0.3">
      <c r="A3956" s="27" t="s">
        <v>931</v>
      </c>
    </row>
    <row r="3957" spans="1:9" x14ac:dyDescent="0.3">
      <c r="A3957" s="22" t="s">
        <v>66</v>
      </c>
      <c r="B3957" t="s">
        <v>62</v>
      </c>
      <c r="C3957" t="s">
        <v>57</v>
      </c>
      <c r="D3957" t="s">
        <v>63</v>
      </c>
      <c r="E3957" t="s">
        <v>815</v>
      </c>
      <c r="F3957" t="s">
        <v>833</v>
      </c>
    </row>
    <row r="3958" spans="1:9" x14ac:dyDescent="0.3">
      <c r="A3958" s="22" t="s">
        <v>81</v>
      </c>
      <c r="B3958">
        <v>1</v>
      </c>
      <c r="C3958" t="s">
        <v>64</v>
      </c>
      <c r="D3958">
        <v>2</v>
      </c>
      <c r="F3958" s="8">
        <v>1</v>
      </c>
    </row>
    <row r="3959" spans="1:9" x14ac:dyDescent="0.3">
      <c r="A3959" s="22" t="s">
        <v>83</v>
      </c>
      <c r="B3959">
        <v>1</v>
      </c>
      <c r="C3959" t="s">
        <v>64</v>
      </c>
      <c r="D3959">
        <v>2</v>
      </c>
      <c r="E3959" s="8">
        <v>1</v>
      </c>
    </row>
    <row r="3961" spans="1:9" ht="28.8" x14ac:dyDescent="0.3">
      <c r="A3961" s="27" t="s">
        <v>932</v>
      </c>
    </row>
    <row r="3962" spans="1:9" x14ac:dyDescent="0.3">
      <c r="A3962" s="22" t="s">
        <v>62</v>
      </c>
      <c r="B3962" t="s">
        <v>57</v>
      </c>
      <c r="C3962" t="s">
        <v>63</v>
      </c>
      <c r="D3962" t="s">
        <v>832</v>
      </c>
      <c r="E3962" t="s">
        <v>815</v>
      </c>
      <c r="F3962" t="s">
        <v>816</v>
      </c>
      <c r="G3962" t="s">
        <v>817</v>
      </c>
      <c r="H3962" t="s">
        <v>833</v>
      </c>
    </row>
    <row r="3963" spans="1:9" x14ac:dyDescent="0.3">
      <c r="A3963" s="22">
        <v>74</v>
      </c>
      <c r="B3963" t="s">
        <v>64</v>
      </c>
      <c r="C3963">
        <v>74</v>
      </c>
      <c r="D3963" s="8">
        <v>8.1100000000000005E-2</v>
      </c>
      <c r="E3963" s="8">
        <v>0.55410000000000004</v>
      </c>
      <c r="F3963" s="8">
        <v>0.14860000000000001</v>
      </c>
      <c r="G3963" s="8">
        <v>0.1081</v>
      </c>
      <c r="H3963" s="8">
        <v>0.1081</v>
      </c>
    </row>
    <row r="3965" spans="1:9" ht="57.6" x14ac:dyDescent="0.3">
      <c r="A3965" s="22" t="s">
        <v>933</v>
      </c>
    </row>
    <row r="3966" spans="1:9" x14ac:dyDescent="0.3">
      <c r="A3966" s="22" t="s">
        <v>66</v>
      </c>
      <c r="B3966" t="s">
        <v>62</v>
      </c>
      <c r="C3966" t="s">
        <v>57</v>
      </c>
      <c r="D3966" t="s">
        <v>63</v>
      </c>
      <c r="E3966" t="s">
        <v>832</v>
      </c>
      <c r="F3966" t="s">
        <v>815</v>
      </c>
      <c r="G3966" t="s">
        <v>816</v>
      </c>
      <c r="H3966" t="s">
        <v>817</v>
      </c>
      <c r="I3966" t="s">
        <v>833</v>
      </c>
    </row>
    <row r="3967" spans="1:9" x14ac:dyDescent="0.3">
      <c r="A3967" s="22" t="s">
        <v>67</v>
      </c>
      <c r="B3967">
        <v>70</v>
      </c>
      <c r="C3967" t="s">
        <v>64</v>
      </c>
      <c r="D3967">
        <v>74</v>
      </c>
      <c r="E3967" s="8">
        <v>8.5699999999999998E-2</v>
      </c>
      <c r="F3967" s="8">
        <v>0.54290000000000005</v>
      </c>
      <c r="G3967" s="8">
        <v>0.1429</v>
      </c>
      <c r="H3967" s="8">
        <v>0.1143</v>
      </c>
      <c r="I3967" s="8">
        <v>0.1143</v>
      </c>
    </row>
    <row r="3968" spans="1:9" x14ac:dyDescent="0.3">
      <c r="A3968" s="22" t="s">
        <v>68</v>
      </c>
      <c r="B3968">
        <v>4</v>
      </c>
      <c r="C3968" t="s">
        <v>64</v>
      </c>
      <c r="D3968">
        <v>74</v>
      </c>
      <c r="F3968" s="8">
        <v>0.75</v>
      </c>
      <c r="G3968" s="8">
        <v>0.25</v>
      </c>
    </row>
    <row r="3970" spans="1:9" x14ac:dyDescent="0.3">
      <c r="A3970"/>
    </row>
    <row r="3971" spans="1:9" x14ac:dyDescent="0.3">
      <c r="A3971"/>
    </row>
    <row r="3972" spans="1:9" x14ac:dyDescent="0.3">
      <c r="A3972"/>
    </row>
    <row r="3974" spans="1:9" ht="57.6" x14ac:dyDescent="0.3">
      <c r="A3974" s="22" t="s">
        <v>934</v>
      </c>
    </row>
    <row r="3975" spans="1:9" x14ac:dyDescent="0.3">
      <c r="A3975" s="22" t="s">
        <v>66</v>
      </c>
      <c r="B3975" t="s">
        <v>62</v>
      </c>
      <c r="C3975" t="s">
        <v>57</v>
      </c>
      <c r="D3975" t="s">
        <v>63</v>
      </c>
      <c r="E3975" t="s">
        <v>832</v>
      </c>
      <c r="F3975" t="s">
        <v>815</v>
      </c>
      <c r="G3975" t="s">
        <v>816</v>
      </c>
      <c r="H3975" t="s">
        <v>817</v>
      </c>
      <c r="I3975" t="s">
        <v>833</v>
      </c>
    </row>
    <row r="3976" spans="1:9" x14ac:dyDescent="0.3">
      <c r="A3976" s="22" t="s">
        <v>67</v>
      </c>
      <c r="B3976">
        <v>70</v>
      </c>
      <c r="C3976" t="s">
        <v>64</v>
      </c>
      <c r="D3976">
        <v>74</v>
      </c>
      <c r="E3976" s="8">
        <v>8.5699999999999998E-2</v>
      </c>
      <c r="F3976" s="8">
        <v>0.55710000000000004</v>
      </c>
      <c r="G3976" s="8">
        <v>0.15709999999999999</v>
      </c>
      <c r="H3976" s="8">
        <v>0.1143</v>
      </c>
      <c r="I3976" s="8">
        <v>8.5699999999999998E-2</v>
      </c>
    </row>
    <row r="3977" spans="1:9" x14ac:dyDescent="0.3">
      <c r="A3977" s="22" t="s">
        <v>68</v>
      </c>
      <c r="B3977">
        <v>4</v>
      </c>
      <c r="C3977" t="s">
        <v>64</v>
      </c>
      <c r="D3977">
        <v>74</v>
      </c>
      <c r="F3977" s="8">
        <v>0.5</v>
      </c>
      <c r="I3977" s="8">
        <v>0.5</v>
      </c>
    </row>
    <row r="3979" spans="1:9" ht="43.2" x14ac:dyDescent="0.3">
      <c r="A3979" s="22" t="s">
        <v>935</v>
      </c>
    </row>
    <row r="3980" spans="1:9" x14ac:dyDescent="0.3">
      <c r="A3980" s="22" t="s">
        <v>66</v>
      </c>
      <c r="B3980" t="s">
        <v>62</v>
      </c>
      <c r="C3980" t="s">
        <v>57</v>
      </c>
      <c r="D3980" t="s">
        <v>63</v>
      </c>
      <c r="E3980" t="s">
        <v>832</v>
      </c>
      <c r="F3980" t="s">
        <v>815</v>
      </c>
      <c r="G3980" t="s">
        <v>816</v>
      </c>
      <c r="H3980" t="s">
        <v>817</v>
      </c>
      <c r="I3980" t="s">
        <v>833</v>
      </c>
    </row>
    <row r="3981" spans="1:9" x14ac:dyDescent="0.3">
      <c r="A3981" s="22" t="s">
        <v>67</v>
      </c>
      <c r="B3981">
        <v>73</v>
      </c>
      <c r="C3981" t="s">
        <v>64</v>
      </c>
      <c r="D3981">
        <v>74</v>
      </c>
      <c r="E3981" s="8">
        <v>8.2199999999999995E-2</v>
      </c>
      <c r="F3981" s="8">
        <v>0.54790000000000005</v>
      </c>
      <c r="G3981" s="8">
        <v>0.1507</v>
      </c>
      <c r="H3981" s="8">
        <v>0.1096</v>
      </c>
      <c r="I3981" s="8">
        <v>0.1096</v>
      </c>
    </row>
    <row r="3982" spans="1:9" x14ac:dyDescent="0.3">
      <c r="A3982" s="22" t="s">
        <v>68</v>
      </c>
      <c r="B3982">
        <v>1</v>
      </c>
      <c r="C3982" t="s">
        <v>64</v>
      </c>
      <c r="D3982">
        <v>74</v>
      </c>
      <c r="F3982" s="8">
        <v>1</v>
      </c>
    </row>
    <row r="3984" spans="1:9" ht="57.6" x14ac:dyDescent="0.3">
      <c r="A3984" s="22" t="s">
        <v>936</v>
      </c>
    </row>
    <row r="3985" spans="1:9" x14ac:dyDescent="0.3">
      <c r="A3985" s="22" t="s">
        <v>66</v>
      </c>
      <c r="B3985" t="s">
        <v>62</v>
      </c>
      <c r="C3985" t="s">
        <v>57</v>
      </c>
      <c r="D3985" t="s">
        <v>63</v>
      </c>
      <c r="E3985" t="s">
        <v>832</v>
      </c>
      <c r="F3985" t="s">
        <v>815</v>
      </c>
      <c r="G3985" t="s">
        <v>816</v>
      </c>
      <c r="H3985" t="s">
        <v>817</v>
      </c>
      <c r="I3985" t="s">
        <v>833</v>
      </c>
    </row>
    <row r="3986" spans="1:9" x14ac:dyDescent="0.3">
      <c r="A3986" s="22" t="s">
        <v>67</v>
      </c>
      <c r="B3986">
        <v>70</v>
      </c>
      <c r="C3986" t="s">
        <v>64</v>
      </c>
      <c r="D3986">
        <v>74</v>
      </c>
      <c r="E3986" s="8">
        <v>8.5699999999999998E-2</v>
      </c>
      <c r="F3986" s="8">
        <v>0.54290000000000005</v>
      </c>
      <c r="G3986" s="8">
        <v>0.15709999999999999</v>
      </c>
      <c r="H3986" s="8">
        <v>0.1143</v>
      </c>
      <c r="I3986" s="8">
        <v>0.1</v>
      </c>
    </row>
    <row r="3987" spans="1:9" x14ac:dyDescent="0.3">
      <c r="A3987" s="22" t="s">
        <v>68</v>
      </c>
      <c r="B3987">
        <v>4</v>
      </c>
      <c r="C3987" t="s">
        <v>64</v>
      </c>
      <c r="D3987">
        <v>74</v>
      </c>
      <c r="F3987" s="8">
        <v>0.75</v>
      </c>
      <c r="I3987" s="8">
        <v>0.25</v>
      </c>
    </row>
    <row r="3989" spans="1:9" ht="57.6" x14ac:dyDescent="0.3">
      <c r="A3989" s="22" t="s">
        <v>937</v>
      </c>
    </row>
    <row r="3990" spans="1:9" x14ac:dyDescent="0.3">
      <c r="A3990" s="22" t="s">
        <v>66</v>
      </c>
      <c r="B3990" t="s">
        <v>62</v>
      </c>
      <c r="C3990" t="s">
        <v>57</v>
      </c>
      <c r="D3990" t="s">
        <v>63</v>
      </c>
      <c r="E3990" t="s">
        <v>832</v>
      </c>
      <c r="F3990" t="s">
        <v>815</v>
      </c>
      <c r="G3990" t="s">
        <v>816</v>
      </c>
      <c r="H3990" t="s">
        <v>817</v>
      </c>
      <c r="I3990" t="s">
        <v>833</v>
      </c>
    </row>
    <row r="3991" spans="1:9" x14ac:dyDescent="0.3">
      <c r="A3991" s="22" t="s">
        <v>67</v>
      </c>
      <c r="B3991">
        <v>3</v>
      </c>
      <c r="C3991" t="s">
        <v>64</v>
      </c>
      <c r="D3991">
        <v>74</v>
      </c>
      <c r="F3991" s="8">
        <v>0.66669999999999996</v>
      </c>
      <c r="H3991" s="8">
        <v>0.33329999999999999</v>
      </c>
    </row>
    <row r="3992" spans="1:9" x14ac:dyDescent="0.3">
      <c r="A3992" s="22" t="s">
        <v>68</v>
      </c>
      <c r="B3992">
        <v>71</v>
      </c>
      <c r="C3992" t="s">
        <v>64</v>
      </c>
      <c r="D3992">
        <v>74</v>
      </c>
      <c r="E3992" s="8">
        <v>8.4500000000000006E-2</v>
      </c>
      <c r="F3992" s="8">
        <v>0.54930000000000001</v>
      </c>
      <c r="G3992" s="8">
        <v>0.15490000000000001</v>
      </c>
      <c r="H3992" s="8">
        <v>9.8599999999999993E-2</v>
      </c>
      <c r="I3992" s="8">
        <v>0.11269999999999999</v>
      </c>
    </row>
    <row r="3994" spans="1:9" ht="57.6" x14ac:dyDescent="0.3">
      <c r="A3994" s="22" t="s">
        <v>938</v>
      </c>
    </row>
    <row r="3995" spans="1:9" x14ac:dyDescent="0.3">
      <c r="A3995" s="22" t="s">
        <v>66</v>
      </c>
      <c r="B3995" t="s">
        <v>62</v>
      </c>
      <c r="C3995" t="s">
        <v>57</v>
      </c>
      <c r="D3995" t="s">
        <v>63</v>
      </c>
      <c r="E3995" t="s">
        <v>832</v>
      </c>
      <c r="F3995" t="s">
        <v>815</v>
      </c>
      <c r="G3995" t="s">
        <v>816</v>
      </c>
      <c r="H3995" t="s">
        <v>817</v>
      </c>
      <c r="I3995" t="s">
        <v>833</v>
      </c>
    </row>
    <row r="3996" spans="1:9" x14ac:dyDescent="0.3">
      <c r="A3996" s="22" t="s">
        <v>67</v>
      </c>
      <c r="B3996">
        <v>61</v>
      </c>
      <c r="C3996" t="s">
        <v>64</v>
      </c>
      <c r="D3996">
        <v>74</v>
      </c>
      <c r="E3996" s="8">
        <v>6.5600000000000006E-2</v>
      </c>
      <c r="F3996" s="8">
        <v>0.57379999999999998</v>
      </c>
      <c r="G3996" s="8">
        <v>0.14749999999999999</v>
      </c>
      <c r="H3996" s="8">
        <v>9.8400000000000001E-2</v>
      </c>
      <c r="I3996" s="8">
        <v>0.1148</v>
      </c>
    </row>
    <row r="3997" spans="1:9" x14ac:dyDescent="0.3">
      <c r="A3997" s="22" t="s">
        <v>68</v>
      </c>
      <c r="B3997">
        <v>13</v>
      </c>
      <c r="C3997" t="s">
        <v>64</v>
      </c>
      <c r="D3997">
        <v>74</v>
      </c>
      <c r="E3997" s="8">
        <v>0.15379999999999999</v>
      </c>
      <c r="F3997" s="8">
        <v>0.46150000000000002</v>
      </c>
      <c r="G3997" s="8">
        <v>0.15379999999999999</v>
      </c>
      <c r="H3997" s="8">
        <v>0.15379999999999999</v>
      </c>
      <c r="I3997" s="8">
        <v>7.6899999999999996E-2</v>
      </c>
    </row>
    <row r="3999" spans="1:9" ht="43.2" x14ac:dyDescent="0.3">
      <c r="A3999" s="22" t="s">
        <v>939</v>
      </c>
    </row>
    <row r="4000" spans="1:9" x14ac:dyDescent="0.3">
      <c r="A4000" s="22" t="s">
        <v>66</v>
      </c>
      <c r="B4000" t="s">
        <v>62</v>
      </c>
      <c r="C4000" t="s">
        <v>57</v>
      </c>
      <c r="D4000" t="s">
        <v>63</v>
      </c>
      <c r="E4000" t="s">
        <v>832</v>
      </c>
      <c r="F4000" t="s">
        <v>815</v>
      </c>
      <c r="G4000" t="s">
        <v>816</v>
      </c>
      <c r="H4000" t="s">
        <v>817</v>
      </c>
      <c r="I4000" t="s">
        <v>833</v>
      </c>
    </row>
    <row r="4001" spans="1:9" x14ac:dyDescent="0.3">
      <c r="A4001" s="22" t="s">
        <v>67</v>
      </c>
      <c r="B4001">
        <v>58</v>
      </c>
      <c r="C4001" t="s">
        <v>64</v>
      </c>
      <c r="D4001">
        <v>74</v>
      </c>
      <c r="E4001" s="8">
        <v>6.9000000000000006E-2</v>
      </c>
      <c r="F4001" s="8">
        <v>0.56899999999999995</v>
      </c>
      <c r="G4001" s="8">
        <v>0.1552</v>
      </c>
      <c r="H4001" s="8">
        <v>0.10340000000000001</v>
      </c>
      <c r="I4001" s="8">
        <v>0.10340000000000001</v>
      </c>
    </row>
    <row r="4002" spans="1:9" x14ac:dyDescent="0.3">
      <c r="A4002" s="22" t="s">
        <v>68</v>
      </c>
      <c r="B4002">
        <v>16</v>
      </c>
      <c r="C4002" t="s">
        <v>64</v>
      </c>
      <c r="D4002">
        <v>74</v>
      </c>
      <c r="E4002" s="8">
        <v>0.125</v>
      </c>
      <c r="F4002" s="8">
        <v>0.5</v>
      </c>
      <c r="G4002" s="8">
        <v>0.125</v>
      </c>
      <c r="H4002" s="8">
        <v>0.125</v>
      </c>
      <c r="I4002" s="8">
        <v>0.125</v>
      </c>
    </row>
    <row r="4004" spans="1:9" ht="57.6" x14ac:dyDescent="0.3">
      <c r="A4004" s="22" t="s">
        <v>940</v>
      </c>
    </row>
    <row r="4005" spans="1:9" x14ac:dyDescent="0.3">
      <c r="A4005" s="22" t="s">
        <v>66</v>
      </c>
      <c r="B4005" t="s">
        <v>62</v>
      </c>
      <c r="C4005" t="s">
        <v>57</v>
      </c>
      <c r="D4005" t="s">
        <v>63</v>
      </c>
      <c r="E4005" t="s">
        <v>832</v>
      </c>
      <c r="F4005" t="s">
        <v>815</v>
      </c>
      <c r="G4005" t="s">
        <v>816</v>
      </c>
      <c r="H4005" t="s">
        <v>817</v>
      </c>
      <c r="I4005" t="s">
        <v>833</v>
      </c>
    </row>
    <row r="4006" spans="1:9" x14ac:dyDescent="0.3">
      <c r="A4006" s="22" t="s">
        <v>67</v>
      </c>
      <c r="B4006">
        <v>57</v>
      </c>
      <c r="C4006" t="s">
        <v>64</v>
      </c>
      <c r="D4006">
        <v>74</v>
      </c>
      <c r="E4006" s="8">
        <v>7.0199999999999999E-2</v>
      </c>
      <c r="F4006" s="8">
        <v>0.56140000000000001</v>
      </c>
      <c r="G4006" s="8">
        <v>0.1404</v>
      </c>
      <c r="H4006" s="8">
        <v>0.1053</v>
      </c>
      <c r="I4006" s="8">
        <v>0.12280000000000001</v>
      </c>
    </row>
    <row r="4007" spans="1:9" x14ac:dyDescent="0.3">
      <c r="A4007" s="22" t="s">
        <v>68</v>
      </c>
      <c r="B4007">
        <v>17</v>
      </c>
      <c r="C4007" t="s">
        <v>64</v>
      </c>
      <c r="D4007">
        <v>74</v>
      </c>
      <c r="E4007" s="8">
        <v>0.1176</v>
      </c>
      <c r="F4007" s="8">
        <v>0.52939999999999998</v>
      </c>
      <c r="G4007" s="8">
        <v>0.17649999999999999</v>
      </c>
      <c r="H4007" s="8">
        <v>0.1176</v>
      </c>
      <c r="I4007" s="8">
        <v>5.8799999999999998E-2</v>
      </c>
    </row>
    <row r="4009" spans="1:9" ht="57.6" x14ac:dyDescent="0.3">
      <c r="A4009" s="22" t="s">
        <v>941</v>
      </c>
    </row>
    <row r="4010" spans="1:9" x14ac:dyDescent="0.3">
      <c r="A4010" s="22" t="s">
        <v>66</v>
      </c>
      <c r="B4010" t="s">
        <v>62</v>
      </c>
      <c r="C4010" t="s">
        <v>57</v>
      </c>
      <c r="D4010" t="s">
        <v>63</v>
      </c>
      <c r="E4010" t="s">
        <v>832</v>
      </c>
      <c r="F4010" t="s">
        <v>815</v>
      </c>
      <c r="G4010" t="s">
        <v>816</v>
      </c>
      <c r="H4010" t="s">
        <v>817</v>
      </c>
      <c r="I4010" t="s">
        <v>833</v>
      </c>
    </row>
    <row r="4011" spans="1:9" x14ac:dyDescent="0.3">
      <c r="A4011" s="22" t="s">
        <v>67</v>
      </c>
      <c r="B4011">
        <v>66</v>
      </c>
      <c r="C4011" t="s">
        <v>64</v>
      </c>
      <c r="D4011">
        <v>74</v>
      </c>
      <c r="E4011" s="8">
        <v>7.5800000000000006E-2</v>
      </c>
      <c r="F4011" s="8">
        <v>0.53029999999999999</v>
      </c>
      <c r="G4011" s="8">
        <v>0.16669999999999999</v>
      </c>
      <c r="H4011" s="8">
        <v>0.1061</v>
      </c>
      <c r="I4011" s="8">
        <v>0.1212</v>
      </c>
    </row>
    <row r="4012" spans="1:9" x14ac:dyDescent="0.3">
      <c r="A4012" s="22" t="s">
        <v>68</v>
      </c>
      <c r="B4012">
        <v>8</v>
      </c>
      <c r="C4012" t="s">
        <v>64</v>
      </c>
      <c r="D4012">
        <v>74</v>
      </c>
      <c r="E4012" s="8">
        <v>0.125</v>
      </c>
      <c r="F4012" s="8">
        <v>0.75</v>
      </c>
      <c r="H4012" s="8">
        <v>0.125</v>
      </c>
    </row>
    <row r="4014" spans="1:9" ht="57.6" x14ac:dyDescent="0.3">
      <c r="A4014" s="22" t="s">
        <v>942</v>
      </c>
    </row>
    <row r="4015" spans="1:9" x14ac:dyDescent="0.3">
      <c r="A4015" s="22" t="s">
        <v>66</v>
      </c>
      <c r="B4015" t="s">
        <v>62</v>
      </c>
      <c r="C4015" t="s">
        <v>57</v>
      </c>
      <c r="D4015" t="s">
        <v>63</v>
      </c>
      <c r="E4015" t="s">
        <v>832</v>
      </c>
      <c r="F4015" t="s">
        <v>815</v>
      </c>
      <c r="G4015" t="s">
        <v>816</v>
      </c>
      <c r="H4015" t="s">
        <v>817</v>
      </c>
      <c r="I4015" t="s">
        <v>833</v>
      </c>
    </row>
    <row r="4016" spans="1:9" x14ac:dyDescent="0.3">
      <c r="A4016" s="22" t="s">
        <v>67</v>
      </c>
      <c r="B4016">
        <v>74</v>
      </c>
      <c r="C4016" t="s">
        <v>64</v>
      </c>
      <c r="D4016">
        <v>74</v>
      </c>
      <c r="E4016" s="8">
        <v>8.1100000000000005E-2</v>
      </c>
      <c r="F4016" s="8">
        <v>0.55410000000000004</v>
      </c>
      <c r="G4016" s="8">
        <v>0.14860000000000001</v>
      </c>
      <c r="H4016" s="8">
        <v>0.1081</v>
      </c>
      <c r="I4016" s="8">
        <v>0.1081</v>
      </c>
    </row>
    <row r="4018" spans="1:9" ht="43.2" x14ac:dyDescent="0.3">
      <c r="A4018" s="22" t="s">
        <v>943</v>
      </c>
    </row>
    <row r="4019" spans="1:9" x14ac:dyDescent="0.3">
      <c r="A4019" s="22" t="s">
        <v>66</v>
      </c>
      <c r="B4019" t="s">
        <v>62</v>
      </c>
      <c r="C4019" t="s">
        <v>57</v>
      </c>
      <c r="D4019" t="s">
        <v>63</v>
      </c>
      <c r="E4019" t="s">
        <v>832</v>
      </c>
      <c r="F4019" t="s">
        <v>815</v>
      </c>
      <c r="G4019" t="s">
        <v>816</v>
      </c>
      <c r="H4019" t="s">
        <v>817</v>
      </c>
      <c r="I4019" t="s">
        <v>833</v>
      </c>
    </row>
    <row r="4020" spans="1:9" x14ac:dyDescent="0.3">
      <c r="A4020" s="22" t="s">
        <v>67</v>
      </c>
      <c r="B4020">
        <v>43</v>
      </c>
      <c r="C4020" t="s">
        <v>64</v>
      </c>
      <c r="D4020">
        <v>74</v>
      </c>
      <c r="E4020" s="8">
        <v>9.2999999999999999E-2</v>
      </c>
      <c r="F4020" s="8">
        <v>0.53490000000000004</v>
      </c>
      <c r="G4020" s="8">
        <v>0.1628</v>
      </c>
      <c r="H4020" s="8">
        <v>9.2999999999999999E-2</v>
      </c>
      <c r="I4020" s="8">
        <v>0.1163</v>
      </c>
    </row>
    <row r="4021" spans="1:9" x14ac:dyDescent="0.3">
      <c r="A4021" s="22" t="s">
        <v>68</v>
      </c>
      <c r="B4021">
        <v>31</v>
      </c>
      <c r="C4021" t="s">
        <v>64</v>
      </c>
      <c r="D4021">
        <v>74</v>
      </c>
      <c r="E4021" s="8">
        <v>6.4500000000000002E-2</v>
      </c>
      <c r="F4021" s="8">
        <v>0.5806</v>
      </c>
      <c r="G4021" s="8">
        <v>0.129</v>
      </c>
      <c r="H4021" s="8">
        <v>0.129</v>
      </c>
      <c r="I4021" s="8">
        <v>9.6799999999999997E-2</v>
      </c>
    </row>
    <row r="4023" spans="1:9" ht="57.6" x14ac:dyDescent="0.3">
      <c r="A4023" s="22" t="s">
        <v>944</v>
      </c>
    </row>
    <row r="4024" spans="1:9" x14ac:dyDescent="0.3">
      <c r="A4024" s="22" t="s">
        <v>66</v>
      </c>
      <c r="B4024" t="s">
        <v>62</v>
      </c>
      <c r="C4024" t="s">
        <v>57</v>
      </c>
      <c r="D4024" t="s">
        <v>63</v>
      </c>
      <c r="E4024" t="s">
        <v>832</v>
      </c>
      <c r="F4024" t="s">
        <v>815</v>
      </c>
      <c r="G4024" t="s">
        <v>816</v>
      </c>
      <c r="H4024" t="s">
        <v>817</v>
      </c>
      <c r="I4024" t="s">
        <v>833</v>
      </c>
    </row>
    <row r="4025" spans="1:9" x14ac:dyDescent="0.3">
      <c r="A4025" s="22" t="s">
        <v>67</v>
      </c>
      <c r="B4025">
        <v>65</v>
      </c>
      <c r="C4025" t="s">
        <v>64</v>
      </c>
      <c r="D4025">
        <v>74</v>
      </c>
      <c r="E4025" s="8">
        <v>7.6899999999999996E-2</v>
      </c>
      <c r="F4025" s="8">
        <v>0.53849999999999998</v>
      </c>
      <c r="G4025" s="8">
        <v>0.13850000000000001</v>
      </c>
      <c r="H4025" s="8">
        <v>0.1231</v>
      </c>
      <c r="I4025" s="8">
        <v>0.1231</v>
      </c>
    </row>
    <row r="4026" spans="1:9" x14ac:dyDescent="0.3">
      <c r="A4026" s="22" t="s">
        <v>68</v>
      </c>
      <c r="B4026">
        <v>9</v>
      </c>
      <c r="C4026" t="s">
        <v>64</v>
      </c>
      <c r="D4026">
        <v>74</v>
      </c>
      <c r="E4026" s="8">
        <v>0.1111</v>
      </c>
      <c r="F4026" s="8">
        <v>0.66669999999999996</v>
      </c>
      <c r="G4026" s="8">
        <v>0.22220000000000001</v>
      </c>
    </row>
    <row r="4028" spans="1:9" ht="43.2" x14ac:dyDescent="0.3">
      <c r="A4028" s="27" t="s">
        <v>945</v>
      </c>
    </row>
    <row r="4029" spans="1:9" x14ac:dyDescent="0.3">
      <c r="A4029" s="22" t="s">
        <v>66</v>
      </c>
      <c r="B4029" t="s">
        <v>62</v>
      </c>
      <c r="C4029" t="s">
        <v>57</v>
      </c>
      <c r="D4029" t="s">
        <v>63</v>
      </c>
      <c r="E4029" t="s">
        <v>832</v>
      </c>
      <c r="F4029" t="s">
        <v>815</v>
      </c>
      <c r="G4029" t="s">
        <v>816</v>
      </c>
      <c r="H4029" t="s">
        <v>817</v>
      </c>
      <c r="I4029" t="s">
        <v>833</v>
      </c>
    </row>
    <row r="4030" spans="1:9" x14ac:dyDescent="0.3">
      <c r="A4030" s="22" t="s">
        <v>81</v>
      </c>
      <c r="B4030">
        <v>14</v>
      </c>
      <c r="C4030" t="s">
        <v>64</v>
      </c>
      <c r="D4030">
        <v>74</v>
      </c>
      <c r="E4030" s="8">
        <v>7.1400000000000005E-2</v>
      </c>
      <c r="F4030" s="8">
        <v>0.5</v>
      </c>
      <c r="G4030" s="8">
        <v>7.1400000000000005E-2</v>
      </c>
      <c r="H4030" s="8">
        <v>0.21429999999999999</v>
      </c>
      <c r="I4030" s="8">
        <v>0.1429</v>
      </c>
    </row>
    <row r="4031" spans="1:9" x14ac:dyDescent="0.3">
      <c r="A4031" s="22" t="s">
        <v>82</v>
      </c>
      <c r="B4031">
        <v>21</v>
      </c>
      <c r="C4031" t="s">
        <v>64</v>
      </c>
      <c r="D4031">
        <v>74</v>
      </c>
      <c r="E4031" s="8">
        <v>9.5200000000000007E-2</v>
      </c>
      <c r="F4031" s="8">
        <v>0.61899999999999999</v>
      </c>
      <c r="G4031" s="8">
        <v>0.1429</v>
      </c>
      <c r="H4031" s="8">
        <v>9.5200000000000007E-2</v>
      </c>
      <c r="I4031" s="8">
        <v>4.7600000000000003E-2</v>
      </c>
    </row>
    <row r="4032" spans="1:9" x14ac:dyDescent="0.3">
      <c r="A4032" s="22" t="s">
        <v>83</v>
      </c>
      <c r="B4032">
        <v>19</v>
      </c>
      <c r="C4032" t="s">
        <v>64</v>
      </c>
      <c r="D4032">
        <v>74</v>
      </c>
      <c r="E4032" s="8">
        <v>5.2600000000000001E-2</v>
      </c>
      <c r="F4032" s="8">
        <v>0.47370000000000001</v>
      </c>
      <c r="G4032" s="8">
        <v>0.21049999999999999</v>
      </c>
      <c r="H4032" s="8">
        <v>0.1053</v>
      </c>
      <c r="I4032" s="8">
        <v>0.15790000000000001</v>
      </c>
    </row>
    <row r="4033" spans="1:9" x14ac:dyDescent="0.3">
      <c r="A4033" s="22" t="s">
        <v>84</v>
      </c>
      <c r="B4033">
        <v>20</v>
      </c>
      <c r="C4033" t="s">
        <v>64</v>
      </c>
      <c r="D4033">
        <v>74</v>
      </c>
      <c r="E4033" s="8">
        <v>0.1</v>
      </c>
      <c r="F4033" s="8">
        <v>0.6</v>
      </c>
      <c r="G4033" s="8">
        <v>0.15</v>
      </c>
      <c r="H4033" s="8">
        <v>0.05</v>
      </c>
      <c r="I4033" s="8">
        <v>0.1</v>
      </c>
    </row>
    <row r="4035" spans="1:9" ht="43.2" x14ac:dyDescent="0.3">
      <c r="A4035" s="27" t="s">
        <v>946</v>
      </c>
      <c r="C4035" s="31"/>
    </row>
    <row r="4036" spans="1:9" x14ac:dyDescent="0.3">
      <c r="A4036" s="22" t="s">
        <v>62</v>
      </c>
      <c r="B4036" t="s">
        <v>57</v>
      </c>
      <c r="C4036" t="s">
        <v>63</v>
      </c>
      <c r="D4036" t="s">
        <v>815</v>
      </c>
      <c r="E4036" t="s">
        <v>947</v>
      </c>
      <c r="F4036" t="s">
        <v>817</v>
      </c>
    </row>
    <row r="4037" spans="1:9" x14ac:dyDescent="0.3">
      <c r="A4037" s="22">
        <v>6</v>
      </c>
      <c r="B4037" t="s">
        <v>64</v>
      </c>
      <c r="C4037">
        <v>6</v>
      </c>
      <c r="D4037" s="8">
        <v>0.66669999999999996</v>
      </c>
      <c r="E4037" s="8">
        <v>0.16669999999999999</v>
      </c>
      <c r="F4037" s="8">
        <v>0.16669999999999999</v>
      </c>
    </row>
    <row r="4039" spans="1:9" ht="57.6" x14ac:dyDescent="0.3">
      <c r="A4039" s="22" t="s">
        <v>948</v>
      </c>
    </row>
    <row r="4040" spans="1:9" x14ac:dyDescent="0.3">
      <c r="A4040" s="22" t="s">
        <v>66</v>
      </c>
      <c r="B4040" t="s">
        <v>62</v>
      </c>
      <c r="C4040" t="s">
        <v>57</v>
      </c>
      <c r="D4040" t="s">
        <v>63</v>
      </c>
      <c r="E4040" t="s">
        <v>815</v>
      </c>
      <c r="F4040" t="s">
        <v>848</v>
      </c>
      <c r="G4040" t="s">
        <v>817</v>
      </c>
    </row>
    <row r="4041" spans="1:9" x14ac:dyDescent="0.3">
      <c r="A4041" s="22" t="s">
        <v>67</v>
      </c>
      <c r="B4041">
        <v>6</v>
      </c>
      <c r="C4041" t="s">
        <v>64</v>
      </c>
      <c r="D4041">
        <v>6</v>
      </c>
      <c r="E4041" s="8">
        <v>0.66669999999999996</v>
      </c>
      <c r="F4041" s="8">
        <v>0.16669999999999999</v>
      </c>
      <c r="G4041" s="8">
        <v>0.16669999999999999</v>
      </c>
    </row>
    <row r="4043" spans="1:9" x14ac:dyDescent="0.3">
      <c r="A4043"/>
    </row>
    <row r="4044" spans="1:9" x14ac:dyDescent="0.3">
      <c r="A4044"/>
    </row>
    <row r="4045" spans="1:9" x14ac:dyDescent="0.3">
      <c r="A4045"/>
    </row>
    <row r="4047" spans="1:9" ht="57.6" x14ac:dyDescent="0.3">
      <c r="A4047" s="22" t="s">
        <v>949</v>
      </c>
    </row>
    <row r="4048" spans="1:9" x14ac:dyDescent="0.3">
      <c r="A4048" s="22" t="s">
        <v>66</v>
      </c>
      <c r="B4048" t="s">
        <v>62</v>
      </c>
      <c r="C4048" t="s">
        <v>57</v>
      </c>
      <c r="D4048" t="s">
        <v>63</v>
      </c>
      <c r="E4048" t="s">
        <v>815</v>
      </c>
      <c r="F4048" t="s">
        <v>848</v>
      </c>
      <c r="G4048" t="s">
        <v>817</v>
      </c>
    </row>
    <row r="4049" spans="1:7" x14ac:dyDescent="0.3">
      <c r="A4049" s="22" t="s">
        <v>67</v>
      </c>
      <c r="B4049">
        <v>6</v>
      </c>
      <c r="C4049" t="s">
        <v>64</v>
      </c>
      <c r="D4049">
        <v>6</v>
      </c>
      <c r="E4049" s="8">
        <v>0.66669999999999996</v>
      </c>
      <c r="F4049" s="8">
        <v>0.16669999999999999</v>
      </c>
      <c r="G4049" s="8">
        <v>0.16669999999999999</v>
      </c>
    </row>
    <row r="4051" spans="1:7" ht="57.6" x14ac:dyDescent="0.3">
      <c r="A4051" s="22" t="s">
        <v>950</v>
      </c>
    </row>
    <row r="4052" spans="1:7" x14ac:dyDescent="0.3">
      <c r="A4052" s="22" t="s">
        <v>66</v>
      </c>
      <c r="B4052" t="s">
        <v>62</v>
      </c>
      <c r="C4052" t="s">
        <v>57</v>
      </c>
      <c r="D4052" t="s">
        <v>63</v>
      </c>
      <c r="E4052" t="s">
        <v>815</v>
      </c>
      <c r="F4052" t="s">
        <v>848</v>
      </c>
      <c r="G4052" t="s">
        <v>817</v>
      </c>
    </row>
    <row r="4053" spans="1:7" x14ac:dyDescent="0.3">
      <c r="A4053" s="22" t="s">
        <v>67</v>
      </c>
      <c r="B4053">
        <v>6</v>
      </c>
      <c r="C4053" t="s">
        <v>64</v>
      </c>
      <c r="D4053">
        <v>6</v>
      </c>
      <c r="E4053" s="8">
        <v>0.66669999999999996</v>
      </c>
      <c r="F4053" s="8">
        <v>0.16669999999999999</v>
      </c>
      <c r="G4053" s="8">
        <v>0.16669999999999999</v>
      </c>
    </row>
    <row r="4055" spans="1:7" ht="57.6" x14ac:dyDescent="0.3">
      <c r="A4055" s="22" t="s">
        <v>951</v>
      </c>
    </row>
    <row r="4056" spans="1:7" x14ac:dyDescent="0.3">
      <c r="A4056" s="22" t="s">
        <v>66</v>
      </c>
      <c r="B4056" t="s">
        <v>62</v>
      </c>
      <c r="C4056" t="s">
        <v>57</v>
      </c>
      <c r="D4056" t="s">
        <v>63</v>
      </c>
      <c r="E4056" t="s">
        <v>815</v>
      </c>
      <c r="F4056" t="s">
        <v>848</v>
      </c>
      <c r="G4056" t="s">
        <v>817</v>
      </c>
    </row>
    <row r="4057" spans="1:7" x14ac:dyDescent="0.3">
      <c r="A4057" s="22" t="s">
        <v>67</v>
      </c>
      <c r="B4057">
        <v>6</v>
      </c>
      <c r="C4057" t="s">
        <v>64</v>
      </c>
      <c r="D4057">
        <v>6</v>
      </c>
      <c r="E4057" s="8">
        <v>0.66669999999999996</v>
      </c>
      <c r="F4057" s="8">
        <v>0.16669999999999999</v>
      </c>
      <c r="G4057" s="8">
        <v>0.16669999999999999</v>
      </c>
    </row>
    <row r="4059" spans="1:7" ht="57.6" x14ac:dyDescent="0.3">
      <c r="A4059" s="22" t="s">
        <v>952</v>
      </c>
    </row>
    <row r="4060" spans="1:7" x14ac:dyDescent="0.3">
      <c r="A4060" s="22" t="s">
        <v>66</v>
      </c>
      <c r="B4060" t="s">
        <v>62</v>
      </c>
      <c r="C4060" t="s">
        <v>57</v>
      </c>
      <c r="D4060" t="s">
        <v>63</v>
      </c>
      <c r="E4060" t="s">
        <v>815</v>
      </c>
      <c r="F4060" t="s">
        <v>848</v>
      </c>
      <c r="G4060" t="s">
        <v>817</v>
      </c>
    </row>
    <row r="4061" spans="1:7" x14ac:dyDescent="0.3">
      <c r="A4061" s="22" t="s">
        <v>68</v>
      </c>
      <c r="B4061">
        <v>6</v>
      </c>
      <c r="C4061" t="s">
        <v>64</v>
      </c>
      <c r="D4061">
        <v>6</v>
      </c>
      <c r="E4061" s="8">
        <v>0.66669999999999996</v>
      </c>
      <c r="F4061" s="8">
        <v>0.16669999999999999</v>
      </c>
      <c r="G4061" s="8">
        <v>0.16669999999999999</v>
      </c>
    </row>
    <row r="4063" spans="1:7" ht="57.6" x14ac:dyDescent="0.3">
      <c r="A4063" s="22" t="s">
        <v>953</v>
      </c>
    </row>
    <row r="4064" spans="1:7" x14ac:dyDescent="0.3">
      <c r="A4064" s="22" t="s">
        <v>66</v>
      </c>
      <c r="B4064" t="s">
        <v>62</v>
      </c>
      <c r="C4064" t="s">
        <v>57</v>
      </c>
      <c r="D4064" t="s">
        <v>63</v>
      </c>
      <c r="E4064" t="s">
        <v>815</v>
      </c>
      <c r="F4064" t="s">
        <v>848</v>
      </c>
      <c r="G4064" t="s">
        <v>817</v>
      </c>
    </row>
    <row r="4065" spans="1:7" x14ac:dyDescent="0.3">
      <c r="A4065" s="22" t="s">
        <v>67</v>
      </c>
      <c r="B4065">
        <v>5</v>
      </c>
      <c r="C4065" t="s">
        <v>64</v>
      </c>
      <c r="D4065">
        <v>6</v>
      </c>
      <c r="E4065" s="8">
        <v>0.8</v>
      </c>
      <c r="F4065" s="8">
        <v>0.2</v>
      </c>
    </row>
    <row r="4066" spans="1:7" x14ac:dyDescent="0.3">
      <c r="A4066" s="22" t="s">
        <v>68</v>
      </c>
      <c r="B4066">
        <v>1</v>
      </c>
      <c r="C4066" t="s">
        <v>64</v>
      </c>
      <c r="D4066">
        <v>6</v>
      </c>
      <c r="G4066" s="8">
        <v>1</v>
      </c>
    </row>
    <row r="4068" spans="1:7" ht="57.6" x14ac:dyDescent="0.3">
      <c r="A4068" s="22" t="s">
        <v>954</v>
      </c>
    </row>
    <row r="4069" spans="1:7" x14ac:dyDescent="0.3">
      <c r="A4069" s="22" t="s">
        <v>66</v>
      </c>
      <c r="B4069" t="s">
        <v>62</v>
      </c>
      <c r="C4069" t="s">
        <v>57</v>
      </c>
      <c r="D4069" t="s">
        <v>63</v>
      </c>
      <c r="E4069" t="s">
        <v>815</v>
      </c>
      <c r="F4069" t="s">
        <v>848</v>
      </c>
      <c r="G4069" t="s">
        <v>817</v>
      </c>
    </row>
    <row r="4070" spans="1:7" x14ac:dyDescent="0.3">
      <c r="A4070" s="22" t="s">
        <v>67</v>
      </c>
      <c r="B4070">
        <v>5</v>
      </c>
      <c r="C4070" t="s">
        <v>64</v>
      </c>
      <c r="D4070">
        <v>6</v>
      </c>
      <c r="E4070" s="8">
        <v>0.8</v>
      </c>
      <c r="F4070" s="8">
        <v>0.2</v>
      </c>
    </row>
    <row r="4071" spans="1:7" x14ac:dyDescent="0.3">
      <c r="A4071" s="22" t="s">
        <v>68</v>
      </c>
      <c r="B4071">
        <v>1</v>
      </c>
      <c r="C4071" t="s">
        <v>64</v>
      </c>
      <c r="D4071">
        <v>6</v>
      </c>
      <c r="G4071" s="8">
        <v>1</v>
      </c>
    </row>
    <row r="4073" spans="1:7" ht="57.6" x14ac:dyDescent="0.3">
      <c r="A4073" s="22" t="s">
        <v>955</v>
      </c>
    </row>
    <row r="4074" spans="1:7" x14ac:dyDescent="0.3">
      <c r="A4074" s="22" t="s">
        <v>66</v>
      </c>
      <c r="B4074" t="s">
        <v>62</v>
      </c>
      <c r="C4074" t="s">
        <v>57</v>
      </c>
      <c r="D4074" t="s">
        <v>63</v>
      </c>
      <c r="E4074" t="s">
        <v>815</v>
      </c>
      <c r="F4074" t="s">
        <v>848</v>
      </c>
      <c r="G4074" t="s">
        <v>817</v>
      </c>
    </row>
    <row r="4075" spans="1:7" x14ac:dyDescent="0.3">
      <c r="A4075" s="22" t="s">
        <v>67</v>
      </c>
      <c r="B4075">
        <v>4</v>
      </c>
      <c r="C4075" t="s">
        <v>64</v>
      </c>
      <c r="D4075">
        <v>6</v>
      </c>
      <c r="E4075" s="8">
        <v>0.5</v>
      </c>
      <c r="F4075" s="8">
        <v>0.25</v>
      </c>
      <c r="G4075" s="8">
        <v>0.25</v>
      </c>
    </row>
    <row r="4076" spans="1:7" x14ac:dyDescent="0.3">
      <c r="A4076" s="22" t="s">
        <v>68</v>
      </c>
      <c r="B4076">
        <v>2</v>
      </c>
      <c r="C4076" t="s">
        <v>64</v>
      </c>
      <c r="D4076">
        <v>6</v>
      </c>
      <c r="E4076" s="8">
        <v>1</v>
      </c>
    </row>
    <row r="4078" spans="1:7" ht="72" x14ac:dyDescent="0.3">
      <c r="A4078" s="22" t="s">
        <v>956</v>
      </c>
    </row>
    <row r="4079" spans="1:7" x14ac:dyDescent="0.3">
      <c r="A4079" s="22" t="s">
        <v>66</v>
      </c>
      <c r="B4079" t="s">
        <v>62</v>
      </c>
      <c r="C4079" t="s">
        <v>57</v>
      </c>
      <c r="D4079" t="s">
        <v>63</v>
      </c>
      <c r="E4079" t="s">
        <v>815</v>
      </c>
      <c r="F4079" t="s">
        <v>848</v>
      </c>
      <c r="G4079" t="s">
        <v>817</v>
      </c>
    </row>
    <row r="4080" spans="1:7" x14ac:dyDescent="0.3">
      <c r="A4080" s="22" t="s">
        <v>67</v>
      </c>
      <c r="B4080">
        <v>4</v>
      </c>
      <c r="C4080" t="s">
        <v>64</v>
      </c>
      <c r="D4080">
        <v>6</v>
      </c>
      <c r="E4080" s="8">
        <v>0.5</v>
      </c>
      <c r="F4080" s="8">
        <v>0.25</v>
      </c>
      <c r="G4080" s="8">
        <v>0.25</v>
      </c>
    </row>
    <row r="4081" spans="1:7" x14ac:dyDescent="0.3">
      <c r="A4081" s="22" t="s">
        <v>68</v>
      </c>
      <c r="B4081">
        <v>2</v>
      </c>
      <c r="C4081" t="s">
        <v>64</v>
      </c>
      <c r="D4081">
        <v>6</v>
      </c>
      <c r="E4081" s="8">
        <v>1</v>
      </c>
    </row>
    <row r="4083" spans="1:7" ht="72" x14ac:dyDescent="0.3">
      <c r="A4083" s="22" t="s">
        <v>957</v>
      </c>
    </row>
    <row r="4084" spans="1:7" x14ac:dyDescent="0.3">
      <c r="A4084" s="22" t="s">
        <v>66</v>
      </c>
      <c r="B4084" t="s">
        <v>62</v>
      </c>
      <c r="C4084" t="s">
        <v>57</v>
      </c>
      <c r="D4084" t="s">
        <v>63</v>
      </c>
      <c r="E4084" t="s">
        <v>815</v>
      </c>
      <c r="F4084" t="s">
        <v>848</v>
      </c>
      <c r="G4084" t="s">
        <v>817</v>
      </c>
    </row>
    <row r="4085" spans="1:7" x14ac:dyDescent="0.3">
      <c r="A4085" s="22" t="s">
        <v>67</v>
      </c>
      <c r="B4085">
        <v>6</v>
      </c>
      <c r="C4085" t="s">
        <v>64</v>
      </c>
      <c r="D4085">
        <v>6</v>
      </c>
      <c r="E4085" s="8">
        <v>0.66669999999999996</v>
      </c>
      <c r="F4085" s="8">
        <v>0.16669999999999999</v>
      </c>
      <c r="G4085" s="8">
        <v>0.16669999999999999</v>
      </c>
    </row>
    <row r="4087" spans="1:7" ht="57.6" x14ac:dyDescent="0.3">
      <c r="A4087" s="22" t="s">
        <v>958</v>
      </c>
    </row>
    <row r="4088" spans="1:7" x14ac:dyDescent="0.3">
      <c r="A4088" s="22" t="s">
        <v>66</v>
      </c>
      <c r="B4088" t="s">
        <v>62</v>
      </c>
      <c r="C4088" t="s">
        <v>57</v>
      </c>
      <c r="D4088" t="s">
        <v>63</v>
      </c>
      <c r="E4088" t="s">
        <v>815</v>
      </c>
      <c r="F4088" t="s">
        <v>848</v>
      </c>
      <c r="G4088" t="s">
        <v>817</v>
      </c>
    </row>
    <row r="4089" spans="1:7" x14ac:dyDescent="0.3">
      <c r="A4089" s="22" t="s">
        <v>67</v>
      </c>
      <c r="B4089">
        <v>2</v>
      </c>
      <c r="C4089" t="s">
        <v>64</v>
      </c>
      <c r="D4089">
        <v>6</v>
      </c>
      <c r="E4089" s="8">
        <v>0.5</v>
      </c>
      <c r="G4089" s="8">
        <v>0.5</v>
      </c>
    </row>
    <row r="4090" spans="1:7" x14ac:dyDescent="0.3">
      <c r="A4090" s="22" t="s">
        <v>68</v>
      </c>
      <c r="B4090">
        <v>4</v>
      </c>
      <c r="C4090" t="s">
        <v>64</v>
      </c>
      <c r="D4090">
        <v>6</v>
      </c>
      <c r="E4090" s="8">
        <v>0.75</v>
      </c>
      <c r="F4090" s="8">
        <v>0.25</v>
      </c>
    </row>
    <row r="4092" spans="1:7" ht="57.6" x14ac:dyDescent="0.3">
      <c r="A4092" s="22" t="s">
        <v>959</v>
      </c>
    </row>
    <row r="4093" spans="1:7" x14ac:dyDescent="0.3">
      <c r="A4093" s="22" t="s">
        <v>66</v>
      </c>
      <c r="B4093" t="s">
        <v>62</v>
      </c>
      <c r="C4093" t="s">
        <v>57</v>
      </c>
      <c r="D4093" t="s">
        <v>63</v>
      </c>
      <c r="E4093" t="s">
        <v>815</v>
      </c>
      <c r="F4093" t="s">
        <v>848</v>
      </c>
      <c r="G4093" t="s">
        <v>817</v>
      </c>
    </row>
    <row r="4094" spans="1:7" x14ac:dyDescent="0.3">
      <c r="A4094" s="22" t="s">
        <v>67</v>
      </c>
      <c r="B4094">
        <v>5</v>
      </c>
      <c r="C4094" t="s">
        <v>64</v>
      </c>
      <c r="D4094">
        <v>6</v>
      </c>
      <c r="E4094" s="8">
        <v>0.6</v>
      </c>
      <c r="F4094" s="8">
        <v>0.2</v>
      </c>
      <c r="G4094" s="8">
        <v>0.2</v>
      </c>
    </row>
    <row r="4095" spans="1:7" x14ac:dyDescent="0.3">
      <c r="A4095" s="22" t="s">
        <v>68</v>
      </c>
      <c r="B4095">
        <v>1</v>
      </c>
      <c r="C4095" t="s">
        <v>64</v>
      </c>
      <c r="D4095">
        <v>6</v>
      </c>
      <c r="E4095" s="8">
        <v>1</v>
      </c>
    </row>
    <row r="4097" spans="1:7" ht="43.2" x14ac:dyDescent="0.3">
      <c r="A4097" s="27" t="s">
        <v>960</v>
      </c>
    </row>
    <row r="4098" spans="1:7" x14ac:dyDescent="0.3">
      <c r="A4098" s="22" t="s">
        <v>66</v>
      </c>
      <c r="B4098" t="s">
        <v>62</v>
      </c>
      <c r="C4098" t="s">
        <v>57</v>
      </c>
      <c r="D4098" t="s">
        <v>63</v>
      </c>
      <c r="E4098" t="s">
        <v>815</v>
      </c>
      <c r="F4098" t="s">
        <v>848</v>
      </c>
      <c r="G4098" t="s">
        <v>817</v>
      </c>
    </row>
    <row r="4099" spans="1:7" x14ac:dyDescent="0.3">
      <c r="A4099" s="22" t="s">
        <v>81</v>
      </c>
      <c r="B4099">
        <v>3</v>
      </c>
      <c r="C4099" t="s">
        <v>64</v>
      </c>
      <c r="D4099">
        <v>6</v>
      </c>
      <c r="E4099" s="8">
        <v>0.66669999999999996</v>
      </c>
      <c r="G4099" s="8">
        <v>0.33329999999999999</v>
      </c>
    </row>
    <row r="4100" spans="1:7" x14ac:dyDescent="0.3">
      <c r="A4100" s="22" t="s">
        <v>84</v>
      </c>
      <c r="B4100">
        <v>3</v>
      </c>
      <c r="C4100" t="s">
        <v>64</v>
      </c>
      <c r="D4100">
        <v>6</v>
      </c>
      <c r="E4100" s="8">
        <v>0.66669999999999996</v>
      </c>
      <c r="F4100" s="8">
        <v>0.33329999999999999</v>
      </c>
    </row>
    <row r="4102" spans="1:7" ht="28.8" x14ac:dyDescent="0.3">
      <c r="A4102" s="27" t="s">
        <v>961</v>
      </c>
    </row>
    <row r="4103" spans="1:7" x14ac:dyDescent="0.3">
      <c r="A4103" s="22" t="s">
        <v>62</v>
      </c>
      <c r="B4103" t="s">
        <v>57</v>
      </c>
      <c r="C4103" t="s">
        <v>63</v>
      </c>
      <c r="D4103" t="s">
        <v>815</v>
      </c>
      <c r="E4103" t="s">
        <v>816</v>
      </c>
      <c r="F4103" t="s">
        <v>817</v>
      </c>
    </row>
    <row r="4104" spans="1:7" x14ac:dyDescent="0.3">
      <c r="A4104" s="22">
        <v>7</v>
      </c>
      <c r="B4104" t="s">
        <v>64</v>
      </c>
      <c r="C4104">
        <v>7</v>
      </c>
      <c r="D4104" s="8">
        <v>0.28570000000000001</v>
      </c>
      <c r="E4104" s="8">
        <v>0.28570000000000001</v>
      </c>
      <c r="F4104" s="8">
        <v>0.42859999999999998</v>
      </c>
    </row>
    <row r="4106" spans="1:7" ht="57.6" x14ac:dyDescent="0.3">
      <c r="A4106" s="22" t="s">
        <v>962</v>
      </c>
    </row>
    <row r="4107" spans="1:7" x14ac:dyDescent="0.3">
      <c r="A4107" s="22" t="s">
        <v>66</v>
      </c>
      <c r="B4107" t="s">
        <v>62</v>
      </c>
      <c r="C4107" t="s">
        <v>57</v>
      </c>
      <c r="D4107" t="s">
        <v>63</v>
      </c>
      <c r="E4107" t="s">
        <v>815</v>
      </c>
      <c r="F4107" t="s">
        <v>816</v>
      </c>
      <c r="G4107" t="s">
        <v>817</v>
      </c>
    </row>
    <row r="4108" spans="1:7" x14ac:dyDescent="0.3">
      <c r="A4108" s="22" t="s">
        <v>67</v>
      </c>
      <c r="B4108">
        <v>6</v>
      </c>
      <c r="C4108" t="s">
        <v>64</v>
      </c>
      <c r="D4108">
        <v>7</v>
      </c>
      <c r="E4108" s="8">
        <v>0.33329999999999999</v>
      </c>
      <c r="F4108" s="8">
        <v>0.33329999999999999</v>
      </c>
      <c r="G4108" s="8">
        <v>0.33329999999999999</v>
      </c>
    </row>
    <row r="4109" spans="1:7" x14ac:dyDescent="0.3">
      <c r="A4109" s="22" t="s">
        <v>68</v>
      </c>
      <c r="B4109">
        <v>1</v>
      </c>
      <c r="C4109" t="s">
        <v>64</v>
      </c>
      <c r="D4109">
        <v>7</v>
      </c>
      <c r="G4109" s="8">
        <v>1</v>
      </c>
    </row>
    <row r="4111" spans="1:7" x14ac:dyDescent="0.3">
      <c r="A4111"/>
    </row>
    <row r="4112" spans="1:7" x14ac:dyDescent="0.3">
      <c r="A4112"/>
    </row>
    <row r="4113" spans="1:7" x14ac:dyDescent="0.3">
      <c r="A4113"/>
    </row>
    <row r="4115" spans="1:7" ht="57.6" x14ac:dyDescent="0.3">
      <c r="A4115" s="22" t="s">
        <v>963</v>
      </c>
    </row>
    <row r="4116" spans="1:7" x14ac:dyDescent="0.3">
      <c r="A4116" s="22" t="s">
        <v>66</v>
      </c>
      <c r="B4116" t="s">
        <v>62</v>
      </c>
      <c r="C4116" t="s">
        <v>57</v>
      </c>
      <c r="D4116" t="s">
        <v>63</v>
      </c>
      <c r="E4116" t="s">
        <v>815</v>
      </c>
      <c r="F4116" t="s">
        <v>816</v>
      </c>
      <c r="G4116" t="s">
        <v>817</v>
      </c>
    </row>
    <row r="4117" spans="1:7" x14ac:dyDescent="0.3">
      <c r="A4117" s="22" t="s">
        <v>67</v>
      </c>
      <c r="B4117">
        <v>6</v>
      </c>
      <c r="C4117" t="s">
        <v>64</v>
      </c>
      <c r="D4117">
        <v>7</v>
      </c>
      <c r="E4117" s="8">
        <v>0.33329999999999999</v>
      </c>
      <c r="F4117" s="8">
        <v>0.16669999999999999</v>
      </c>
      <c r="G4117" s="8">
        <v>0.5</v>
      </c>
    </row>
    <row r="4118" spans="1:7" x14ac:dyDescent="0.3">
      <c r="A4118" s="22" t="s">
        <v>68</v>
      </c>
      <c r="B4118">
        <v>1</v>
      </c>
      <c r="C4118" t="s">
        <v>64</v>
      </c>
      <c r="D4118">
        <v>7</v>
      </c>
      <c r="F4118" s="8">
        <v>1</v>
      </c>
    </row>
    <row r="4120" spans="1:7" ht="43.2" x14ac:dyDescent="0.3">
      <c r="A4120" s="22" t="s">
        <v>964</v>
      </c>
    </row>
    <row r="4121" spans="1:7" x14ac:dyDescent="0.3">
      <c r="A4121" s="22" t="s">
        <v>66</v>
      </c>
      <c r="B4121" t="s">
        <v>62</v>
      </c>
      <c r="C4121" t="s">
        <v>57</v>
      </c>
      <c r="D4121" t="s">
        <v>63</v>
      </c>
      <c r="E4121" t="s">
        <v>815</v>
      </c>
      <c r="F4121" t="s">
        <v>816</v>
      </c>
      <c r="G4121" t="s">
        <v>817</v>
      </c>
    </row>
    <row r="4122" spans="1:7" x14ac:dyDescent="0.3">
      <c r="A4122" s="22" t="s">
        <v>67</v>
      </c>
      <c r="B4122">
        <v>7</v>
      </c>
      <c r="C4122" t="s">
        <v>64</v>
      </c>
      <c r="D4122">
        <v>7</v>
      </c>
      <c r="E4122" s="8">
        <v>0.28570000000000001</v>
      </c>
      <c r="F4122" s="8">
        <v>0.28570000000000001</v>
      </c>
      <c r="G4122" s="8">
        <v>0.42859999999999998</v>
      </c>
    </row>
    <row r="4124" spans="1:7" ht="57.6" x14ac:dyDescent="0.3">
      <c r="A4124" s="22" t="s">
        <v>965</v>
      </c>
    </row>
    <row r="4125" spans="1:7" x14ac:dyDescent="0.3">
      <c r="A4125" s="22" t="s">
        <v>66</v>
      </c>
      <c r="B4125" t="s">
        <v>62</v>
      </c>
      <c r="C4125" t="s">
        <v>57</v>
      </c>
      <c r="D4125" t="s">
        <v>63</v>
      </c>
      <c r="E4125" t="s">
        <v>815</v>
      </c>
      <c r="F4125" t="s">
        <v>816</v>
      </c>
      <c r="G4125" t="s">
        <v>817</v>
      </c>
    </row>
    <row r="4126" spans="1:7" x14ac:dyDescent="0.3">
      <c r="A4126" s="22" t="s">
        <v>67</v>
      </c>
      <c r="B4126">
        <v>6</v>
      </c>
      <c r="C4126" t="s">
        <v>64</v>
      </c>
      <c r="D4126">
        <v>7</v>
      </c>
      <c r="E4126" s="8">
        <v>0.16669999999999999</v>
      </c>
      <c r="F4126" s="8">
        <v>0.33329999999999999</v>
      </c>
      <c r="G4126" s="8">
        <v>0.5</v>
      </c>
    </row>
    <row r="4127" spans="1:7" x14ac:dyDescent="0.3">
      <c r="A4127" s="22" t="s">
        <v>68</v>
      </c>
      <c r="B4127">
        <v>1</v>
      </c>
      <c r="C4127" t="s">
        <v>64</v>
      </c>
      <c r="D4127">
        <v>7</v>
      </c>
      <c r="E4127" s="8">
        <v>1</v>
      </c>
    </row>
    <row r="4129" spans="1:7" ht="57.6" x14ac:dyDescent="0.3">
      <c r="A4129" s="22" t="s">
        <v>966</v>
      </c>
    </row>
    <row r="4130" spans="1:7" x14ac:dyDescent="0.3">
      <c r="A4130" s="22" t="s">
        <v>66</v>
      </c>
      <c r="B4130" t="s">
        <v>62</v>
      </c>
      <c r="C4130" t="s">
        <v>57</v>
      </c>
      <c r="D4130" t="s">
        <v>63</v>
      </c>
      <c r="E4130" t="s">
        <v>815</v>
      </c>
      <c r="F4130" t="s">
        <v>816</v>
      </c>
      <c r="G4130" t="s">
        <v>817</v>
      </c>
    </row>
    <row r="4131" spans="1:7" x14ac:dyDescent="0.3">
      <c r="A4131" s="22" t="s">
        <v>67</v>
      </c>
      <c r="B4131">
        <v>1</v>
      </c>
      <c r="C4131" t="s">
        <v>64</v>
      </c>
      <c r="D4131">
        <v>7</v>
      </c>
      <c r="F4131" s="8">
        <v>1</v>
      </c>
    </row>
    <row r="4132" spans="1:7" x14ac:dyDescent="0.3">
      <c r="A4132" s="22" t="s">
        <v>68</v>
      </c>
      <c r="B4132">
        <v>6</v>
      </c>
      <c r="C4132" t="s">
        <v>64</v>
      </c>
      <c r="D4132">
        <v>7</v>
      </c>
      <c r="E4132" s="8">
        <v>0.33329999999999999</v>
      </c>
      <c r="F4132" s="8">
        <v>0.16669999999999999</v>
      </c>
      <c r="G4132" s="8">
        <v>0.5</v>
      </c>
    </row>
    <row r="4134" spans="1:7" ht="57.6" x14ac:dyDescent="0.3">
      <c r="A4134" s="22" t="s">
        <v>967</v>
      </c>
    </row>
    <row r="4135" spans="1:7" x14ac:dyDescent="0.3">
      <c r="A4135" s="22" t="s">
        <v>66</v>
      </c>
      <c r="B4135" t="s">
        <v>62</v>
      </c>
      <c r="C4135" t="s">
        <v>57</v>
      </c>
      <c r="D4135" t="s">
        <v>63</v>
      </c>
      <c r="E4135" t="s">
        <v>815</v>
      </c>
      <c r="F4135" t="s">
        <v>816</v>
      </c>
      <c r="G4135" t="s">
        <v>817</v>
      </c>
    </row>
    <row r="4136" spans="1:7" x14ac:dyDescent="0.3">
      <c r="A4136" s="22" t="s">
        <v>67</v>
      </c>
      <c r="B4136">
        <v>6</v>
      </c>
      <c r="C4136" t="s">
        <v>64</v>
      </c>
      <c r="D4136">
        <v>7</v>
      </c>
      <c r="E4136" s="8">
        <v>0.33329999999999999</v>
      </c>
      <c r="F4136" s="8">
        <v>0.33329999999999999</v>
      </c>
      <c r="G4136" s="8">
        <v>0.33329999999999999</v>
      </c>
    </row>
    <row r="4137" spans="1:7" x14ac:dyDescent="0.3">
      <c r="A4137" s="22" t="s">
        <v>68</v>
      </c>
      <c r="B4137">
        <v>1</v>
      </c>
      <c r="C4137" t="s">
        <v>64</v>
      </c>
      <c r="D4137">
        <v>7</v>
      </c>
      <c r="G4137" s="8">
        <v>1</v>
      </c>
    </row>
    <row r="4139" spans="1:7" ht="43.2" x14ac:dyDescent="0.3">
      <c r="A4139" s="22" t="s">
        <v>968</v>
      </c>
    </row>
    <row r="4140" spans="1:7" x14ac:dyDescent="0.3">
      <c r="A4140" s="22" t="s">
        <v>66</v>
      </c>
      <c r="B4140" t="s">
        <v>62</v>
      </c>
      <c r="C4140" t="s">
        <v>57</v>
      </c>
      <c r="D4140" t="s">
        <v>63</v>
      </c>
      <c r="E4140" t="s">
        <v>815</v>
      </c>
      <c r="F4140" t="s">
        <v>816</v>
      </c>
      <c r="G4140" t="s">
        <v>817</v>
      </c>
    </row>
    <row r="4141" spans="1:7" x14ac:dyDescent="0.3">
      <c r="A4141" s="22" t="s">
        <v>67</v>
      </c>
      <c r="B4141">
        <v>5</v>
      </c>
      <c r="C4141" t="s">
        <v>64</v>
      </c>
      <c r="D4141">
        <v>7</v>
      </c>
      <c r="E4141" s="8">
        <v>0.4</v>
      </c>
      <c r="F4141" s="8">
        <v>0.4</v>
      </c>
      <c r="G4141" s="8">
        <v>0.2</v>
      </c>
    </row>
    <row r="4142" spans="1:7" x14ac:dyDescent="0.3">
      <c r="A4142" s="22" t="s">
        <v>68</v>
      </c>
      <c r="B4142">
        <v>2</v>
      </c>
      <c r="C4142" t="s">
        <v>64</v>
      </c>
      <c r="D4142">
        <v>7</v>
      </c>
      <c r="G4142" s="8">
        <v>1</v>
      </c>
    </row>
    <row r="4144" spans="1:7" ht="57.6" x14ac:dyDescent="0.3">
      <c r="A4144" s="22" t="s">
        <v>969</v>
      </c>
    </row>
    <row r="4145" spans="1:7" x14ac:dyDescent="0.3">
      <c r="A4145" s="22" t="s">
        <v>66</v>
      </c>
      <c r="B4145" t="s">
        <v>62</v>
      </c>
      <c r="C4145" t="s">
        <v>57</v>
      </c>
      <c r="D4145" t="s">
        <v>63</v>
      </c>
      <c r="E4145" t="s">
        <v>815</v>
      </c>
      <c r="F4145" t="s">
        <v>816</v>
      </c>
      <c r="G4145" t="s">
        <v>817</v>
      </c>
    </row>
    <row r="4146" spans="1:7" x14ac:dyDescent="0.3">
      <c r="A4146" s="22" t="s">
        <v>67</v>
      </c>
      <c r="B4146">
        <v>7</v>
      </c>
      <c r="C4146" t="s">
        <v>64</v>
      </c>
      <c r="D4146">
        <v>7</v>
      </c>
      <c r="E4146" s="8">
        <v>0.28570000000000001</v>
      </c>
      <c r="F4146" s="8">
        <v>0.28570000000000001</v>
      </c>
      <c r="G4146" s="8">
        <v>0.42859999999999998</v>
      </c>
    </row>
    <row r="4148" spans="1:7" ht="57.6" x14ac:dyDescent="0.3">
      <c r="A4148" s="22" t="s">
        <v>970</v>
      </c>
    </row>
    <row r="4149" spans="1:7" x14ac:dyDescent="0.3">
      <c r="A4149" s="22" t="s">
        <v>66</v>
      </c>
      <c r="B4149" t="s">
        <v>62</v>
      </c>
      <c r="C4149" t="s">
        <v>57</v>
      </c>
      <c r="D4149" t="s">
        <v>63</v>
      </c>
      <c r="E4149" t="s">
        <v>815</v>
      </c>
      <c r="F4149" t="s">
        <v>816</v>
      </c>
      <c r="G4149" t="s">
        <v>817</v>
      </c>
    </row>
    <row r="4150" spans="1:7" x14ac:dyDescent="0.3">
      <c r="A4150" s="22" t="s">
        <v>67</v>
      </c>
      <c r="B4150">
        <v>3</v>
      </c>
      <c r="C4150" t="s">
        <v>64</v>
      </c>
      <c r="D4150">
        <v>7</v>
      </c>
      <c r="F4150" s="8">
        <v>0.33329999999999999</v>
      </c>
      <c r="G4150" s="8">
        <v>0.66669999999999996</v>
      </c>
    </row>
    <row r="4151" spans="1:7" x14ac:dyDescent="0.3">
      <c r="A4151" s="22" t="s">
        <v>68</v>
      </c>
      <c r="B4151">
        <v>4</v>
      </c>
      <c r="C4151" t="s">
        <v>64</v>
      </c>
      <c r="D4151">
        <v>7</v>
      </c>
      <c r="E4151" s="8">
        <v>0.5</v>
      </c>
      <c r="F4151" s="8">
        <v>0.25</v>
      </c>
      <c r="G4151" s="8">
        <v>0.25</v>
      </c>
    </row>
    <row r="4153" spans="1:7" ht="57.6" x14ac:dyDescent="0.3">
      <c r="A4153" s="22" t="s">
        <v>971</v>
      </c>
    </row>
    <row r="4154" spans="1:7" x14ac:dyDescent="0.3">
      <c r="A4154" s="22" t="s">
        <v>66</v>
      </c>
      <c r="B4154" t="s">
        <v>62</v>
      </c>
      <c r="C4154" t="s">
        <v>57</v>
      </c>
      <c r="D4154" t="s">
        <v>63</v>
      </c>
      <c r="E4154" t="s">
        <v>815</v>
      </c>
      <c r="F4154" t="s">
        <v>816</v>
      </c>
      <c r="G4154" t="s">
        <v>817</v>
      </c>
    </row>
    <row r="4155" spans="1:7" x14ac:dyDescent="0.3">
      <c r="A4155" s="22" t="s">
        <v>67</v>
      </c>
      <c r="B4155">
        <v>7</v>
      </c>
      <c r="C4155" t="s">
        <v>64</v>
      </c>
      <c r="D4155">
        <v>7</v>
      </c>
      <c r="E4155" s="8">
        <v>0.28570000000000001</v>
      </c>
      <c r="F4155" s="8">
        <v>0.28570000000000001</v>
      </c>
      <c r="G4155" s="8">
        <v>0.42859999999999998</v>
      </c>
    </row>
    <row r="4157" spans="1:7" ht="43.2" x14ac:dyDescent="0.3">
      <c r="A4157" s="22" t="s">
        <v>972</v>
      </c>
    </row>
    <row r="4158" spans="1:7" x14ac:dyDescent="0.3">
      <c r="A4158" s="22" t="s">
        <v>66</v>
      </c>
      <c r="B4158" t="s">
        <v>62</v>
      </c>
      <c r="C4158" t="s">
        <v>57</v>
      </c>
      <c r="D4158" t="s">
        <v>63</v>
      </c>
      <c r="E4158" t="s">
        <v>815</v>
      </c>
      <c r="F4158" t="s">
        <v>816</v>
      </c>
      <c r="G4158" t="s">
        <v>817</v>
      </c>
    </row>
    <row r="4159" spans="1:7" x14ac:dyDescent="0.3">
      <c r="A4159" s="22" t="s">
        <v>67</v>
      </c>
      <c r="B4159">
        <v>1</v>
      </c>
      <c r="C4159" t="s">
        <v>64</v>
      </c>
      <c r="D4159">
        <v>7</v>
      </c>
      <c r="G4159" s="8">
        <v>1</v>
      </c>
    </row>
    <row r="4160" spans="1:7" x14ac:dyDescent="0.3">
      <c r="A4160" s="22" t="s">
        <v>68</v>
      </c>
      <c r="B4160">
        <v>6</v>
      </c>
      <c r="C4160" t="s">
        <v>64</v>
      </c>
      <c r="D4160">
        <v>7</v>
      </c>
      <c r="E4160" s="8">
        <v>0.33329999999999999</v>
      </c>
      <c r="F4160" s="8">
        <v>0.33329999999999999</v>
      </c>
      <c r="G4160" s="8">
        <v>0.33329999999999999</v>
      </c>
    </row>
    <row r="4162" spans="1:7" ht="57.6" x14ac:dyDescent="0.3">
      <c r="A4162" s="22" t="s">
        <v>973</v>
      </c>
    </row>
    <row r="4163" spans="1:7" x14ac:dyDescent="0.3">
      <c r="A4163" s="22" t="s">
        <v>66</v>
      </c>
      <c r="B4163" t="s">
        <v>62</v>
      </c>
      <c r="C4163" t="s">
        <v>57</v>
      </c>
      <c r="D4163" t="s">
        <v>63</v>
      </c>
      <c r="E4163" t="s">
        <v>815</v>
      </c>
      <c r="F4163" t="s">
        <v>816</v>
      </c>
      <c r="G4163" t="s">
        <v>817</v>
      </c>
    </row>
    <row r="4164" spans="1:7" x14ac:dyDescent="0.3">
      <c r="A4164" s="22" t="s">
        <v>67</v>
      </c>
      <c r="B4164">
        <v>7</v>
      </c>
      <c r="C4164" t="s">
        <v>64</v>
      </c>
      <c r="D4164">
        <v>7</v>
      </c>
      <c r="E4164" s="8">
        <v>0.28570000000000001</v>
      </c>
      <c r="F4164" s="8">
        <v>0.28570000000000001</v>
      </c>
      <c r="G4164" s="8">
        <v>0.42859999999999998</v>
      </c>
    </row>
    <row r="4166" spans="1:7" ht="43.2" x14ac:dyDescent="0.3">
      <c r="A4166" s="27" t="s">
        <v>974</v>
      </c>
    </row>
    <row r="4167" spans="1:7" x14ac:dyDescent="0.3">
      <c r="A4167" s="22" t="s">
        <v>66</v>
      </c>
      <c r="B4167" t="s">
        <v>62</v>
      </c>
      <c r="C4167" t="s">
        <v>57</v>
      </c>
      <c r="D4167" t="s">
        <v>63</v>
      </c>
      <c r="E4167" t="s">
        <v>815</v>
      </c>
      <c r="F4167" t="s">
        <v>816</v>
      </c>
      <c r="G4167" t="s">
        <v>817</v>
      </c>
    </row>
    <row r="4168" spans="1:7" x14ac:dyDescent="0.3">
      <c r="A4168" s="22" t="s">
        <v>81</v>
      </c>
      <c r="B4168">
        <v>1</v>
      </c>
      <c r="C4168" t="s">
        <v>64</v>
      </c>
      <c r="D4168">
        <v>7</v>
      </c>
      <c r="G4168" s="8">
        <v>1</v>
      </c>
    </row>
    <row r="4169" spans="1:7" x14ac:dyDescent="0.3">
      <c r="A4169" s="22" t="s">
        <v>82</v>
      </c>
      <c r="B4169">
        <v>1</v>
      </c>
      <c r="C4169" t="s">
        <v>64</v>
      </c>
      <c r="D4169">
        <v>7</v>
      </c>
      <c r="F4169" s="8">
        <v>1</v>
      </c>
    </row>
    <row r="4170" spans="1:7" x14ac:dyDescent="0.3">
      <c r="A4170" s="22" t="s">
        <v>83</v>
      </c>
      <c r="B4170">
        <v>3</v>
      </c>
      <c r="C4170" t="s">
        <v>64</v>
      </c>
      <c r="D4170">
        <v>7</v>
      </c>
      <c r="F4170" s="8">
        <v>0.33329999999999999</v>
      </c>
      <c r="G4170" s="8">
        <v>0.66669999999999996</v>
      </c>
    </row>
    <row r="4171" spans="1:7" x14ac:dyDescent="0.3">
      <c r="A4171" s="22" t="s">
        <v>84</v>
      </c>
      <c r="B4171">
        <v>2</v>
      </c>
      <c r="C4171" t="s">
        <v>64</v>
      </c>
      <c r="D4171">
        <v>7</v>
      </c>
      <c r="E4171" s="8">
        <v>1</v>
      </c>
    </row>
    <row r="4173" spans="1:7" ht="43.2" x14ac:dyDescent="0.3">
      <c r="A4173" s="27" t="s">
        <v>975</v>
      </c>
    </row>
    <row r="4174" spans="1:7" x14ac:dyDescent="0.3">
      <c r="A4174" s="22" t="s">
        <v>62</v>
      </c>
      <c r="B4174" t="s">
        <v>57</v>
      </c>
      <c r="C4174" t="s">
        <v>63</v>
      </c>
      <c r="D4174" t="s">
        <v>815</v>
      </c>
    </row>
    <row r="4175" spans="1:7" x14ac:dyDescent="0.3">
      <c r="A4175" s="22" t="s">
        <v>68</v>
      </c>
      <c r="B4175" t="s">
        <v>64</v>
      </c>
      <c r="C4175">
        <v>1</v>
      </c>
      <c r="D4175" s="8">
        <v>1</v>
      </c>
    </row>
    <row r="4177" spans="1:5" ht="57.6" x14ac:dyDescent="0.3">
      <c r="A4177" s="22" t="s">
        <v>976</v>
      </c>
    </row>
    <row r="4178" spans="1:5" x14ac:dyDescent="0.3">
      <c r="A4178" s="22" t="s">
        <v>66</v>
      </c>
      <c r="B4178" t="s">
        <v>62</v>
      </c>
      <c r="C4178" t="s">
        <v>57</v>
      </c>
      <c r="D4178" t="s">
        <v>63</v>
      </c>
      <c r="E4178" t="s">
        <v>815</v>
      </c>
    </row>
    <row r="4179" spans="1:5" x14ac:dyDescent="0.3">
      <c r="A4179" s="22" t="s">
        <v>67</v>
      </c>
      <c r="B4179">
        <v>1</v>
      </c>
      <c r="C4179" t="s">
        <v>64</v>
      </c>
      <c r="D4179">
        <v>1</v>
      </c>
      <c r="E4179" s="8">
        <v>1</v>
      </c>
    </row>
    <row r="4181" spans="1:5" x14ac:dyDescent="0.3">
      <c r="A4181"/>
    </row>
    <row r="4182" spans="1:5" x14ac:dyDescent="0.3">
      <c r="A4182"/>
    </row>
    <row r="4183" spans="1:5" x14ac:dyDescent="0.3">
      <c r="A4183"/>
    </row>
    <row r="4185" spans="1:5" ht="57.6" x14ac:dyDescent="0.3">
      <c r="A4185" s="22" t="s">
        <v>977</v>
      </c>
    </row>
    <row r="4186" spans="1:5" x14ac:dyDescent="0.3">
      <c r="A4186" s="22" t="s">
        <v>66</v>
      </c>
      <c r="B4186" t="s">
        <v>62</v>
      </c>
      <c r="C4186" t="s">
        <v>57</v>
      </c>
      <c r="D4186" t="s">
        <v>63</v>
      </c>
      <c r="E4186" t="s">
        <v>815</v>
      </c>
    </row>
    <row r="4187" spans="1:5" x14ac:dyDescent="0.3">
      <c r="A4187" s="22" t="s">
        <v>67</v>
      </c>
      <c r="B4187">
        <v>1</v>
      </c>
      <c r="C4187" t="s">
        <v>64</v>
      </c>
      <c r="D4187">
        <v>1</v>
      </c>
      <c r="E4187" s="8">
        <v>1</v>
      </c>
    </row>
    <row r="4189" spans="1:5" ht="57.6" x14ac:dyDescent="0.3">
      <c r="A4189" s="22" t="s">
        <v>978</v>
      </c>
    </row>
    <row r="4190" spans="1:5" x14ac:dyDescent="0.3">
      <c r="A4190" s="22" t="s">
        <v>66</v>
      </c>
      <c r="B4190" t="s">
        <v>62</v>
      </c>
      <c r="C4190" t="s">
        <v>57</v>
      </c>
      <c r="D4190" t="s">
        <v>63</v>
      </c>
      <c r="E4190" t="s">
        <v>815</v>
      </c>
    </row>
    <row r="4191" spans="1:5" x14ac:dyDescent="0.3">
      <c r="A4191" s="22" t="s">
        <v>67</v>
      </c>
      <c r="B4191">
        <v>1</v>
      </c>
      <c r="C4191" t="s">
        <v>64</v>
      </c>
      <c r="D4191">
        <v>1</v>
      </c>
      <c r="E4191" s="8">
        <v>1</v>
      </c>
    </row>
    <row r="4193" spans="1:5" ht="57.6" x14ac:dyDescent="0.3">
      <c r="A4193" s="22" t="s">
        <v>979</v>
      </c>
    </row>
    <row r="4194" spans="1:5" x14ac:dyDescent="0.3">
      <c r="A4194" s="22" t="s">
        <v>66</v>
      </c>
      <c r="B4194" t="s">
        <v>62</v>
      </c>
      <c r="C4194" t="s">
        <v>57</v>
      </c>
      <c r="D4194" t="s">
        <v>63</v>
      </c>
      <c r="E4194" t="s">
        <v>815</v>
      </c>
    </row>
    <row r="4195" spans="1:5" x14ac:dyDescent="0.3">
      <c r="A4195" s="22" t="s">
        <v>67</v>
      </c>
      <c r="B4195">
        <v>1</v>
      </c>
      <c r="C4195" t="s">
        <v>64</v>
      </c>
      <c r="D4195">
        <v>1</v>
      </c>
      <c r="E4195" s="8">
        <v>1</v>
      </c>
    </row>
    <row r="4197" spans="1:5" ht="57.6" x14ac:dyDescent="0.3">
      <c r="A4197" s="22" t="s">
        <v>980</v>
      </c>
    </row>
    <row r="4198" spans="1:5" x14ac:dyDescent="0.3">
      <c r="A4198" s="22" t="s">
        <v>66</v>
      </c>
      <c r="B4198" t="s">
        <v>62</v>
      </c>
      <c r="C4198" t="s">
        <v>57</v>
      </c>
      <c r="D4198" t="s">
        <v>63</v>
      </c>
      <c r="E4198" t="s">
        <v>815</v>
      </c>
    </row>
    <row r="4199" spans="1:5" x14ac:dyDescent="0.3">
      <c r="A4199" s="22" t="s">
        <v>68</v>
      </c>
      <c r="B4199">
        <v>1</v>
      </c>
      <c r="C4199" t="s">
        <v>64</v>
      </c>
      <c r="D4199">
        <v>1</v>
      </c>
      <c r="E4199" s="8">
        <v>1</v>
      </c>
    </row>
    <row r="4201" spans="1:5" ht="57.6" x14ac:dyDescent="0.3">
      <c r="A4201" s="22" t="s">
        <v>981</v>
      </c>
    </row>
    <row r="4202" spans="1:5" x14ac:dyDescent="0.3">
      <c r="A4202" s="22" t="s">
        <v>66</v>
      </c>
      <c r="B4202" t="s">
        <v>62</v>
      </c>
      <c r="C4202" t="s">
        <v>57</v>
      </c>
      <c r="D4202" t="s">
        <v>63</v>
      </c>
      <c r="E4202" t="s">
        <v>815</v>
      </c>
    </row>
    <row r="4203" spans="1:5" x14ac:dyDescent="0.3">
      <c r="A4203" s="22" t="s">
        <v>67</v>
      </c>
      <c r="B4203">
        <v>1</v>
      </c>
      <c r="C4203" t="s">
        <v>64</v>
      </c>
      <c r="D4203">
        <v>1</v>
      </c>
      <c r="E4203" s="8">
        <v>1</v>
      </c>
    </row>
    <row r="4205" spans="1:5" ht="57.6" x14ac:dyDescent="0.3">
      <c r="A4205" s="22" t="s">
        <v>982</v>
      </c>
    </row>
    <row r="4206" spans="1:5" x14ac:dyDescent="0.3">
      <c r="A4206" s="22" t="s">
        <v>66</v>
      </c>
      <c r="B4206" t="s">
        <v>62</v>
      </c>
      <c r="C4206" t="s">
        <v>57</v>
      </c>
      <c r="D4206" t="s">
        <v>63</v>
      </c>
      <c r="E4206" t="s">
        <v>815</v>
      </c>
    </row>
    <row r="4207" spans="1:5" x14ac:dyDescent="0.3">
      <c r="A4207" s="22" t="s">
        <v>68</v>
      </c>
      <c r="B4207">
        <v>1</v>
      </c>
      <c r="C4207" t="s">
        <v>64</v>
      </c>
      <c r="D4207">
        <v>1</v>
      </c>
      <c r="E4207" s="8">
        <v>1</v>
      </c>
    </row>
    <row r="4209" spans="1:5" ht="57.6" x14ac:dyDescent="0.3">
      <c r="A4209" s="22" t="s">
        <v>983</v>
      </c>
    </row>
    <row r="4210" spans="1:5" x14ac:dyDescent="0.3">
      <c r="A4210" s="22" t="s">
        <v>66</v>
      </c>
      <c r="B4210" t="s">
        <v>62</v>
      </c>
      <c r="C4210" t="s">
        <v>57</v>
      </c>
      <c r="D4210" t="s">
        <v>63</v>
      </c>
      <c r="E4210" t="s">
        <v>815</v>
      </c>
    </row>
    <row r="4211" spans="1:5" x14ac:dyDescent="0.3">
      <c r="A4211" s="22" t="s">
        <v>67</v>
      </c>
      <c r="B4211">
        <v>1</v>
      </c>
      <c r="C4211" t="s">
        <v>64</v>
      </c>
      <c r="D4211">
        <v>1</v>
      </c>
      <c r="E4211" s="8">
        <v>1</v>
      </c>
    </row>
    <row r="4213" spans="1:5" ht="72" x14ac:dyDescent="0.3">
      <c r="A4213" s="22" t="s">
        <v>984</v>
      </c>
    </row>
    <row r="4214" spans="1:5" x14ac:dyDescent="0.3">
      <c r="A4214" s="22" t="s">
        <v>66</v>
      </c>
      <c r="B4214" t="s">
        <v>62</v>
      </c>
      <c r="C4214" t="s">
        <v>57</v>
      </c>
      <c r="D4214" t="s">
        <v>63</v>
      </c>
      <c r="E4214" t="s">
        <v>815</v>
      </c>
    </row>
    <row r="4215" spans="1:5" x14ac:dyDescent="0.3">
      <c r="A4215" s="22" t="s">
        <v>68</v>
      </c>
      <c r="B4215">
        <v>1</v>
      </c>
      <c r="C4215" t="s">
        <v>64</v>
      </c>
      <c r="D4215">
        <v>1</v>
      </c>
      <c r="E4215" s="8">
        <v>1</v>
      </c>
    </row>
    <row r="4217" spans="1:5" ht="72" x14ac:dyDescent="0.3">
      <c r="A4217" s="22" t="s">
        <v>985</v>
      </c>
    </row>
    <row r="4218" spans="1:5" x14ac:dyDescent="0.3">
      <c r="A4218" s="22" t="s">
        <v>66</v>
      </c>
      <c r="B4218" t="s">
        <v>62</v>
      </c>
      <c r="C4218" t="s">
        <v>57</v>
      </c>
      <c r="D4218" t="s">
        <v>63</v>
      </c>
      <c r="E4218" t="s">
        <v>815</v>
      </c>
    </row>
    <row r="4219" spans="1:5" x14ac:dyDescent="0.3">
      <c r="A4219" s="22" t="s">
        <v>67</v>
      </c>
      <c r="B4219">
        <v>1</v>
      </c>
      <c r="C4219" t="s">
        <v>64</v>
      </c>
      <c r="D4219">
        <v>1</v>
      </c>
      <c r="E4219" s="8">
        <v>1</v>
      </c>
    </row>
    <row r="4221" spans="1:5" ht="57.6" x14ac:dyDescent="0.3">
      <c r="A4221" s="22" t="s">
        <v>986</v>
      </c>
    </row>
    <row r="4222" spans="1:5" x14ac:dyDescent="0.3">
      <c r="A4222" s="22" t="s">
        <v>66</v>
      </c>
      <c r="B4222" t="s">
        <v>62</v>
      </c>
      <c r="C4222" t="s">
        <v>57</v>
      </c>
      <c r="D4222" t="s">
        <v>63</v>
      </c>
      <c r="E4222" t="s">
        <v>815</v>
      </c>
    </row>
    <row r="4223" spans="1:5" x14ac:dyDescent="0.3">
      <c r="A4223" s="22" t="s">
        <v>68</v>
      </c>
      <c r="B4223">
        <v>1</v>
      </c>
      <c r="C4223" t="s">
        <v>64</v>
      </c>
      <c r="D4223">
        <v>1</v>
      </c>
      <c r="E4223" s="8">
        <v>1</v>
      </c>
    </row>
    <row r="4225" spans="1:10" ht="57.6" x14ac:dyDescent="0.3">
      <c r="A4225" s="22" t="s">
        <v>987</v>
      </c>
    </row>
    <row r="4226" spans="1:10" x14ac:dyDescent="0.3">
      <c r="A4226" s="22" t="s">
        <v>66</v>
      </c>
      <c r="B4226" t="s">
        <v>62</v>
      </c>
      <c r="C4226" t="s">
        <v>57</v>
      </c>
      <c r="D4226" t="s">
        <v>63</v>
      </c>
      <c r="E4226" t="s">
        <v>815</v>
      </c>
    </row>
    <row r="4227" spans="1:10" x14ac:dyDescent="0.3">
      <c r="A4227" s="22" t="s">
        <v>67</v>
      </c>
      <c r="B4227">
        <v>1</v>
      </c>
      <c r="C4227" t="s">
        <v>64</v>
      </c>
      <c r="D4227">
        <v>1</v>
      </c>
      <c r="E4227" s="8">
        <v>1</v>
      </c>
    </row>
    <row r="4229" spans="1:10" ht="43.2" x14ac:dyDescent="0.3">
      <c r="A4229" s="27" t="s">
        <v>988</v>
      </c>
    </row>
    <row r="4230" spans="1:10" x14ac:dyDescent="0.3">
      <c r="A4230" s="22" t="s">
        <v>66</v>
      </c>
      <c r="B4230" t="s">
        <v>62</v>
      </c>
      <c r="C4230" t="s">
        <v>57</v>
      </c>
      <c r="D4230" t="s">
        <v>63</v>
      </c>
      <c r="E4230" t="s">
        <v>815</v>
      </c>
    </row>
    <row r="4231" spans="1:10" x14ac:dyDescent="0.3">
      <c r="A4231" s="22" t="s">
        <v>83</v>
      </c>
      <c r="B4231">
        <v>1</v>
      </c>
      <c r="C4231" t="s">
        <v>64</v>
      </c>
      <c r="D4231">
        <v>1</v>
      </c>
      <c r="E4231" s="8">
        <v>1</v>
      </c>
    </row>
    <row r="4233" spans="1:10" ht="43.2" x14ac:dyDescent="0.3">
      <c r="A4233" s="27" t="s">
        <v>989</v>
      </c>
    </row>
    <row r="4234" spans="1:10" x14ac:dyDescent="0.3">
      <c r="A4234" s="22" t="s">
        <v>62</v>
      </c>
      <c r="B4234" t="s">
        <v>57</v>
      </c>
      <c r="C4234" t="s">
        <v>63</v>
      </c>
      <c r="D4234" t="s">
        <v>832</v>
      </c>
      <c r="E4234" t="s">
        <v>815</v>
      </c>
      <c r="F4234" t="s">
        <v>816</v>
      </c>
      <c r="G4234" t="s">
        <v>848</v>
      </c>
      <c r="H4234" t="s">
        <v>817</v>
      </c>
      <c r="I4234" t="s">
        <v>833</v>
      </c>
    </row>
    <row r="4235" spans="1:10" x14ac:dyDescent="0.3">
      <c r="A4235" s="22">
        <v>70</v>
      </c>
      <c r="B4235" t="s">
        <v>64</v>
      </c>
      <c r="C4235">
        <v>70</v>
      </c>
      <c r="D4235" s="8">
        <v>8.5699999999999998E-2</v>
      </c>
      <c r="E4235" s="8">
        <v>0.3</v>
      </c>
      <c r="F4235" s="8">
        <v>0.21429999999999999</v>
      </c>
      <c r="G4235" s="8">
        <v>4.2900000000000001E-2</v>
      </c>
      <c r="H4235" s="8">
        <v>0.2286</v>
      </c>
      <c r="I4235" s="8">
        <v>0.12859999999999999</v>
      </c>
    </row>
    <row r="4237" spans="1:10" ht="57.6" x14ac:dyDescent="0.3">
      <c r="A4237" s="22" t="s">
        <v>990</v>
      </c>
    </row>
    <row r="4238" spans="1:10" x14ac:dyDescent="0.3">
      <c r="A4238" s="22" t="s">
        <v>66</v>
      </c>
      <c r="B4238" t="s">
        <v>62</v>
      </c>
      <c r="C4238" t="s">
        <v>57</v>
      </c>
      <c r="D4238" t="s">
        <v>63</v>
      </c>
      <c r="E4238" t="s">
        <v>832</v>
      </c>
      <c r="F4238" t="s">
        <v>815</v>
      </c>
      <c r="G4238" t="s">
        <v>816</v>
      </c>
      <c r="H4238" t="s">
        <v>848</v>
      </c>
      <c r="I4238" t="s">
        <v>817</v>
      </c>
      <c r="J4238" t="s">
        <v>833</v>
      </c>
    </row>
    <row r="4239" spans="1:10" x14ac:dyDescent="0.3">
      <c r="A4239" s="22" t="s">
        <v>67</v>
      </c>
      <c r="B4239">
        <v>68</v>
      </c>
      <c r="C4239" t="s">
        <v>64</v>
      </c>
      <c r="D4239">
        <v>70</v>
      </c>
      <c r="E4239" s="8">
        <v>8.8200000000000001E-2</v>
      </c>
      <c r="F4239" s="8">
        <v>0.29409999999999997</v>
      </c>
      <c r="G4239" s="8">
        <v>0.22059999999999999</v>
      </c>
      <c r="H4239" s="8">
        <v>4.41E-2</v>
      </c>
      <c r="I4239" s="8">
        <v>0.22059999999999999</v>
      </c>
      <c r="J4239" s="8">
        <v>0.13239999999999999</v>
      </c>
    </row>
    <row r="4240" spans="1:10" x14ac:dyDescent="0.3">
      <c r="A4240" s="22" t="s">
        <v>68</v>
      </c>
      <c r="B4240">
        <v>2</v>
      </c>
      <c r="C4240" t="s">
        <v>64</v>
      </c>
      <c r="D4240">
        <v>70</v>
      </c>
      <c r="F4240" s="8">
        <v>0.5</v>
      </c>
      <c r="I4240" s="8">
        <v>0.5</v>
      </c>
    </row>
    <row r="4242" spans="1:10" x14ac:dyDescent="0.3">
      <c r="A4242"/>
    </row>
    <row r="4243" spans="1:10" x14ac:dyDescent="0.3">
      <c r="A4243"/>
    </row>
    <row r="4244" spans="1:10" x14ac:dyDescent="0.3">
      <c r="A4244"/>
    </row>
    <row r="4245" spans="1:10" x14ac:dyDescent="0.3">
      <c r="A4245"/>
    </row>
    <row r="4246" spans="1:10" ht="57.6" x14ac:dyDescent="0.3">
      <c r="A4246" s="22" t="s">
        <v>991</v>
      </c>
    </row>
    <row r="4247" spans="1:10" x14ac:dyDescent="0.3">
      <c r="A4247" s="22" t="s">
        <v>66</v>
      </c>
      <c r="B4247" t="s">
        <v>62</v>
      </c>
      <c r="C4247" t="s">
        <v>57</v>
      </c>
      <c r="D4247" t="s">
        <v>63</v>
      </c>
      <c r="E4247" t="s">
        <v>832</v>
      </c>
      <c r="F4247" t="s">
        <v>815</v>
      </c>
      <c r="G4247" t="s">
        <v>816</v>
      </c>
      <c r="H4247" t="s">
        <v>848</v>
      </c>
      <c r="I4247" t="s">
        <v>817</v>
      </c>
      <c r="J4247" t="s">
        <v>833</v>
      </c>
    </row>
    <row r="4248" spans="1:10" x14ac:dyDescent="0.3">
      <c r="A4248" s="22" t="s">
        <v>67</v>
      </c>
      <c r="B4248">
        <v>67</v>
      </c>
      <c r="C4248" t="s">
        <v>64</v>
      </c>
      <c r="D4248">
        <v>70</v>
      </c>
      <c r="E4248" s="8">
        <v>8.9599999999999999E-2</v>
      </c>
      <c r="F4248" s="8">
        <v>0.31340000000000001</v>
      </c>
      <c r="G4248" s="8">
        <v>0.19400000000000001</v>
      </c>
      <c r="H4248" s="8">
        <v>4.48E-2</v>
      </c>
      <c r="I4248" s="8">
        <v>0.22389999999999999</v>
      </c>
      <c r="J4248" s="8">
        <v>0.1343</v>
      </c>
    </row>
    <row r="4249" spans="1:10" x14ac:dyDescent="0.3">
      <c r="A4249" s="22" t="s">
        <v>68</v>
      </c>
      <c r="B4249">
        <v>3</v>
      </c>
      <c r="C4249" t="s">
        <v>64</v>
      </c>
      <c r="D4249">
        <v>70</v>
      </c>
      <c r="G4249" s="8">
        <v>0.66669999999999996</v>
      </c>
      <c r="I4249" s="8">
        <v>0.33329999999999999</v>
      </c>
    </row>
    <row r="4251" spans="1:10" ht="57.6" x14ac:dyDescent="0.3">
      <c r="A4251" s="22" t="s">
        <v>992</v>
      </c>
    </row>
    <row r="4252" spans="1:10" x14ac:dyDescent="0.3">
      <c r="A4252" s="22" t="s">
        <v>66</v>
      </c>
      <c r="B4252" t="s">
        <v>62</v>
      </c>
      <c r="C4252" t="s">
        <v>57</v>
      </c>
      <c r="D4252" t="s">
        <v>63</v>
      </c>
      <c r="E4252" t="s">
        <v>832</v>
      </c>
      <c r="F4252" t="s">
        <v>815</v>
      </c>
      <c r="G4252" t="s">
        <v>816</v>
      </c>
      <c r="H4252" t="s">
        <v>848</v>
      </c>
      <c r="I4252" t="s">
        <v>817</v>
      </c>
      <c r="J4252" t="s">
        <v>833</v>
      </c>
    </row>
    <row r="4253" spans="1:10" x14ac:dyDescent="0.3">
      <c r="A4253" s="22" t="s">
        <v>67</v>
      </c>
      <c r="B4253">
        <v>69</v>
      </c>
      <c r="C4253" t="s">
        <v>64</v>
      </c>
      <c r="D4253">
        <v>70</v>
      </c>
      <c r="E4253" s="8">
        <v>8.6999999999999994E-2</v>
      </c>
      <c r="F4253" s="8">
        <v>0.28989999999999999</v>
      </c>
      <c r="G4253" s="8">
        <v>0.21740000000000001</v>
      </c>
      <c r="H4253" s="8">
        <v>4.3499999999999997E-2</v>
      </c>
      <c r="I4253" s="8">
        <v>0.2319</v>
      </c>
      <c r="J4253" s="8">
        <v>0.13039999999999999</v>
      </c>
    </row>
    <row r="4254" spans="1:10" x14ac:dyDescent="0.3">
      <c r="A4254" s="22" t="s">
        <v>68</v>
      </c>
      <c r="B4254">
        <v>1</v>
      </c>
      <c r="C4254" t="s">
        <v>64</v>
      </c>
      <c r="D4254">
        <v>70</v>
      </c>
      <c r="F4254" s="8">
        <v>1</v>
      </c>
    </row>
    <row r="4256" spans="1:10" ht="57.6" x14ac:dyDescent="0.3">
      <c r="A4256" s="22" t="s">
        <v>993</v>
      </c>
    </row>
    <row r="4257" spans="1:10" x14ac:dyDescent="0.3">
      <c r="A4257" s="22" t="s">
        <v>66</v>
      </c>
      <c r="B4257" t="s">
        <v>62</v>
      </c>
      <c r="C4257" t="s">
        <v>57</v>
      </c>
      <c r="D4257" t="s">
        <v>63</v>
      </c>
      <c r="E4257" t="s">
        <v>832</v>
      </c>
      <c r="F4257" t="s">
        <v>815</v>
      </c>
      <c r="G4257" t="s">
        <v>816</v>
      </c>
      <c r="H4257" t="s">
        <v>848</v>
      </c>
      <c r="I4257" t="s">
        <v>817</v>
      </c>
      <c r="J4257" t="s">
        <v>833</v>
      </c>
    </row>
    <row r="4258" spans="1:10" x14ac:dyDescent="0.3">
      <c r="A4258" s="22" t="s">
        <v>67</v>
      </c>
      <c r="B4258">
        <v>62</v>
      </c>
      <c r="C4258" t="s">
        <v>64</v>
      </c>
      <c r="D4258">
        <v>70</v>
      </c>
      <c r="E4258" s="8">
        <v>8.0600000000000005E-2</v>
      </c>
      <c r="F4258" s="8">
        <v>0.2742</v>
      </c>
      <c r="G4258" s="8">
        <v>0.2258</v>
      </c>
      <c r="H4258" s="8">
        <v>3.2300000000000002E-2</v>
      </c>
      <c r="I4258" s="8">
        <v>0.2419</v>
      </c>
      <c r="J4258" s="8">
        <v>0.1452</v>
      </c>
    </row>
    <row r="4259" spans="1:10" x14ac:dyDescent="0.3">
      <c r="A4259" s="22" t="s">
        <v>68</v>
      </c>
      <c r="B4259">
        <v>8</v>
      </c>
      <c r="C4259" t="s">
        <v>64</v>
      </c>
      <c r="D4259">
        <v>70</v>
      </c>
      <c r="E4259" s="8">
        <v>0.125</v>
      </c>
      <c r="F4259" s="8">
        <v>0.5</v>
      </c>
      <c r="G4259" s="8">
        <v>0.125</v>
      </c>
      <c r="H4259" s="8">
        <v>0.125</v>
      </c>
      <c r="I4259" s="8">
        <v>0.125</v>
      </c>
    </row>
    <row r="4261" spans="1:10" ht="57.6" x14ac:dyDescent="0.3">
      <c r="A4261" s="22" t="s">
        <v>994</v>
      </c>
    </row>
    <row r="4262" spans="1:10" x14ac:dyDescent="0.3">
      <c r="A4262" s="22" t="s">
        <v>66</v>
      </c>
      <c r="B4262" t="s">
        <v>62</v>
      </c>
      <c r="C4262" t="s">
        <v>57</v>
      </c>
      <c r="D4262" t="s">
        <v>63</v>
      </c>
      <c r="E4262" t="s">
        <v>832</v>
      </c>
      <c r="F4262" t="s">
        <v>815</v>
      </c>
      <c r="G4262" t="s">
        <v>816</v>
      </c>
      <c r="H4262" t="s">
        <v>848</v>
      </c>
      <c r="I4262" t="s">
        <v>817</v>
      </c>
      <c r="J4262" t="s">
        <v>833</v>
      </c>
    </row>
    <row r="4263" spans="1:10" x14ac:dyDescent="0.3">
      <c r="A4263" s="22" t="s">
        <v>67</v>
      </c>
      <c r="B4263">
        <v>1</v>
      </c>
      <c r="C4263" t="s">
        <v>64</v>
      </c>
      <c r="D4263">
        <v>70</v>
      </c>
      <c r="E4263" s="8">
        <v>1</v>
      </c>
    </row>
    <row r="4264" spans="1:10" x14ac:dyDescent="0.3">
      <c r="A4264" s="22" t="s">
        <v>68</v>
      </c>
      <c r="B4264">
        <v>69</v>
      </c>
      <c r="C4264" t="s">
        <v>64</v>
      </c>
      <c r="D4264">
        <v>70</v>
      </c>
      <c r="E4264" s="8">
        <v>7.2499999999999995E-2</v>
      </c>
      <c r="F4264" s="8">
        <v>0.30430000000000001</v>
      </c>
      <c r="G4264" s="8">
        <v>0.21740000000000001</v>
      </c>
      <c r="H4264" s="8">
        <v>4.3499999999999997E-2</v>
      </c>
      <c r="I4264" s="8">
        <v>0.2319</v>
      </c>
      <c r="J4264" s="8">
        <v>0.13039999999999999</v>
      </c>
    </row>
    <row r="4266" spans="1:10" ht="57.6" x14ac:dyDescent="0.3">
      <c r="A4266" s="22" t="s">
        <v>995</v>
      </c>
    </row>
    <row r="4267" spans="1:10" x14ac:dyDescent="0.3">
      <c r="A4267" s="22" t="s">
        <v>66</v>
      </c>
      <c r="B4267" t="s">
        <v>62</v>
      </c>
      <c r="C4267" t="s">
        <v>57</v>
      </c>
      <c r="D4267" t="s">
        <v>63</v>
      </c>
      <c r="E4267" t="s">
        <v>832</v>
      </c>
      <c r="F4267" t="s">
        <v>815</v>
      </c>
      <c r="G4267" t="s">
        <v>816</v>
      </c>
      <c r="H4267" t="s">
        <v>848</v>
      </c>
      <c r="I4267" t="s">
        <v>817</v>
      </c>
      <c r="J4267" t="s">
        <v>833</v>
      </c>
    </row>
    <row r="4268" spans="1:10" x14ac:dyDescent="0.3">
      <c r="A4268" s="22" t="s">
        <v>67</v>
      </c>
      <c r="B4268">
        <v>55</v>
      </c>
      <c r="C4268" t="s">
        <v>64</v>
      </c>
      <c r="D4268">
        <v>70</v>
      </c>
      <c r="E4268" s="8">
        <v>9.0899999999999995E-2</v>
      </c>
      <c r="F4268" s="8">
        <v>0.29089999999999999</v>
      </c>
      <c r="G4268" s="8">
        <v>0.2</v>
      </c>
      <c r="H4268" s="8">
        <v>3.6400000000000002E-2</v>
      </c>
      <c r="I4268" s="8">
        <v>0.2727</v>
      </c>
      <c r="J4268" s="8">
        <v>0.1091</v>
      </c>
    </row>
    <row r="4269" spans="1:10" x14ac:dyDescent="0.3">
      <c r="A4269" s="22" t="s">
        <v>68</v>
      </c>
      <c r="B4269">
        <v>15</v>
      </c>
      <c r="C4269" t="s">
        <v>64</v>
      </c>
      <c r="D4269">
        <v>70</v>
      </c>
      <c r="E4269" s="8">
        <v>6.6699999999999995E-2</v>
      </c>
      <c r="F4269" s="8">
        <v>0.33329999999999999</v>
      </c>
      <c r="G4269" s="8">
        <v>0.26669999999999999</v>
      </c>
      <c r="H4269" s="8">
        <v>6.6699999999999995E-2</v>
      </c>
      <c r="I4269" s="8">
        <v>6.6699999999999995E-2</v>
      </c>
      <c r="J4269" s="8">
        <v>0.2</v>
      </c>
    </row>
    <row r="4271" spans="1:10" ht="57.6" x14ac:dyDescent="0.3">
      <c r="A4271" s="22" t="s">
        <v>996</v>
      </c>
    </row>
    <row r="4272" spans="1:10" x14ac:dyDescent="0.3">
      <c r="A4272" s="22" t="s">
        <v>66</v>
      </c>
      <c r="B4272" t="s">
        <v>62</v>
      </c>
      <c r="C4272" t="s">
        <v>57</v>
      </c>
      <c r="D4272" t="s">
        <v>63</v>
      </c>
      <c r="E4272" t="s">
        <v>832</v>
      </c>
      <c r="F4272" t="s">
        <v>815</v>
      </c>
      <c r="G4272" t="s">
        <v>816</v>
      </c>
      <c r="H4272" t="s">
        <v>848</v>
      </c>
      <c r="I4272" t="s">
        <v>817</v>
      </c>
      <c r="J4272" t="s">
        <v>833</v>
      </c>
    </row>
    <row r="4273" spans="1:10" x14ac:dyDescent="0.3">
      <c r="A4273" s="22" t="s">
        <v>67</v>
      </c>
      <c r="B4273">
        <v>54</v>
      </c>
      <c r="C4273" t="s">
        <v>64</v>
      </c>
      <c r="D4273">
        <v>70</v>
      </c>
      <c r="E4273" s="8">
        <v>7.4099999999999999E-2</v>
      </c>
      <c r="F4273" s="8">
        <v>0.29630000000000001</v>
      </c>
      <c r="G4273" s="8">
        <v>0.1852</v>
      </c>
      <c r="H4273" s="8">
        <v>5.5599999999999997E-2</v>
      </c>
      <c r="I4273" s="8">
        <v>0.2407</v>
      </c>
      <c r="J4273" s="8">
        <v>0.14810000000000001</v>
      </c>
    </row>
    <row r="4274" spans="1:10" x14ac:dyDescent="0.3">
      <c r="A4274" s="22" t="s">
        <v>68</v>
      </c>
      <c r="B4274">
        <v>16</v>
      </c>
      <c r="C4274" t="s">
        <v>64</v>
      </c>
      <c r="D4274">
        <v>70</v>
      </c>
      <c r="E4274" s="8">
        <v>0.125</v>
      </c>
      <c r="F4274" s="8">
        <v>0.3125</v>
      </c>
      <c r="G4274" s="8">
        <v>0.3125</v>
      </c>
      <c r="I4274" s="8">
        <v>0.1875</v>
      </c>
      <c r="J4274" s="8">
        <v>6.25E-2</v>
      </c>
    </row>
    <row r="4276" spans="1:10" ht="57.6" x14ac:dyDescent="0.3">
      <c r="A4276" s="22" t="s">
        <v>997</v>
      </c>
    </row>
    <row r="4277" spans="1:10" x14ac:dyDescent="0.3">
      <c r="A4277" s="22" t="s">
        <v>66</v>
      </c>
      <c r="B4277" t="s">
        <v>62</v>
      </c>
      <c r="C4277" t="s">
        <v>57</v>
      </c>
      <c r="D4277" t="s">
        <v>63</v>
      </c>
      <c r="E4277" t="s">
        <v>832</v>
      </c>
      <c r="F4277" t="s">
        <v>815</v>
      </c>
      <c r="G4277" t="s">
        <v>816</v>
      </c>
      <c r="H4277" t="s">
        <v>848</v>
      </c>
      <c r="I4277" t="s">
        <v>817</v>
      </c>
      <c r="J4277" t="s">
        <v>833</v>
      </c>
    </row>
    <row r="4278" spans="1:10" x14ac:dyDescent="0.3">
      <c r="A4278" s="22" t="s">
        <v>67</v>
      </c>
      <c r="B4278">
        <v>51</v>
      </c>
      <c r="C4278" t="s">
        <v>64</v>
      </c>
      <c r="D4278">
        <v>70</v>
      </c>
      <c r="E4278" s="8">
        <v>9.8000000000000004E-2</v>
      </c>
      <c r="F4278" s="8">
        <v>0.33329999999999999</v>
      </c>
      <c r="G4278" s="8">
        <v>0.1961</v>
      </c>
      <c r="H4278" s="8">
        <v>3.9199999999999999E-2</v>
      </c>
      <c r="I4278" s="8">
        <v>0.1961</v>
      </c>
      <c r="J4278" s="8">
        <v>0.13730000000000001</v>
      </c>
    </row>
    <row r="4279" spans="1:10" x14ac:dyDescent="0.3">
      <c r="A4279" s="22" t="s">
        <v>68</v>
      </c>
      <c r="B4279">
        <v>19</v>
      </c>
      <c r="C4279" t="s">
        <v>64</v>
      </c>
      <c r="D4279">
        <v>70</v>
      </c>
      <c r="E4279" s="8">
        <v>5.2600000000000001E-2</v>
      </c>
      <c r="F4279" s="8">
        <v>0.21049999999999999</v>
      </c>
      <c r="G4279" s="8">
        <v>0.26319999999999999</v>
      </c>
      <c r="H4279" s="8">
        <v>5.2600000000000001E-2</v>
      </c>
      <c r="I4279" s="8">
        <v>0.31580000000000003</v>
      </c>
      <c r="J4279" s="8">
        <v>0.1053</v>
      </c>
    </row>
    <row r="4281" spans="1:10" ht="72" x14ac:dyDescent="0.3">
      <c r="A4281" s="22" t="s">
        <v>998</v>
      </c>
    </row>
    <row r="4282" spans="1:10" x14ac:dyDescent="0.3">
      <c r="A4282" s="22" t="s">
        <v>66</v>
      </c>
      <c r="B4282" t="s">
        <v>62</v>
      </c>
      <c r="C4282" t="s">
        <v>57</v>
      </c>
      <c r="D4282" t="s">
        <v>63</v>
      </c>
      <c r="E4282" t="s">
        <v>832</v>
      </c>
      <c r="F4282" t="s">
        <v>815</v>
      </c>
      <c r="G4282" t="s">
        <v>816</v>
      </c>
      <c r="H4282" t="s">
        <v>848</v>
      </c>
      <c r="I4282" t="s">
        <v>817</v>
      </c>
      <c r="J4282" t="s">
        <v>833</v>
      </c>
    </row>
    <row r="4283" spans="1:10" x14ac:dyDescent="0.3">
      <c r="A4283" s="22" t="s">
        <v>67</v>
      </c>
      <c r="B4283">
        <v>64</v>
      </c>
      <c r="C4283" t="s">
        <v>64</v>
      </c>
      <c r="D4283">
        <v>70</v>
      </c>
      <c r="E4283" s="8">
        <v>9.3799999999999994E-2</v>
      </c>
      <c r="F4283" s="8">
        <v>0.28120000000000001</v>
      </c>
      <c r="G4283" s="8">
        <v>0.21879999999999999</v>
      </c>
      <c r="H4283" s="8">
        <v>4.6899999999999997E-2</v>
      </c>
      <c r="I4283" s="8">
        <v>0.2344</v>
      </c>
      <c r="J4283" s="8">
        <v>0.125</v>
      </c>
    </row>
    <row r="4284" spans="1:10" x14ac:dyDescent="0.3">
      <c r="A4284" s="22" t="s">
        <v>68</v>
      </c>
      <c r="B4284">
        <v>6</v>
      </c>
      <c r="C4284" t="s">
        <v>64</v>
      </c>
      <c r="D4284">
        <v>70</v>
      </c>
      <c r="F4284" s="8">
        <v>0.5</v>
      </c>
      <c r="G4284" s="8">
        <v>0.16669999999999999</v>
      </c>
      <c r="I4284" s="8">
        <v>0.16669999999999999</v>
      </c>
      <c r="J4284" s="8">
        <v>0.16669999999999999</v>
      </c>
    </row>
    <row r="4286" spans="1:10" ht="72" x14ac:dyDescent="0.3">
      <c r="A4286" s="22" t="s">
        <v>999</v>
      </c>
    </row>
    <row r="4287" spans="1:10" x14ac:dyDescent="0.3">
      <c r="A4287" s="22" t="s">
        <v>66</v>
      </c>
      <c r="B4287" t="s">
        <v>62</v>
      </c>
      <c r="C4287" t="s">
        <v>57</v>
      </c>
      <c r="D4287" t="s">
        <v>63</v>
      </c>
      <c r="E4287" t="s">
        <v>832</v>
      </c>
      <c r="F4287" t="s">
        <v>815</v>
      </c>
      <c r="G4287" t="s">
        <v>816</v>
      </c>
      <c r="H4287" t="s">
        <v>848</v>
      </c>
      <c r="I4287" t="s">
        <v>817</v>
      </c>
      <c r="J4287" t="s">
        <v>833</v>
      </c>
    </row>
    <row r="4288" spans="1:10" x14ac:dyDescent="0.3">
      <c r="A4288" s="22" t="s">
        <v>67</v>
      </c>
      <c r="B4288">
        <v>70</v>
      </c>
      <c r="C4288" t="s">
        <v>64</v>
      </c>
      <c r="D4288">
        <v>70</v>
      </c>
      <c r="E4288" s="8">
        <v>8.5699999999999998E-2</v>
      </c>
      <c r="F4288" s="8">
        <v>0.3</v>
      </c>
      <c r="G4288" s="8">
        <v>0.21429999999999999</v>
      </c>
      <c r="H4288" s="8">
        <v>4.2900000000000001E-2</v>
      </c>
      <c r="I4288" s="8">
        <v>0.2286</v>
      </c>
      <c r="J4288" s="8">
        <v>0.12859999999999999</v>
      </c>
    </row>
    <row r="4290" spans="1:10" ht="57.6" x14ac:dyDescent="0.3">
      <c r="A4290" s="22" t="s">
        <v>1000</v>
      </c>
    </row>
    <row r="4291" spans="1:10" x14ac:dyDescent="0.3">
      <c r="A4291" s="22" t="s">
        <v>66</v>
      </c>
      <c r="B4291" t="s">
        <v>62</v>
      </c>
      <c r="C4291" t="s">
        <v>57</v>
      </c>
      <c r="D4291" t="s">
        <v>63</v>
      </c>
      <c r="E4291" t="s">
        <v>832</v>
      </c>
      <c r="F4291" t="s">
        <v>815</v>
      </c>
      <c r="G4291" t="s">
        <v>816</v>
      </c>
      <c r="H4291" t="s">
        <v>848</v>
      </c>
      <c r="I4291" t="s">
        <v>817</v>
      </c>
      <c r="J4291" t="s">
        <v>833</v>
      </c>
    </row>
    <row r="4292" spans="1:10" x14ac:dyDescent="0.3">
      <c r="A4292" s="22" t="s">
        <v>67</v>
      </c>
      <c r="B4292">
        <v>43</v>
      </c>
      <c r="C4292" t="s">
        <v>64</v>
      </c>
      <c r="D4292">
        <v>70</v>
      </c>
      <c r="E4292" s="8">
        <v>0.1163</v>
      </c>
      <c r="F4292" s="8">
        <v>0.27910000000000001</v>
      </c>
      <c r="G4292" s="8">
        <v>0.20930000000000001</v>
      </c>
      <c r="H4292" s="8">
        <v>4.65E-2</v>
      </c>
      <c r="I4292" s="8">
        <v>0.25580000000000003</v>
      </c>
      <c r="J4292" s="8">
        <v>9.2999999999999999E-2</v>
      </c>
    </row>
    <row r="4293" spans="1:10" x14ac:dyDescent="0.3">
      <c r="A4293" s="22" t="s">
        <v>68</v>
      </c>
      <c r="B4293">
        <v>27</v>
      </c>
      <c r="C4293" t="s">
        <v>64</v>
      </c>
      <c r="D4293">
        <v>70</v>
      </c>
      <c r="E4293" s="8">
        <v>3.6999999999999998E-2</v>
      </c>
      <c r="F4293" s="8">
        <v>0.33329999999999999</v>
      </c>
      <c r="G4293" s="8">
        <v>0.22220000000000001</v>
      </c>
      <c r="H4293" s="8">
        <v>3.6999999999999998E-2</v>
      </c>
      <c r="I4293" s="8">
        <v>0.1852</v>
      </c>
      <c r="J4293" s="8">
        <v>0.1852</v>
      </c>
    </row>
    <row r="4295" spans="1:10" ht="57.6" x14ac:dyDescent="0.3">
      <c r="A4295" s="22" t="s">
        <v>1001</v>
      </c>
    </row>
    <row r="4296" spans="1:10" x14ac:dyDescent="0.3">
      <c r="A4296" s="22" t="s">
        <v>66</v>
      </c>
      <c r="B4296" t="s">
        <v>62</v>
      </c>
      <c r="C4296" t="s">
        <v>57</v>
      </c>
      <c r="D4296" t="s">
        <v>63</v>
      </c>
      <c r="E4296" t="s">
        <v>832</v>
      </c>
      <c r="F4296" t="s">
        <v>815</v>
      </c>
      <c r="G4296" t="s">
        <v>816</v>
      </c>
      <c r="H4296" t="s">
        <v>848</v>
      </c>
      <c r="I4296" t="s">
        <v>817</v>
      </c>
      <c r="J4296" t="s">
        <v>833</v>
      </c>
    </row>
    <row r="4297" spans="1:10" x14ac:dyDescent="0.3">
      <c r="A4297" s="22" t="s">
        <v>67</v>
      </c>
      <c r="B4297">
        <v>62</v>
      </c>
      <c r="C4297" t="s">
        <v>64</v>
      </c>
      <c r="D4297">
        <v>70</v>
      </c>
      <c r="E4297" s="8">
        <v>9.6799999999999997E-2</v>
      </c>
      <c r="F4297" s="8">
        <v>0.30649999999999999</v>
      </c>
      <c r="G4297" s="8">
        <v>0.2258</v>
      </c>
      <c r="H4297" s="8">
        <v>1.61E-2</v>
      </c>
      <c r="I4297" s="8">
        <v>0.2258</v>
      </c>
      <c r="J4297" s="8">
        <v>0.129</v>
      </c>
    </row>
    <row r="4298" spans="1:10" x14ac:dyDescent="0.3">
      <c r="A4298" s="22" t="s">
        <v>68</v>
      </c>
      <c r="B4298">
        <v>8</v>
      </c>
      <c r="C4298" t="s">
        <v>64</v>
      </c>
      <c r="D4298">
        <v>70</v>
      </c>
      <c r="F4298" s="8">
        <v>0.25</v>
      </c>
      <c r="G4298" s="8">
        <v>0.125</v>
      </c>
      <c r="H4298" s="8">
        <v>0.25</v>
      </c>
      <c r="I4298" s="8">
        <v>0.25</v>
      </c>
      <c r="J4298" s="8">
        <v>0.125</v>
      </c>
    </row>
    <row r="4300" spans="1:10" ht="43.2" x14ac:dyDescent="0.3">
      <c r="A4300" s="27" t="s">
        <v>1002</v>
      </c>
    </row>
    <row r="4301" spans="1:10" x14ac:dyDescent="0.3">
      <c r="A4301" s="22" t="s">
        <v>66</v>
      </c>
      <c r="B4301" t="s">
        <v>62</v>
      </c>
      <c r="C4301" t="s">
        <v>57</v>
      </c>
      <c r="D4301" t="s">
        <v>63</v>
      </c>
      <c r="E4301" t="s">
        <v>832</v>
      </c>
      <c r="F4301" t="s">
        <v>815</v>
      </c>
      <c r="G4301" t="s">
        <v>816</v>
      </c>
      <c r="H4301" t="s">
        <v>848</v>
      </c>
      <c r="I4301" t="s">
        <v>817</v>
      </c>
      <c r="J4301" t="s">
        <v>833</v>
      </c>
    </row>
    <row r="4302" spans="1:10" x14ac:dyDescent="0.3">
      <c r="A4302" s="22" t="s">
        <v>81</v>
      </c>
      <c r="B4302">
        <v>21</v>
      </c>
      <c r="C4302" t="s">
        <v>64</v>
      </c>
      <c r="D4302">
        <v>70</v>
      </c>
      <c r="E4302" s="8">
        <v>0.1429</v>
      </c>
      <c r="F4302" s="8">
        <v>0.28570000000000001</v>
      </c>
      <c r="G4302" s="8">
        <v>0.1905</v>
      </c>
      <c r="I4302" s="8">
        <v>0.1905</v>
      </c>
      <c r="J4302" s="8">
        <v>0.1905</v>
      </c>
    </row>
    <row r="4303" spans="1:10" x14ac:dyDescent="0.3">
      <c r="A4303" s="22" t="s">
        <v>82</v>
      </c>
      <c r="B4303">
        <v>16</v>
      </c>
      <c r="C4303" t="s">
        <v>64</v>
      </c>
      <c r="D4303">
        <v>70</v>
      </c>
      <c r="F4303" s="8">
        <v>0.25</v>
      </c>
      <c r="G4303" s="8">
        <v>0.25</v>
      </c>
      <c r="H4303" s="8">
        <v>6.25E-2</v>
      </c>
      <c r="I4303" s="8">
        <v>0.3125</v>
      </c>
      <c r="J4303" s="8">
        <v>0.125</v>
      </c>
    </row>
    <row r="4304" spans="1:10" x14ac:dyDescent="0.3">
      <c r="A4304" s="22" t="s">
        <v>83</v>
      </c>
      <c r="B4304">
        <v>15</v>
      </c>
      <c r="C4304" t="s">
        <v>64</v>
      </c>
      <c r="D4304">
        <v>70</v>
      </c>
      <c r="E4304" s="8">
        <v>6.6699999999999995E-2</v>
      </c>
      <c r="F4304" s="8">
        <v>0.33329999999999999</v>
      </c>
      <c r="G4304" s="8">
        <v>0.26669999999999999</v>
      </c>
      <c r="I4304" s="8">
        <v>0.2</v>
      </c>
      <c r="J4304" s="8">
        <v>0.1333</v>
      </c>
    </row>
    <row r="4305" spans="1:10" x14ac:dyDescent="0.3">
      <c r="A4305" s="22" t="s">
        <v>84</v>
      </c>
      <c r="B4305">
        <v>18</v>
      </c>
      <c r="C4305" t="s">
        <v>64</v>
      </c>
      <c r="D4305">
        <v>70</v>
      </c>
      <c r="E4305" s="8">
        <v>0.1111</v>
      </c>
      <c r="F4305" s="8">
        <v>0.33329999999999999</v>
      </c>
      <c r="G4305" s="8">
        <v>0.16669999999999999</v>
      </c>
      <c r="H4305" s="8">
        <v>0.1111</v>
      </c>
      <c r="I4305" s="8">
        <v>0.22220000000000001</v>
      </c>
      <c r="J4305" s="8">
        <v>5.5599999999999997E-2</v>
      </c>
    </row>
    <row r="4307" spans="1:10" ht="43.2" x14ac:dyDescent="0.3">
      <c r="A4307" s="27" t="s">
        <v>1003</v>
      </c>
    </row>
    <row r="4308" spans="1:10" x14ac:dyDescent="0.3">
      <c r="A4308" s="22" t="s">
        <v>62</v>
      </c>
      <c r="B4308" t="s">
        <v>57</v>
      </c>
      <c r="C4308" t="s">
        <v>63</v>
      </c>
      <c r="D4308" t="s">
        <v>816</v>
      </c>
      <c r="E4308" t="s">
        <v>817</v>
      </c>
      <c r="F4308" t="s">
        <v>833</v>
      </c>
    </row>
    <row r="4309" spans="1:10" x14ac:dyDescent="0.3">
      <c r="A4309" s="22">
        <v>4</v>
      </c>
      <c r="B4309" t="s">
        <v>64</v>
      </c>
      <c r="C4309">
        <v>4</v>
      </c>
      <c r="D4309" s="8">
        <v>0.5</v>
      </c>
      <c r="E4309" s="8">
        <v>0.25</v>
      </c>
      <c r="F4309" s="8">
        <v>0.25</v>
      </c>
    </row>
    <row r="4311" spans="1:10" ht="57.6" x14ac:dyDescent="0.3">
      <c r="A4311" s="22" t="s">
        <v>1004</v>
      </c>
    </row>
    <row r="4312" spans="1:10" x14ac:dyDescent="0.3">
      <c r="A4312" s="22" t="s">
        <v>66</v>
      </c>
      <c r="B4312" t="s">
        <v>62</v>
      </c>
      <c r="C4312" t="s">
        <v>57</v>
      </c>
      <c r="D4312" t="s">
        <v>63</v>
      </c>
      <c r="E4312" t="s">
        <v>816</v>
      </c>
      <c r="F4312" t="s">
        <v>817</v>
      </c>
      <c r="G4312" t="s">
        <v>833</v>
      </c>
    </row>
    <row r="4313" spans="1:10" x14ac:dyDescent="0.3">
      <c r="A4313" s="22" t="s">
        <v>67</v>
      </c>
      <c r="B4313">
        <v>4</v>
      </c>
      <c r="C4313" t="s">
        <v>64</v>
      </c>
      <c r="D4313">
        <v>4</v>
      </c>
      <c r="E4313" s="8">
        <v>0.5</v>
      </c>
      <c r="F4313" s="8">
        <v>0.25</v>
      </c>
      <c r="G4313" s="8">
        <v>0.25</v>
      </c>
    </row>
    <row r="4315" spans="1:10" x14ac:dyDescent="0.3">
      <c r="A4315"/>
    </row>
    <row r="4316" spans="1:10" x14ac:dyDescent="0.3">
      <c r="A4316"/>
    </row>
    <row r="4317" spans="1:10" x14ac:dyDescent="0.3">
      <c r="A4317"/>
    </row>
    <row r="4319" spans="1:10" ht="57.6" x14ac:dyDescent="0.3">
      <c r="A4319" s="22" t="s">
        <v>1005</v>
      </c>
    </row>
    <row r="4320" spans="1:10" x14ac:dyDescent="0.3">
      <c r="A4320" s="22" t="s">
        <v>66</v>
      </c>
      <c r="B4320" t="s">
        <v>62</v>
      </c>
      <c r="C4320" t="s">
        <v>57</v>
      </c>
      <c r="D4320" t="s">
        <v>63</v>
      </c>
      <c r="E4320" t="s">
        <v>816</v>
      </c>
      <c r="F4320" t="s">
        <v>817</v>
      </c>
      <c r="G4320" t="s">
        <v>833</v>
      </c>
    </row>
    <row r="4321" spans="1:7" x14ac:dyDescent="0.3">
      <c r="A4321" s="22" t="s">
        <v>67</v>
      </c>
      <c r="B4321">
        <v>4</v>
      </c>
      <c r="C4321" t="s">
        <v>64</v>
      </c>
      <c r="D4321">
        <v>4</v>
      </c>
      <c r="E4321" s="8">
        <v>0.5</v>
      </c>
      <c r="F4321" s="8">
        <v>0.25</v>
      </c>
      <c r="G4321" s="8">
        <v>0.25</v>
      </c>
    </row>
    <row r="4323" spans="1:7" ht="57.6" x14ac:dyDescent="0.3">
      <c r="A4323" s="22" t="s">
        <v>1006</v>
      </c>
    </row>
    <row r="4324" spans="1:7" x14ac:dyDescent="0.3">
      <c r="A4324" s="22" t="s">
        <v>66</v>
      </c>
      <c r="B4324" t="s">
        <v>62</v>
      </c>
      <c r="C4324" t="s">
        <v>57</v>
      </c>
      <c r="D4324" t="s">
        <v>63</v>
      </c>
      <c r="E4324" t="s">
        <v>816</v>
      </c>
      <c r="F4324" t="s">
        <v>817</v>
      </c>
      <c r="G4324" t="s">
        <v>833</v>
      </c>
    </row>
    <row r="4325" spans="1:7" x14ac:dyDescent="0.3">
      <c r="A4325" s="22" t="s">
        <v>67</v>
      </c>
      <c r="B4325">
        <v>4</v>
      </c>
      <c r="C4325" t="s">
        <v>64</v>
      </c>
      <c r="D4325">
        <v>4</v>
      </c>
      <c r="E4325" s="8">
        <v>0.5</v>
      </c>
      <c r="F4325" s="8">
        <v>0.25</v>
      </c>
      <c r="G4325" s="8">
        <v>0.25</v>
      </c>
    </row>
    <row r="4327" spans="1:7" ht="57.6" x14ac:dyDescent="0.3">
      <c r="A4327" s="22" t="s">
        <v>1007</v>
      </c>
    </row>
    <row r="4328" spans="1:7" x14ac:dyDescent="0.3">
      <c r="A4328" s="22" t="s">
        <v>66</v>
      </c>
      <c r="B4328" t="s">
        <v>62</v>
      </c>
      <c r="C4328" t="s">
        <v>57</v>
      </c>
      <c r="D4328" t="s">
        <v>63</v>
      </c>
      <c r="E4328" t="s">
        <v>816</v>
      </c>
      <c r="F4328" t="s">
        <v>817</v>
      </c>
      <c r="G4328" t="s">
        <v>833</v>
      </c>
    </row>
    <row r="4329" spans="1:7" x14ac:dyDescent="0.3">
      <c r="A4329" s="22" t="s">
        <v>67</v>
      </c>
      <c r="B4329">
        <v>4</v>
      </c>
      <c r="C4329" t="s">
        <v>64</v>
      </c>
      <c r="D4329">
        <v>4</v>
      </c>
      <c r="E4329" s="8">
        <v>0.5</v>
      </c>
      <c r="F4329" s="8">
        <v>0.25</v>
      </c>
      <c r="G4329" s="8">
        <v>0.25</v>
      </c>
    </row>
    <row r="4331" spans="1:7" ht="57.6" x14ac:dyDescent="0.3">
      <c r="A4331" s="22" t="s">
        <v>1008</v>
      </c>
    </row>
    <row r="4332" spans="1:7" x14ac:dyDescent="0.3">
      <c r="A4332" s="22" t="s">
        <v>66</v>
      </c>
      <c r="B4332" t="s">
        <v>62</v>
      </c>
      <c r="C4332" t="s">
        <v>57</v>
      </c>
      <c r="D4332" t="s">
        <v>63</v>
      </c>
      <c r="E4332" t="s">
        <v>816</v>
      </c>
      <c r="F4332" t="s">
        <v>817</v>
      </c>
      <c r="G4332" t="s">
        <v>833</v>
      </c>
    </row>
    <row r="4333" spans="1:7" x14ac:dyDescent="0.3">
      <c r="A4333" s="22" t="s">
        <v>68</v>
      </c>
      <c r="B4333">
        <v>4</v>
      </c>
      <c r="C4333" t="s">
        <v>64</v>
      </c>
      <c r="D4333">
        <v>4</v>
      </c>
      <c r="E4333" s="8">
        <v>0.5</v>
      </c>
      <c r="F4333" s="8">
        <v>0.25</v>
      </c>
      <c r="G4333" s="8">
        <v>0.25</v>
      </c>
    </row>
    <row r="4335" spans="1:7" ht="57.6" x14ac:dyDescent="0.3">
      <c r="A4335" s="22" t="s">
        <v>1009</v>
      </c>
    </row>
    <row r="4336" spans="1:7" x14ac:dyDescent="0.3">
      <c r="A4336" s="22" t="s">
        <v>66</v>
      </c>
      <c r="B4336" t="s">
        <v>62</v>
      </c>
      <c r="C4336" t="s">
        <v>57</v>
      </c>
      <c r="D4336" t="s">
        <v>63</v>
      </c>
      <c r="E4336" t="s">
        <v>816</v>
      </c>
      <c r="F4336" t="s">
        <v>817</v>
      </c>
      <c r="G4336" t="s">
        <v>833</v>
      </c>
    </row>
    <row r="4337" spans="1:7" x14ac:dyDescent="0.3">
      <c r="A4337" s="22" t="s">
        <v>67</v>
      </c>
      <c r="B4337">
        <v>3</v>
      </c>
      <c r="C4337" t="s">
        <v>64</v>
      </c>
      <c r="D4337">
        <v>4</v>
      </c>
      <c r="E4337" s="8">
        <v>0.66669999999999996</v>
      </c>
      <c r="G4337" s="8">
        <v>0.33329999999999999</v>
      </c>
    </row>
    <row r="4338" spans="1:7" x14ac:dyDescent="0.3">
      <c r="A4338" s="22" t="s">
        <v>68</v>
      </c>
      <c r="B4338">
        <v>1</v>
      </c>
      <c r="C4338" t="s">
        <v>64</v>
      </c>
      <c r="D4338">
        <v>4</v>
      </c>
      <c r="F4338" s="8">
        <v>1</v>
      </c>
    </row>
    <row r="4340" spans="1:7" ht="57.6" x14ac:dyDescent="0.3">
      <c r="A4340" s="22" t="s">
        <v>1010</v>
      </c>
    </row>
    <row r="4341" spans="1:7" x14ac:dyDescent="0.3">
      <c r="A4341" s="22" t="s">
        <v>66</v>
      </c>
      <c r="B4341" t="s">
        <v>62</v>
      </c>
      <c r="C4341" t="s">
        <v>57</v>
      </c>
      <c r="D4341" t="s">
        <v>63</v>
      </c>
      <c r="E4341" t="s">
        <v>816</v>
      </c>
      <c r="F4341" t="s">
        <v>817</v>
      </c>
      <c r="G4341" t="s">
        <v>833</v>
      </c>
    </row>
    <row r="4342" spans="1:7" x14ac:dyDescent="0.3">
      <c r="A4342" s="22" t="s">
        <v>67</v>
      </c>
      <c r="B4342">
        <v>4</v>
      </c>
      <c r="C4342" t="s">
        <v>64</v>
      </c>
      <c r="D4342">
        <v>4</v>
      </c>
      <c r="E4342" s="8">
        <v>0.5</v>
      </c>
      <c r="F4342" s="8">
        <v>0.25</v>
      </c>
      <c r="G4342" s="8">
        <v>0.25</v>
      </c>
    </row>
    <row r="4344" spans="1:7" ht="57.6" x14ac:dyDescent="0.3">
      <c r="A4344" s="22" t="s">
        <v>1011</v>
      </c>
    </row>
    <row r="4345" spans="1:7" x14ac:dyDescent="0.3">
      <c r="A4345" s="22" t="s">
        <v>66</v>
      </c>
      <c r="B4345" t="s">
        <v>62</v>
      </c>
      <c r="C4345" t="s">
        <v>57</v>
      </c>
      <c r="D4345" t="s">
        <v>63</v>
      </c>
      <c r="E4345" t="s">
        <v>816</v>
      </c>
      <c r="F4345" t="s">
        <v>817</v>
      </c>
      <c r="G4345" t="s">
        <v>833</v>
      </c>
    </row>
    <row r="4346" spans="1:7" x14ac:dyDescent="0.3">
      <c r="A4346" s="22" t="s">
        <v>67</v>
      </c>
      <c r="B4346">
        <v>2</v>
      </c>
      <c r="C4346" t="s">
        <v>64</v>
      </c>
      <c r="D4346">
        <v>4</v>
      </c>
      <c r="F4346" s="8">
        <v>0.5</v>
      </c>
      <c r="G4346" s="8">
        <v>0.5</v>
      </c>
    </row>
    <row r="4347" spans="1:7" x14ac:dyDescent="0.3">
      <c r="A4347" s="22" t="s">
        <v>68</v>
      </c>
      <c r="B4347">
        <v>2</v>
      </c>
      <c r="C4347" t="s">
        <v>64</v>
      </c>
      <c r="D4347">
        <v>4</v>
      </c>
      <c r="E4347" s="8">
        <v>1</v>
      </c>
    </row>
    <row r="4349" spans="1:7" ht="72" x14ac:dyDescent="0.3">
      <c r="A4349" s="22" t="s">
        <v>1012</v>
      </c>
    </row>
    <row r="4350" spans="1:7" x14ac:dyDescent="0.3">
      <c r="A4350" s="22" t="s">
        <v>66</v>
      </c>
      <c r="B4350" t="s">
        <v>62</v>
      </c>
      <c r="C4350" t="s">
        <v>57</v>
      </c>
      <c r="D4350" t="s">
        <v>63</v>
      </c>
      <c r="E4350" t="s">
        <v>816</v>
      </c>
      <c r="F4350" t="s">
        <v>817</v>
      </c>
      <c r="G4350" t="s">
        <v>833</v>
      </c>
    </row>
    <row r="4351" spans="1:7" x14ac:dyDescent="0.3">
      <c r="A4351" s="22" t="s">
        <v>67</v>
      </c>
      <c r="B4351">
        <v>4</v>
      </c>
      <c r="C4351" t="s">
        <v>64</v>
      </c>
      <c r="D4351">
        <v>4</v>
      </c>
      <c r="E4351" s="8">
        <v>0.5</v>
      </c>
      <c r="F4351" s="8">
        <v>0.25</v>
      </c>
      <c r="G4351" s="8">
        <v>0.25</v>
      </c>
    </row>
    <row r="4353" spans="1:7" ht="72" x14ac:dyDescent="0.3">
      <c r="A4353" s="22" t="s">
        <v>1013</v>
      </c>
    </row>
    <row r="4354" spans="1:7" x14ac:dyDescent="0.3">
      <c r="A4354" s="22" t="s">
        <v>66</v>
      </c>
      <c r="B4354" t="s">
        <v>62</v>
      </c>
      <c r="C4354" t="s">
        <v>57</v>
      </c>
      <c r="D4354" t="s">
        <v>63</v>
      </c>
      <c r="E4354" t="s">
        <v>816</v>
      </c>
      <c r="F4354" t="s">
        <v>817</v>
      </c>
      <c r="G4354" t="s">
        <v>833</v>
      </c>
    </row>
    <row r="4355" spans="1:7" x14ac:dyDescent="0.3">
      <c r="A4355" s="22" t="s">
        <v>67</v>
      </c>
      <c r="B4355">
        <v>4</v>
      </c>
      <c r="C4355" t="s">
        <v>64</v>
      </c>
      <c r="D4355">
        <v>4</v>
      </c>
      <c r="E4355" s="8">
        <v>0.5</v>
      </c>
      <c r="F4355" s="8">
        <v>0.25</v>
      </c>
      <c r="G4355" s="8">
        <v>0.25</v>
      </c>
    </row>
    <row r="4357" spans="1:7" ht="57.6" x14ac:dyDescent="0.3">
      <c r="A4357" s="22" t="s">
        <v>1014</v>
      </c>
    </row>
    <row r="4358" spans="1:7" x14ac:dyDescent="0.3">
      <c r="A4358" s="22" t="s">
        <v>66</v>
      </c>
      <c r="B4358" t="s">
        <v>62</v>
      </c>
      <c r="C4358" t="s">
        <v>57</v>
      </c>
      <c r="D4358" t="s">
        <v>63</v>
      </c>
      <c r="E4358" t="s">
        <v>816</v>
      </c>
      <c r="F4358" t="s">
        <v>817</v>
      </c>
      <c r="G4358" t="s">
        <v>833</v>
      </c>
    </row>
    <row r="4359" spans="1:7" x14ac:dyDescent="0.3">
      <c r="A4359" s="22" t="s">
        <v>67</v>
      </c>
      <c r="B4359">
        <v>4</v>
      </c>
      <c r="C4359" t="s">
        <v>64</v>
      </c>
      <c r="D4359">
        <v>4</v>
      </c>
      <c r="E4359" s="8">
        <v>0.5</v>
      </c>
      <c r="F4359" s="8">
        <v>0.25</v>
      </c>
      <c r="G4359" s="8">
        <v>0.25</v>
      </c>
    </row>
    <row r="4361" spans="1:7" ht="57.6" x14ac:dyDescent="0.3">
      <c r="A4361" s="22" t="s">
        <v>1015</v>
      </c>
    </row>
    <row r="4362" spans="1:7" x14ac:dyDescent="0.3">
      <c r="A4362" s="22" t="s">
        <v>66</v>
      </c>
      <c r="B4362" t="s">
        <v>62</v>
      </c>
      <c r="C4362" t="s">
        <v>57</v>
      </c>
      <c r="D4362" t="s">
        <v>63</v>
      </c>
      <c r="E4362" t="s">
        <v>816</v>
      </c>
      <c r="F4362" t="s">
        <v>817</v>
      </c>
      <c r="G4362" t="s">
        <v>833</v>
      </c>
    </row>
    <row r="4363" spans="1:7" x14ac:dyDescent="0.3">
      <c r="A4363" s="22" t="s">
        <v>67</v>
      </c>
      <c r="B4363">
        <v>3</v>
      </c>
      <c r="C4363" t="s">
        <v>64</v>
      </c>
      <c r="D4363">
        <v>4</v>
      </c>
      <c r="E4363" s="8">
        <v>0.33329999999999999</v>
      </c>
      <c r="F4363" s="8">
        <v>0.33329999999999999</v>
      </c>
      <c r="G4363" s="8">
        <v>0.33329999999999999</v>
      </c>
    </row>
    <row r="4364" spans="1:7" x14ac:dyDescent="0.3">
      <c r="A4364" s="22" t="s">
        <v>68</v>
      </c>
      <c r="B4364">
        <v>1</v>
      </c>
      <c r="C4364" t="s">
        <v>64</v>
      </c>
      <c r="D4364">
        <v>4</v>
      </c>
      <c r="E4364" s="8">
        <v>1</v>
      </c>
    </row>
    <row r="4366" spans="1:7" ht="43.2" x14ac:dyDescent="0.3">
      <c r="A4366" s="27" t="s">
        <v>1016</v>
      </c>
    </row>
    <row r="4367" spans="1:7" x14ac:dyDescent="0.3">
      <c r="A4367" s="22" t="s">
        <v>66</v>
      </c>
      <c r="B4367" t="s">
        <v>62</v>
      </c>
      <c r="C4367" t="s">
        <v>57</v>
      </c>
      <c r="D4367" t="s">
        <v>63</v>
      </c>
      <c r="E4367" t="s">
        <v>816</v>
      </c>
      <c r="F4367" t="s">
        <v>817</v>
      </c>
      <c r="G4367" t="s">
        <v>833</v>
      </c>
    </row>
    <row r="4368" spans="1:7" x14ac:dyDescent="0.3">
      <c r="A4368" s="22" t="s">
        <v>81</v>
      </c>
      <c r="B4368">
        <v>1</v>
      </c>
      <c r="C4368" t="s">
        <v>64</v>
      </c>
      <c r="D4368">
        <v>4</v>
      </c>
      <c r="F4368" s="8">
        <v>1</v>
      </c>
    </row>
    <row r="4369" spans="1:8" x14ac:dyDescent="0.3">
      <c r="A4369" s="22" t="s">
        <v>83</v>
      </c>
      <c r="B4369">
        <v>2</v>
      </c>
      <c r="C4369" t="s">
        <v>64</v>
      </c>
      <c r="D4369">
        <v>4</v>
      </c>
      <c r="E4369" s="8">
        <v>0.5</v>
      </c>
      <c r="G4369" s="8">
        <v>0.5</v>
      </c>
    </row>
    <row r="4370" spans="1:8" x14ac:dyDescent="0.3">
      <c r="A4370" s="22" t="s">
        <v>84</v>
      </c>
      <c r="B4370">
        <v>1</v>
      </c>
      <c r="C4370" t="s">
        <v>64</v>
      </c>
      <c r="D4370">
        <v>4</v>
      </c>
      <c r="E4370" s="8">
        <v>1</v>
      </c>
    </row>
    <row r="4372" spans="1:8" ht="43.2" x14ac:dyDescent="0.3">
      <c r="A4372" s="27" t="s">
        <v>1017</v>
      </c>
    </row>
    <row r="4373" spans="1:8" x14ac:dyDescent="0.3">
      <c r="A4373" s="22" t="s">
        <v>62</v>
      </c>
      <c r="B4373" t="s">
        <v>57</v>
      </c>
      <c r="C4373" t="s">
        <v>63</v>
      </c>
      <c r="D4373" t="s">
        <v>815</v>
      </c>
      <c r="E4373" t="s">
        <v>816</v>
      </c>
      <c r="F4373" t="s">
        <v>817</v>
      </c>
      <c r="G4373" t="s">
        <v>833</v>
      </c>
    </row>
    <row r="4374" spans="1:8" x14ac:dyDescent="0.3">
      <c r="A4374" s="22">
        <v>12</v>
      </c>
      <c r="B4374" t="s">
        <v>64</v>
      </c>
      <c r="C4374">
        <v>12</v>
      </c>
      <c r="D4374" s="8">
        <v>0.25</v>
      </c>
      <c r="E4374" s="8">
        <v>0.5</v>
      </c>
      <c r="F4374" s="8">
        <v>8.3299999999999999E-2</v>
      </c>
      <c r="G4374" s="8">
        <v>0.16669999999999999</v>
      </c>
    </row>
    <row r="4376" spans="1:8" ht="57.6" x14ac:dyDescent="0.3">
      <c r="A4376" s="22" t="s">
        <v>1018</v>
      </c>
    </row>
    <row r="4377" spans="1:8" x14ac:dyDescent="0.3">
      <c r="A4377" s="22" t="s">
        <v>66</v>
      </c>
      <c r="B4377" t="s">
        <v>62</v>
      </c>
      <c r="C4377" t="s">
        <v>57</v>
      </c>
      <c r="D4377" t="s">
        <v>63</v>
      </c>
      <c r="E4377" t="s">
        <v>815</v>
      </c>
      <c r="F4377" t="s">
        <v>816</v>
      </c>
      <c r="G4377" t="s">
        <v>817</v>
      </c>
      <c r="H4377" t="s">
        <v>833</v>
      </c>
    </row>
    <row r="4378" spans="1:8" x14ac:dyDescent="0.3">
      <c r="A4378" s="22" t="s">
        <v>67</v>
      </c>
      <c r="B4378">
        <v>11</v>
      </c>
      <c r="C4378" t="s">
        <v>64</v>
      </c>
      <c r="D4378">
        <v>12</v>
      </c>
      <c r="E4378" s="8">
        <v>0.2727</v>
      </c>
      <c r="F4378" s="8">
        <v>0.45450000000000002</v>
      </c>
      <c r="G4378" s="8">
        <v>9.0899999999999995E-2</v>
      </c>
      <c r="H4378" s="8">
        <v>0.18179999999999999</v>
      </c>
    </row>
    <row r="4379" spans="1:8" x14ac:dyDescent="0.3">
      <c r="A4379" s="22" t="s">
        <v>68</v>
      </c>
      <c r="B4379">
        <v>1</v>
      </c>
      <c r="C4379" t="s">
        <v>64</v>
      </c>
      <c r="D4379">
        <v>12</v>
      </c>
      <c r="F4379" s="8">
        <v>1</v>
      </c>
    </row>
    <row r="4381" spans="1:8" x14ac:dyDescent="0.3">
      <c r="A4381"/>
    </row>
    <row r="4382" spans="1:8" x14ac:dyDescent="0.3">
      <c r="A4382"/>
    </row>
    <row r="4383" spans="1:8" x14ac:dyDescent="0.3">
      <c r="A4383"/>
    </row>
    <row r="4385" spans="1:8" ht="57.6" x14ac:dyDescent="0.3">
      <c r="A4385" s="22" t="s">
        <v>1019</v>
      </c>
    </row>
    <row r="4386" spans="1:8" x14ac:dyDescent="0.3">
      <c r="A4386" s="22" t="s">
        <v>66</v>
      </c>
      <c r="B4386" t="s">
        <v>62</v>
      </c>
      <c r="C4386" t="s">
        <v>57</v>
      </c>
      <c r="D4386" t="s">
        <v>63</v>
      </c>
      <c r="E4386" t="s">
        <v>815</v>
      </c>
      <c r="F4386" t="s">
        <v>816</v>
      </c>
      <c r="G4386" t="s">
        <v>817</v>
      </c>
      <c r="H4386" t="s">
        <v>833</v>
      </c>
    </row>
    <row r="4387" spans="1:8" x14ac:dyDescent="0.3">
      <c r="A4387" s="22" t="s">
        <v>67</v>
      </c>
      <c r="B4387">
        <v>10</v>
      </c>
      <c r="C4387" t="s">
        <v>64</v>
      </c>
      <c r="D4387">
        <v>12</v>
      </c>
      <c r="E4387" s="8">
        <v>0.3</v>
      </c>
      <c r="F4387" s="8">
        <v>0.4</v>
      </c>
      <c r="G4387" s="8">
        <v>0.1</v>
      </c>
      <c r="H4387" s="8">
        <v>0.2</v>
      </c>
    </row>
    <row r="4388" spans="1:8" x14ac:dyDescent="0.3">
      <c r="A4388" s="22" t="s">
        <v>68</v>
      </c>
      <c r="B4388">
        <v>2</v>
      </c>
      <c r="C4388" t="s">
        <v>64</v>
      </c>
      <c r="D4388">
        <v>12</v>
      </c>
      <c r="F4388" s="8">
        <v>1</v>
      </c>
    </row>
    <row r="4390" spans="1:8" ht="57.6" x14ac:dyDescent="0.3">
      <c r="A4390" s="22" t="s">
        <v>1020</v>
      </c>
    </row>
    <row r="4391" spans="1:8" x14ac:dyDescent="0.3">
      <c r="A4391" s="22" t="s">
        <v>66</v>
      </c>
      <c r="B4391" t="s">
        <v>62</v>
      </c>
      <c r="C4391" t="s">
        <v>57</v>
      </c>
      <c r="D4391" t="s">
        <v>63</v>
      </c>
      <c r="E4391" t="s">
        <v>815</v>
      </c>
      <c r="F4391" t="s">
        <v>816</v>
      </c>
      <c r="G4391" t="s">
        <v>817</v>
      </c>
      <c r="H4391" t="s">
        <v>833</v>
      </c>
    </row>
    <row r="4392" spans="1:8" x14ac:dyDescent="0.3">
      <c r="A4392" s="22" t="s">
        <v>67</v>
      </c>
      <c r="B4392">
        <v>12</v>
      </c>
      <c r="C4392" t="s">
        <v>64</v>
      </c>
      <c r="D4392">
        <v>12</v>
      </c>
      <c r="E4392" s="8">
        <v>0.25</v>
      </c>
      <c r="F4392" s="8">
        <v>0.5</v>
      </c>
      <c r="G4392" s="8">
        <v>8.3299999999999999E-2</v>
      </c>
      <c r="H4392" s="8">
        <v>0.16669999999999999</v>
      </c>
    </row>
    <row r="4394" spans="1:8" ht="57.6" x14ac:dyDescent="0.3">
      <c r="A4394" s="22" t="s">
        <v>1021</v>
      </c>
    </row>
    <row r="4395" spans="1:8" x14ac:dyDescent="0.3">
      <c r="A4395" s="22" t="s">
        <v>66</v>
      </c>
      <c r="B4395" t="s">
        <v>62</v>
      </c>
      <c r="C4395" t="s">
        <v>57</v>
      </c>
      <c r="D4395" t="s">
        <v>63</v>
      </c>
      <c r="E4395" t="s">
        <v>815</v>
      </c>
      <c r="F4395" t="s">
        <v>816</v>
      </c>
      <c r="G4395" t="s">
        <v>817</v>
      </c>
      <c r="H4395" t="s">
        <v>833</v>
      </c>
    </row>
    <row r="4396" spans="1:8" x14ac:dyDescent="0.3">
      <c r="A4396" s="22" t="s">
        <v>67</v>
      </c>
      <c r="B4396">
        <v>11</v>
      </c>
      <c r="C4396" t="s">
        <v>64</v>
      </c>
      <c r="D4396">
        <v>12</v>
      </c>
      <c r="E4396" s="8">
        <v>0.2727</v>
      </c>
      <c r="F4396" s="8">
        <v>0.45450000000000002</v>
      </c>
      <c r="G4396" s="8">
        <v>9.0899999999999995E-2</v>
      </c>
      <c r="H4396" s="8">
        <v>0.18179999999999999</v>
      </c>
    </row>
    <row r="4397" spans="1:8" x14ac:dyDescent="0.3">
      <c r="A4397" s="22" t="s">
        <v>68</v>
      </c>
      <c r="B4397">
        <v>1</v>
      </c>
      <c r="C4397" t="s">
        <v>64</v>
      </c>
      <c r="D4397">
        <v>12</v>
      </c>
      <c r="F4397" s="8">
        <v>1</v>
      </c>
    </row>
    <row r="4399" spans="1:8" ht="57.6" x14ac:dyDescent="0.3">
      <c r="A4399" s="22" t="s">
        <v>1022</v>
      </c>
    </row>
    <row r="4400" spans="1:8" x14ac:dyDescent="0.3">
      <c r="A4400" s="22" t="s">
        <v>66</v>
      </c>
      <c r="B4400" t="s">
        <v>62</v>
      </c>
      <c r="C4400" t="s">
        <v>57</v>
      </c>
      <c r="D4400" t="s">
        <v>63</v>
      </c>
      <c r="E4400" t="s">
        <v>815</v>
      </c>
      <c r="F4400" t="s">
        <v>816</v>
      </c>
      <c r="G4400" t="s">
        <v>817</v>
      </c>
      <c r="H4400" t="s">
        <v>833</v>
      </c>
    </row>
    <row r="4401" spans="1:8" x14ac:dyDescent="0.3">
      <c r="A4401" s="22" t="s">
        <v>67</v>
      </c>
      <c r="B4401">
        <v>1</v>
      </c>
      <c r="C4401" t="s">
        <v>64</v>
      </c>
      <c r="D4401">
        <v>12</v>
      </c>
      <c r="F4401" s="8">
        <v>1</v>
      </c>
    </row>
    <row r="4402" spans="1:8" x14ac:dyDescent="0.3">
      <c r="A4402" s="22" t="s">
        <v>68</v>
      </c>
      <c r="B4402">
        <v>11</v>
      </c>
      <c r="C4402" t="s">
        <v>64</v>
      </c>
      <c r="D4402">
        <v>12</v>
      </c>
      <c r="E4402" s="8">
        <v>0.2727</v>
      </c>
      <c r="F4402" s="8">
        <v>0.45450000000000002</v>
      </c>
      <c r="G4402" s="8">
        <v>9.0899999999999995E-2</v>
      </c>
      <c r="H4402" s="8">
        <v>0.18179999999999999</v>
      </c>
    </row>
    <row r="4404" spans="1:8" ht="57.6" x14ac:dyDescent="0.3">
      <c r="A4404" s="22" t="s">
        <v>1023</v>
      </c>
    </row>
    <row r="4405" spans="1:8" x14ac:dyDescent="0.3">
      <c r="A4405" s="22" t="s">
        <v>66</v>
      </c>
      <c r="B4405" t="s">
        <v>62</v>
      </c>
      <c r="C4405" t="s">
        <v>57</v>
      </c>
      <c r="D4405" t="s">
        <v>63</v>
      </c>
      <c r="E4405" t="s">
        <v>815</v>
      </c>
      <c r="F4405" t="s">
        <v>816</v>
      </c>
      <c r="G4405" t="s">
        <v>817</v>
      </c>
      <c r="H4405" t="s">
        <v>833</v>
      </c>
    </row>
    <row r="4406" spans="1:8" x14ac:dyDescent="0.3">
      <c r="A4406" s="22" t="s">
        <v>67</v>
      </c>
      <c r="B4406">
        <v>10</v>
      </c>
      <c r="C4406" t="s">
        <v>64</v>
      </c>
      <c r="D4406">
        <v>12</v>
      </c>
      <c r="E4406" s="8">
        <v>0.2</v>
      </c>
      <c r="F4406" s="8">
        <v>0.5</v>
      </c>
      <c r="G4406" s="8">
        <v>0.1</v>
      </c>
      <c r="H4406" s="8">
        <v>0.2</v>
      </c>
    </row>
    <row r="4407" spans="1:8" x14ac:dyDescent="0.3">
      <c r="A4407" s="22" t="s">
        <v>68</v>
      </c>
      <c r="B4407">
        <v>2</v>
      </c>
      <c r="C4407" t="s">
        <v>64</v>
      </c>
      <c r="D4407">
        <v>12</v>
      </c>
      <c r="E4407" s="8">
        <v>0.5</v>
      </c>
      <c r="F4407" s="8">
        <v>0.5</v>
      </c>
    </row>
    <row r="4409" spans="1:8" ht="57.6" x14ac:dyDescent="0.3">
      <c r="A4409" s="22" t="s">
        <v>1024</v>
      </c>
    </row>
    <row r="4410" spans="1:8" x14ac:dyDescent="0.3">
      <c r="A4410" s="22" t="s">
        <v>66</v>
      </c>
      <c r="B4410" t="s">
        <v>62</v>
      </c>
      <c r="C4410" t="s">
        <v>57</v>
      </c>
      <c r="D4410" t="s">
        <v>63</v>
      </c>
      <c r="E4410" t="s">
        <v>815</v>
      </c>
      <c r="F4410" t="s">
        <v>816</v>
      </c>
      <c r="G4410" t="s">
        <v>817</v>
      </c>
      <c r="H4410" t="s">
        <v>833</v>
      </c>
    </row>
    <row r="4411" spans="1:8" x14ac:dyDescent="0.3">
      <c r="A4411" s="22" t="s">
        <v>67</v>
      </c>
      <c r="B4411">
        <v>9</v>
      </c>
      <c r="C4411" t="s">
        <v>64</v>
      </c>
      <c r="D4411">
        <v>12</v>
      </c>
      <c r="E4411" s="8">
        <v>0.22220000000000001</v>
      </c>
      <c r="F4411" s="8">
        <v>0.44440000000000002</v>
      </c>
      <c r="G4411" s="8">
        <v>0.1111</v>
      </c>
      <c r="H4411" s="8">
        <v>0.22220000000000001</v>
      </c>
    </row>
    <row r="4412" spans="1:8" x14ac:dyDescent="0.3">
      <c r="A4412" s="22" t="s">
        <v>68</v>
      </c>
      <c r="B4412">
        <v>3</v>
      </c>
      <c r="C4412" t="s">
        <v>64</v>
      </c>
      <c r="D4412">
        <v>12</v>
      </c>
      <c r="E4412" s="8">
        <v>0.33329999999999999</v>
      </c>
      <c r="F4412" s="8">
        <v>0.66669999999999996</v>
      </c>
    </row>
    <row r="4414" spans="1:8" ht="57.6" x14ac:dyDescent="0.3">
      <c r="A4414" s="22" t="s">
        <v>1025</v>
      </c>
    </row>
    <row r="4415" spans="1:8" x14ac:dyDescent="0.3">
      <c r="A4415" s="22" t="s">
        <v>66</v>
      </c>
      <c r="B4415" t="s">
        <v>62</v>
      </c>
      <c r="C4415" t="s">
        <v>57</v>
      </c>
      <c r="D4415" t="s">
        <v>63</v>
      </c>
      <c r="E4415" t="s">
        <v>815</v>
      </c>
      <c r="F4415" t="s">
        <v>816</v>
      </c>
      <c r="G4415" t="s">
        <v>817</v>
      </c>
      <c r="H4415" t="s">
        <v>833</v>
      </c>
    </row>
    <row r="4416" spans="1:8" x14ac:dyDescent="0.3">
      <c r="A4416" s="22" t="s">
        <v>67</v>
      </c>
      <c r="B4416">
        <v>9</v>
      </c>
      <c r="C4416" t="s">
        <v>64</v>
      </c>
      <c r="D4416">
        <v>12</v>
      </c>
      <c r="E4416" s="8">
        <v>0.22220000000000001</v>
      </c>
      <c r="F4416" s="8">
        <v>0.44440000000000002</v>
      </c>
      <c r="G4416" s="8">
        <v>0.1111</v>
      </c>
      <c r="H4416" s="8">
        <v>0.22220000000000001</v>
      </c>
    </row>
    <row r="4417" spans="1:8" x14ac:dyDescent="0.3">
      <c r="A4417" s="22" t="s">
        <v>68</v>
      </c>
      <c r="B4417">
        <v>3</v>
      </c>
      <c r="C4417" t="s">
        <v>64</v>
      </c>
      <c r="D4417">
        <v>12</v>
      </c>
      <c r="E4417" s="8">
        <v>0.33329999999999999</v>
      </c>
      <c r="F4417" s="8">
        <v>0.66669999999999996</v>
      </c>
    </row>
    <row r="4419" spans="1:8" ht="72" x14ac:dyDescent="0.3">
      <c r="A4419" s="22" t="s">
        <v>1026</v>
      </c>
    </row>
    <row r="4420" spans="1:8" x14ac:dyDescent="0.3">
      <c r="A4420" s="22" t="s">
        <v>66</v>
      </c>
      <c r="B4420" t="s">
        <v>62</v>
      </c>
      <c r="C4420" t="s">
        <v>57</v>
      </c>
      <c r="D4420" t="s">
        <v>63</v>
      </c>
      <c r="E4420" t="s">
        <v>815</v>
      </c>
      <c r="F4420" t="s">
        <v>816</v>
      </c>
      <c r="G4420" t="s">
        <v>817</v>
      </c>
      <c r="H4420" t="s">
        <v>833</v>
      </c>
    </row>
    <row r="4421" spans="1:8" x14ac:dyDescent="0.3">
      <c r="A4421" s="22" t="s">
        <v>67</v>
      </c>
      <c r="B4421">
        <v>11</v>
      </c>
      <c r="C4421" t="s">
        <v>64</v>
      </c>
      <c r="D4421">
        <v>12</v>
      </c>
      <c r="E4421" s="8">
        <v>0.2727</v>
      </c>
      <c r="F4421" s="8">
        <v>0.54549999999999998</v>
      </c>
      <c r="G4421" s="8">
        <v>9.0899999999999995E-2</v>
      </c>
      <c r="H4421" s="8">
        <v>9.0899999999999995E-2</v>
      </c>
    </row>
    <row r="4422" spans="1:8" x14ac:dyDescent="0.3">
      <c r="A4422" s="22" t="s">
        <v>68</v>
      </c>
      <c r="B4422">
        <v>1</v>
      </c>
      <c r="C4422" t="s">
        <v>64</v>
      </c>
      <c r="D4422">
        <v>12</v>
      </c>
      <c r="H4422" s="8">
        <v>1</v>
      </c>
    </row>
    <row r="4424" spans="1:8" ht="72" x14ac:dyDescent="0.3">
      <c r="A4424" s="22" t="s">
        <v>1027</v>
      </c>
    </row>
    <row r="4425" spans="1:8" x14ac:dyDescent="0.3">
      <c r="A4425" s="22" t="s">
        <v>66</v>
      </c>
      <c r="B4425" t="s">
        <v>62</v>
      </c>
      <c r="C4425" t="s">
        <v>57</v>
      </c>
      <c r="D4425" t="s">
        <v>63</v>
      </c>
      <c r="E4425" t="s">
        <v>815</v>
      </c>
      <c r="F4425" t="s">
        <v>816</v>
      </c>
      <c r="G4425" t="s">
        <v>817</v>
      </c>
      <c r="H4425" t="s">
        <v>833</v>
      </c>
    </row>
    <row r="4426" spans="1:8" x14ac:dyDescent="0.3">
      <c r="A4426" s="22" t="s">
        <v>67</v>
      </c>
      <c r="B4426">
        <v>12</v>
      </c>
      <c r="C4426" t="s">
        <v>64</v>
      </c>
      <c r="D4426">
        <v>12</v>
      </c>
      <c r="E4426" s="8">
        <v>0.25</v>
      </c>
      <c r="F4426" s="8">
        <v>0.5</v>
      </c>
      <c r="G4426" s="8">
        <v>8.3299999999999999E-2</v>
      </c>
      <c r="H4426" s="8">
        <v>0.16669999999999999</v>
      </c>
    </row>
    <row r="4428" spans="1:8" ht="57.6" x14ac:dyDescent="0.3">
      <c r="A4428" s="22" t="s">
        <v>1028</v>
      </c>
    </row>
    <row r="4429" spans="1:8" x14ac:dyDescent="0.3">
      <c r="A4429" s="22" t="s">
        <v>66</v>
      </c>
      <c r="B4429" t="s">
        <v>62</v>
      </c>
      <c r="C4429" t="s">
        <v>57</v>
      </c>
      <c r="D4429" t="s">
        <v>63</v>
      </c>
      <c r="E4429" t="s">
        <v>815</v>
      </c>
      <c r="F4429" t="s">
        <v>816</v>
      </c>
      <c r="G4429" t="s">
        <v>817</v>
      </c>
      <c r="H4429" t="s">
        <v>833</v>
      </c>
    </row>
    <row r="4430" spans="1:8" x14ac:dyDescent="0.3">
      <c r="A4430" s="22" t="s">
        <v>67</v>
      </c>
      <c r="B4430">
        <v>7</v>
      </c>
      <c r="C4430" t="s">
        <v>64</v>
      </c>
      <c r="D4430">
        <v>12</v>
      </c>
      <c r="E4430" s="8">
        <v>0.42859999999999998</v>
      </c>
      <c r="F4430" s="8">
        <v>0.28570000000000001</v>
      </c>
      <c r="G4430" s="8">
        <v>0.1429</v>
      </c>
      <c r="H4430" s="8">
        <v>0.1429</v>
      </c>
    </row>
    <row r="4431" spans="1:8" x14ac:dyDescent="0.3">
      <c r="A4431" s="22" t="s">
        <v>68</v>
      </c>
      <c r="B4431">
        <v>5</v>
      </c>
      <c r="C4431" t="s">
        <v>64</v>
      </c>
      <c r="D4431">
        <v>12</v>
      </c>
      <c r="F4431" s="8">
        <v>0.8</v>
      </c>
      <c r="H4431" s="8">
        <v>0.2</v>
      </c>
    </row>
    <row r="4433" spans="1:8" ht="57.6" x14ac:dyDescent="0.3">
      <c r="A4433" s="22" t="s">
        <v>1029</v>
      </c>
    </row>
    <row r="4434" spans="1:8" x14ac:dyDescent="0.3">
      <c r="A4434" s="22" t="s">
        <v>66</v>
      </c>
      <c r="B4434" t="s">
        <v>62</v>
      </c>
      <c r="C4434" t="s">
        <v>57</v>
      </c>
      <c r="D4434" t="s">
        <v>63</v>
      </c>
      <c r="E4434" t="s">
        <v>815</v>
      </c>
      <c r="F4434" t="s">
        <v>816</v>
      </c>
      <c r="G4434" t="s">
        <v>817</v>
      </c>
      <c r="H4434" t="s">
        <v>833</v>
      </c>
    </row>
    <row r="4435" spans="1:8" x14ac:dyDescent="0.3">
      <c r="A4435" s="22" t="s">
        <v>67</v>
      </c>
      <c r="B4435">
        <v>11</v>
      </c>
      <c r="C4435" t="s">
        <v>64</v>
      </c>
      <c r="D4435">
        <v>12</v>
      </c>
      <c r="E4435" s="8">
        <v>0.2727</v>
      </c>
      <c r="F4435" s="8">
        <v>0.54549999999999998</v>
      </c>
      <c r="G4435" s="8">
        <v>9.0899999999999995E-2</v>
      </c>
      <c r="H4435" s="8">
        <v>9.0899999999999995E-2</v>
      </c>
    </row>
    <row r="4436" spans="1:8" x14ac:dyDescent="0.3">
      <c r="A4436" s="22" t="s">
        <v>68</v>
      </c>
      <c r="B4436">
        <v>1</v>
      </c>
      <c r="C4436" t="s">
        <v>64</v>
      </c>
      <c r="D4436">
        <v>12</v>
      </c>
      <c r="H4436" s="8">
        <v>1</v>
      </c>
    </row>
    <row r="4438" spans="1:8" ht="43.2" x14ac:dyDescent="0.3">
      <c r="A4438" s="27" t="s">
        <v>1030</v>
      </c>
    </row>
    <row r="4439" spans="1:8" x14ac:dyDescent="0.3">
      <c r="A4439" s="22" t="s">
        <v>66</v>
      </c>
      <c r="B4439" t="s">
        <v>62</v>
      </c>
      <c r="C4439" t="s">
        <v>57</v>
      </c>
      <c r="D4439" t="s">
        <v>63</v>
      </c>
      <c r="E4439" t="s">
        <v>815</v>
      </c>
      <c r="F4439" t="s">
        <v>816</v>
      </c>
      <c r="G4439" t="s">
        <v>817</v>
      </c>
      <c r="H4439" t="s">
        <v>833</v>
      </c>
    </row>
    <row r="4440" spans="1:8" x14ac:dyDescent="0.3">
      <c r="A4440" s="22" t="s">
        <v>81</v>
      </c>
      <c r="B4440">
        <v>1</v>
      </c>
      <c r="C4440" t="s">
        <v>64</v>
      </c>
      <c r="D4440">
        <v>12</v>
      </c>
      <c r="F4440" s="8">
        <v>1</v>
      </c>
    </row>
    <row r="4441" spans="1:8" x14ac:dyDescent="0.3">
      <c r="A4441" s="22" t="s">
        <v>82</v>
      </c>
      <c r="B4441">
        <v>7</v>
      </c>
      <c r="C4441" t="s">
        <v>64</v>
      </c>
      <c r="D4441">
        <v>12</v>
      </c>
      <c r="E4441" s="8">
        <v>0.28570000000000001</v>
      </c>
      <c r="F4441" s="8">
        <v>0.42859999999999998</v>
      </c>
      <c r="G4441" s="8">
        <v>0.1429</v>
      </c>
      <c r="H4441" s="8">
        <v>0.1429</v>
      </c>
    </row>
    <row r="4442" spans="1:8" x14ac:dyDescent="0.3">
      <c r="A4442" s="22" t="s">
        <v>83</v>
      </c>
      <c r="B4442">
        <v>3</v>
      </c>
      <c r="C4442" t="s">
        <v>64</v>
      </c>
      <c r="D4442">
        <v>12</v>
      </c>
      <c r="E4442" s="8">
        <v>0.33329999999999999</v>
      </c>
      <c r="F4442" s="8">
        <v>0.66669999999999996</v>
      </c>
    </row>
    <row r="4443" spans="1:8" x14ac:dyDescent="0.3">
      <c r="A4443" s="22" t="s">
        <v>84</v>
      </c>
      <c r="B4443">
        <v>1</v>
      </c>
      <c r="C4443" t="s">
        <v>64</v>
      </c>
      <c r="D4443">
        <v>12</v>
      </c>
      <c r="H4443" s="8">
        <v>1</v>
      </c>
    </row>
    <row r="4445" spans="1:8" ht="43.2" x14ac:dyDescent="0.3">
      <c r="A4445" s="27" t="s">
        <v>1031</v>
      </c>
    </row>
    <row r="4446" spans="1:8" x14ac:dyDescent="0.3">
      <c r="A4446" s="22" t="s">
        <v>62</v>
      </c>
      <c r="B4446" t="s">
        <v>57</v>
      </c>
      <c r="C4446" t="s">
        <v>63</v>
      </c>
      <c r="D4446" t="s">
        <v>816</v>
      </c>
      <c r="E4446" t="s">
        <v>817</v>
      </c>
      <c r="F4446" t="s">
        <v>833</v>
      </c>
    </row>
    <row r="4447" spans="1:8" x14ac:dyDescent="0.3">
      <c r="A4447" s="22">
        <v>8</v>
      </c>
      <c r="B4447" t="s">
        <v>64</v>
      </c>
      <c r="C4447">
        <v>8</v>
      </c>
      <c r="D4447" s="8">
        <v>0.25</v>
      </c>
      <c r="E4447" s="8">
        <v>0.25</v>
      </c>
      <c r="F4447" s="8">
        <v>0.5</v>
      </c>
    </row>
    <row r="4449" spans="1:7" ht="57.6" x14ac:dyDescent="0.3">
      <c r="A4449" s="22" t="s">
        <v>1032</v>
      </c>
    </row>
    <row r="4450" spans="1:7" x14ac:dyDescent="0.3">
      <c r="A4450" s="22" t="s">
        <v>66</v>
      </c>
      <c r="B4450" t="s">
        <v>62</v>
      </c>
      <c r="C4450" t="s">
        <v>57</v>
      </c>
      <c r="D4450" t="s">
        <v>63</v>
      </c>
      <c r="E4450" t="s">
        <v>816</v>
      </c>
      <c r="F4450" t="s">
        <v>817</v>
      </c>
      <c r="G4450" t="s">
        <v>833</v>
      </c>
    </row>
    <row r="4451" spans="1:7" x14ac:dyDescent="0.3">
      <c r="A4451" s="22" t="s">
        <v>67</v>
      </c>
      <c r="B4451">
        <v>8</v>
      </c>
      <c r="C4451" t="s">
        <v>64</v>
      </c>
      <c r="D4451">
        <v>8</v>
      </c>
      <c r="E4451" s="8">
        <v>0.25</v>
      </c>
      <c r="F4451" s="8">
        <v>0.25</v>
      </c>
      <c r="G4451" s="8">
        <v>0.5</v>
      </c>
    </row>
    <row r="4453" spans="1:7" x14ac:dyDescent="0.3">
      <c r="A4453"/>
    </row>
    <row r="4454" spans="1:7" x14ac:dyDescent="0.3">
      <c r="A4454"/>
    </row>
    <row r="4455" spans="1:7" x14ac:dyDescent="0.3">
      <c r="A4455"/>
    </row>
    <row r="4457" spans="1:7" ht="57.6" x14ac:dyDescent="0.3">
      <c r="A4457" s="22" t="s">
        <v>1033</v>
      </c>
    </row>
    <row r="4458" spans="1:7" x14ac:dyDescent="0.3">
      <c r="A4458" s="22" t="s">
        <v>66</v>
      </c>
      <c r="B4458" t="s">
        <v>62</v>
      </c>
      <c r="C4458" t="s">
        <v>57</v>
      </c>
      <c r="D4458" t="s">
        <v>63</v>
      </c>
      <c r="E4458" t="s">
        <v>816</v>
      </c>
      <c r="F4458" t="s">
        <v>817</v>
      </c>
      <c r="G4458" t="s">
        <v>833</v>
      </c>
    </row>
    <row r="4459" spans="1:7" x14ac:dyDescent="0.3">
      <c r="A4459" s="22" t="s">
        <v>67</v>
      </c>
      <c r="B4459">
        <v>8</v>
      </c>
      <c r="C4459" t="s">
        <v>64</v>
      </c>
      <c r="D4459">
        <v>8</v>
      </c>
      <c r="E4459" s="8">
        <v>0.25</v>
      </c>
      <c r="F4459" s="8">
        <v>0.25</v>
      </c>
      <c r="G4459" s="8">
        <v>0.5</v>
      </c>
    </row>
    <row r="4461" spans="1:7" ht="57.6" x14ac:dyDescent="0.3">
      <c r="A4461" s="22" t="s">
        <v>1034</v>
      </c>
    </row>
    <row r="4462" spans="1:7" x14ac:dyDescent="0.3">
      <c r="A4462" s="22" t="s">
        <v>66</v>
      </c>
      <c r="B4462" t="s">
        <v>62</v>
      </c>
      <c r="C4462" t="s">
        <v>57</v>
      </c>
      <c r="D4462" t="s">
        <v>63</v>
      </c>
      <c r="E4462" t="s">
        <v>816</v>
      </c>
      <c r="F4462" t="s">
        <v>817</v>
      </c>
      <c r="G4462" t="s">
        <v>833</v>
      </c>
    </row>
    <row r="4463" spans="1:7" x14ac:dyDescent="0.3">
      <c r="A4463" s="22" t="s">
        <v>67</v>
      </c>
      <c r="B4463">
        <v>8</v>
      </c>
      <c r="C4463" t="s">
        <v>64</v>
      </c>
      <c r="D4463">
        <v>8</v>
      </c>
      <c r="E4463" s="8">
        <v>0.25</v>
      </c>
      <c r="F4463" s="8">
        <v>0.25</v>
      </c>
      <c r="G4463" s="8">
        <v>0.5</v>
      </c>
    </row>
    <row r="4465" spans="1:7" ht="57.6" x14ac:dyDescent="0.3">
      <c r="A4465" s="22" t="s">
        <v>1035</v>
      </c>
    </row>
    <row r="4466" spans="1:7" x14ac:dyDescent="0.3">
      <c r="A4466" s="22" t="s">
        <v>66</v>
      </c>
      <c r="B4466" t="s">
        <v>62</v>
      </c>
      <c r="C4466" t="s">
        <v>57</v>
      </c>
      <c r="D4466" t="s">
        <v>63</v>
      </c>
      <c r="E4466" t="s">
        <v>816</v>
      </c>
      <c r="F4466" t="s">
        <v>817</v>
      </c>
      <c r="G4466" t="s">
        <v>833</v>
      </c>
    </row>
    <row r="4467" spans="1:7" x14ac:dyDescent="0.3">
      <c r="A4467" s="22" t="s">
        <v>67</v>
      </c>
      <c r="B4467">
        <v>8</v>
      </c>
      <c r="C4467" t="s">
        <v>64</v>
      </c>
      <c r="D4467">
        <v>8</v>
      </c>
      <c r="E4467" s="8">
        <v>0.25</v>
      </c>
      <c r="F4467" s="8">
        <v>0.25</v>
      </c>
      <c r="G4467" s="8">
        <v>0.5</v>
      </c>
    </row>
    <row r="4469" spans="1:7" ht="57.6" x14ac:dyDescent="0.3">
      <c r="A4469" s="22" t="s">
        <v>1036</v>
      </c>
    </row>
    <row r="4470" spans="1:7" x14ac:dyDescent="0.3">
      <c r="A4470" s="22" t="s">
        <v>66</v>
      </c>
      <c r="B4470" t="s">
        <v>62</v>
      </c>
      <c r="C4470" t="s">
        <v>57</v>
      </c>
      <c r="D4470" t="s">
        <v>63</v>
      </c>
      <c r="E4470" t="s">
        <v>816</v>
      </c>
      <c r="F4470" t="s">
        <v>817</v>
      </c>
      <c r="G4470" t="s">
        <v>833</v>
      </c>
    </row>
    <row r="4471" spans="1:7" x14ac:dyDescent="0.3">
      <c r="A4471" s="22" t="s">
        <v>67</v>
      </c>
      <c r="B4471">
        <v>1</v>
      </c>
      <c r="C4471" t="s">
        <v>64</v>
      </c>
      <c r="D4471">
        <v>8</v>
      </c>
      <c r="E4471" s="8">
        <v>1</v>
      </c>
    </row>
    <row r="4472" spans="1:7" x14ac:dyDescent="0.3">
      <c r="A4472" s="22" t="s">
        <v>68</v>
      </c>
      <c r="B4472">
        <v>7</v>
      </c>
      <c r="C4472" t="s">
        <v>64</v>
      </c>
      <c r="D4472">
        <v>8</v>
      </c>
      <c r="E4472" s="8">
        <v>0.1429</v>
      </c>
      <c r="F4472" s="8">
        <v>0.28570000000000001</v>
      </c>
      <c r="G4472" s="8">
        <v>0.57140000000000002</v>
      </c>
    </row>
    <row r="4474" spans="1:7" ht="57.6" x14ac:dyDescent="0.3">
      <c r="A4474" s="22" t="s">
        <v>1037</v>
      </c>
    </row>
    <row r="4475" spans="1:7" x14ac:dyDescent="0.3">
      <c r="A4475" s="22" t="s">
        <v>66</v>
      </c>
      <c r="B4475" t="s">
        <v>62</v>
      </c>
      <c r="C4475" t="s">
        <v>57</v>
      </c>
      <c r="D4475" t="s">
        <v>63</v>
      </c>
      <c r="E4475" t="s">
        <v>816</v>
      </c>
      <c r="F4475" t="s">
        <v>817</v>
      </c>
      <c r="G4475" t="s">
        <v>833</v>
      </c>
    </row>
    <row r="4476" spans="1:7" x14ac:dyDescent="0.3">
      <c r="A4476" s="22" t="s">
        <v>67</v>
      </c>
      <c r="B4476">
        <v>6</v>
      </c>
      <c r="C4476" t="s">
        <v>64</v>
      </c>
      <c r="D4476">
        <v>8</v>
      </c>
      <c r="E4476" s="8">
        <v>0.16669999999999999</v>
      </c>
      <c r="F4476" s="8">
        <v>0.33329999999999999</v>
      </c>
      <c r="G4476" s="8">
        <v>0.5</v>
      </c>
    </row>
    <row r="4477" spans="1:7" x14ac:dyDescent="0.3">
      <c r="A4477" s="22" t="s">
        <v>68</v>
      </c>
      <c r="B4477">
        <v>2</v>
      </c>
      <c r="C4477" t="s">
        <v>64</v>
      </c>
      <c r="D4477">
        <v>8</v>
      </c>
      <c r="E4477" s="8">
        <v>0.5</v>
      </c>
      <c r="G4477" s="8">
        <v>0.5</v>
      </c>
    </row>
    <row r="4479" spans="1:7" ht="57.6" x14ac:dyDescent="0.3">
      <c r="A4479" s="22" t="s">
        <v>1038</v>
      </c>
    </row>
    <row r="4480" spans="1:7" x14ac:dyDescent="0.3">
      <c r="A4480" s="22" t="s">
        <v>66</v>
      </c>
      <c r="B4480" t="s">
        <v>62</v>
      </c>
      <c r="C4480" t="s">
        <v>57</v>
      </c>
      <c r="D4480" t="s">
        <v>63</v>
      </c>
      <c r="E4480" t="s">
        <v>816</v>
      </c>
      <c r="F4480" t="s">
        <v>817</v>
      </c>
      <c r="G4480" t="s">
        <v>833</v>
      </c>
    </row>
    <row r="4481" spans="1:7" x14ac:dyDescent="0.3">
      <c r="A4481" s="22" t="s">
        <v>67</v>
      </c>
      <c r="B4481">
        <v>3</v>
      </c>
      <c r="C4481" t="s">
        <v>64</v>
      </c>
      <c r="D4481">
        <v>8</v>
      </c>
      <c r="F4481" s="8">
        <v>0.33329999999999999</v>
      </c>
      <c r="G4481" s="8">
        <v>0.66669999999999996</v>
      </c>
    </row>
    <row r="4482" spans="1:7" x14ac:dyDescent="0.3">
      <c r="A4482" s="22" t="s">
        <v>68</v>
      </c>
      <c r="B4482">
        <v>5</v>
      </c>
      <c r="C4482" t="s">
        <v>64</v>
      </c>
      <c r="D4482">
        <v>8</v>
      </c>
      <c r="E4482" s="8">
        <v>0.4</v>
      </c>
      <c r="F4482" s="8">
        <v>0.2</v>
      </c>
      <c r="G4482" s="8">
        <v>0.4</v>
      </c>
    </row>
    <row r="4484" spans="1:7" ht="57.6" x14ac:dyDescent="0.3">
      <c r="A4484" s="22" t="s">
        <v>1039</v>
      </c>
    </row>
    <row r="4485" spans="1:7" x14ac:dyDescent="0.3">
      <c r="A4485" s="22" t="s">
        <v>66</v>
      </c>
      <c r="B4485" t="s">
        <v>62</v>
      </c>
      <c r="C4485" t="s">
        <v>57</v>
      </c>
      <c r="D4485" t="s">
        <v>63</v>
      </c>
      <c r="E4485" t="s">
        <v>816</v>
      </c>
      <c r="F4485" t="s">
        <v>817</v>
      </c>
      <c r="G4485" t="s">
        <v>833</v>
      </c>
    </row>
    <row r="4486" spans="1:7" x14ac:dyDescent="0.3">
      <c r="A4486" s="22" t="s">
        <v>67</v>
      </c>
      <c r="B4486">
        <v>4</v>
      </c>
      <c r="C4486" t="s">
        <v>64</v>
      </c>
      <c r="D4486">
        <v>8</v>
      </c>
      <c r="E4486" s="8">
        <v>0.25</v>
      </c>
      <c r="F4486" s="8">
        <v>0.25</v>
      </c>
      <c r="G4486" s="8">
        <v>0.5</v>
      </c>
    </row>
    <row r="4487" spans="1:7" x14ac:dyDescent="0.3">
      <c r="A4487" s="22" t="s">
        <v>68</v>
      </c>
      <c r="B4487">
        <v>4</v>
      </c>
      <c r="C4487" t="s">
        <v>64</v>
      </c>
      <c r="D4487">
        <v>8</v>
      </c>
      <c r="E4487" s="8">
        <v>0.25</v>
      </c>
      <c r="F4487" s="8">
        <v>0.25</v>
      </c>
      <c r="G4487" s="8">
        <v>0.5</v>
      </c>
    </row>
    <row r="4489" spans="1:7" ht="72" x14ac:dyDescent="0.3">
      <c r="A4489" s="22" t="s">
        <v>1040</v>
      </c>
    </row>
    <row r="4490" spans="1:7" x14ac:dyDescent="0.3">
      <c r="A4490" s="22" t="s">
        <v>66</v>
      </c>
      <c r="B4490" t="s">
        <v>62</v>
      </c>
      <c r="C4490" t="s">
        <v>57</v>
      </c>
      <c r="D4490" t="s">
        <v>63</v>
      </c>
      <c r="E4490" t="s">
        <v>816</v>
      </c>
      <c r="F4490" t="s">
        <v>817</v>
      </c>
      <c r="G4490" t="s">
        <v>833</v>
      </c>
    </row>
    <row r="4491" spans="1:7" x14ac:dyDescent="0.3">
      <c r="A4491" s="22" t="s">
        <v>67</v>
      </c>
      <c r="B4491">
        <v>7</v>
      </c>
      <c r="C4491" t="s">
        <v>64</v>
      </c>
      <c r="D4491">
        <v>8</v>
      </c>
      <c r="E4491" s="8">
        <v>0.28570000000000001</v>
      </c>
      <c r="F4491" s="8">
        <v>0.28570000000000001</v>
      </c>
      <c r="G4491" s="8">
        <v>0.42859999999999998</v>
      </c>
    </row>
    <row r="4492" spans="1:7" x14ac:dyDescent="0.3">
      <c r="A4492" s="22" t="s">
        <v>68</v>
      </c>
      <c r="B4492">
        <v>1</v>
      </c>
      <c r="C4492" t="s">
        <v>64</v>
      </c>
      <c r="D4492">
        <v>8</v>
      </c>
      <c r="G4492" s="8">
        <v>1</v>
      </c>
    </row>
    <row r="4494" spans="1:7" ht="72" x14ac:dyDescent="0.3">
      <c r="A4494" s="22" t="s">
        <v>1041</v>
      </c>
    </row>
    <row r="4495" spans="1:7" x14ac:dyDescent="0.3">
      <c r="A4495" s="22" t="s">
        <v>66</v>
      </c>
      <c r="B4495" t="s">
        <v>62</v>
      </c>
      <c r="C4495" t="s">
        <v>57</v>
      </c>
      <c r="D4495" t="s">
        <v>63</v>
      </c>
      <c r="E4495" t="s">
        <v>816</v>
      </c>
      <c r="F4495" t="s">
        <v>817</v>
      </c>
      <c r="G4495" t="s">
        <v>833</v>
      </c>
    </row>
    <row r="4496" spans="1:7" x14ac:dyDescent="0.3">
      <c r="A4496" s="22" t="s">
        <v>67</v>
      </c>
      <c r="B4496">
        <v>8</v>
      </c>
      <c r="C4496" t="s">
        <v>64</v>
      </c>
      <c r="D4496">
        <v>8</v>
      </c>
      <c r="E4496" s="8">
        <v>0.25</v>
      </c>
      <c r="F4496" s="8">
        <v>0.25</v>
      </c>
      <c r="G4496" s="8">
        <v>0.5</v>
      </c>
    </row>
    <row r="4498" spans="1:7" ht="57.6" x14ac:dyDescent="0.3">
      <c r="A4498" s="22" t="s">
        <v>1042</v>
      </c>
    </row>
    <row r="4499" spans="1:7" x14ac:dyDescent="0.3">
      <c r="A4499" s="22" t="s">
        <v>66</v>
      </c>
      <c r="B4499" t="s">
        <v>62</v>
      </c>
      <c r="C4499" t="s">
        <v>57</v>
      </c>
      <c r="D4499" t="s">
        <v>63</v>
      </c>
      <c r="E4499" t="s">
        <v>816</v>
      </c>
      <c r="F4499" t="s">
        <v>817</v>
      </c>
      <c r="G4499" t="s">
        <v>833</v>
      </c>
    </row>
    <row r="4500" spans="1:7" x14ac:dyDescent="0.3">
      <c r="A4500" s="22" t="s">
        <v>67</v>
      </c>
      <c r="B4500">
        <v>6</v>
      </c>
      <c r="C4500" t="s">
        <v>64</v>
      </c>
      <c r="D4500">
        <v>8</v>
      </c>
      <c r="E4500" s="8">
        <v>0.33329999999999999</v>
      </c>
      <c r="F4500" s="8">
        <v>0.16669999999999999</v>
      </c>
      <c r="G4500" s="8">
        <v>0.5</v>
      </c>
    </row>
    <row r="4501" spans="1:7" x14ac:dyDescent="0.3">
      <c r="A4501" s="22" t="s">
        <v>68</v>
      </c>
      <c r="B4501">
        <v>2</v>
      </c>
      <c r="C4501" t="s">
        <v>64</v>
      </c>
      <c r="D4501">
        <v>8</v>
      </c>
      <c r="F4501" s="8">
        <v>0.5</v>
      </c>
      <c r="G4501" s="8">
        <v>0.5</v>
      </c>
    </row>
    <row r="4503" spans="1:7" ht="57.6" x14ac:dyDescent="0.3">
      <c r="A4503" s="22" t="s">
        <v>1043</v>
      </c>
    </row>
    <row r="4504" spans="1:7" x14ac:dyDescent="0.3">
      <c r="A4504" s="22" t="s">
        <v>66</v>
      </c>
      <c r="B4504" t="s">
        <v>62</v>
      </c>
      <c r="C4504" t="s">
        <v>57</v>
      </c>
      <c r="D4504" t="s">
        <v>63</v>
      </c>
      <c r="E4504" t="s">
        <v>816</v>
      </c>
      <c r="F4504" t="s">
        <v>817</v>
      </c>
      <c r="G4504" t="s">
        <v>833</v>
      </c>
    </row>
    <row r="4505" spans="1:7" x14ac:dyDescent="0.3">
      <c r="A4505" s="22" t="s">
        <v>67</v>
      </c>
      <c r="B4505">
        <v>8</v>
      </c>
      <c r="C4505" t="s">
        <v>64</v>
      </c>
      <c r="D4505">
        <v>8</v>
      </c>
      <c r="E4505" s="8">
        <v>0.25</v>
      </c>
      <c r="F4505" s="8">
        <v>0.25</v>
      </c>
      <c r="G4505" s="8">
        <v>0.5</v>
      </c>
    </row>
    <row r="4507" spans="1:7" ht="43.2" x14ac:dyDescent="0.3">
      <c r="A4507" s="27" t="s">
        <v>1044</v>
      </c>
    </row>
    <row r="4508" spans="1:7" x14ac:dyDescent="0.3">
      <c r="A4508" s="22" t="s">
        <v>66</v>
      </c>
      <c r="B4508" t="s">
        <v>62</v>
      </c>
      <c r="C4508" t="s">
        <v>57</v>
      </c>
      <c r="D4508" t="s">
        <v>63</v>
      </c>
      <c r="E4508" t="s">
        <v>816</v>
      </c>
      <c r="F4508" t="s">
        <v>817</v>
      </c>
      <c r="G4508" t="s">
        <v>833</v>
      </c>
    </row>
    <row r="4509" spans="1:7" x14ac:dyDescent="0.3">
      <c r="A4509" s="22" t="s">
        <v>81</v>
      </c>
      <c r="B4509">
        <v>4</v>
      </c>
      <c r="C4509" t="s">
        <v>64</v>
      </c>
      <c r="D4509">
        <v>8</v>
      </c>
      <c r="E4509" s="8">
        <v>0.5</v>
      </c>
      <c r="F4509" s="8">
        <v>0.25</v>
      </c>
      <c r="G4509" s="8">
        <v>0.25</v>
      </c>
    </row>
    <row r="4510" spans="1:7" x14ac:dyDescent="0.3">
      <c r="A4510" s="22" t="s">
        <v>82</v>
      </c>
      <c r="B4510">
        <v>2</v>
      </c>
      <c r="C4510" t="s">
        <v>64</v>
      </c>
      <c r="D4510">
        <v>8</v>
      </c>
      <c r="G4510" s="8">
        <v>1</v>
      </c>
    </row>
    <row r="4511" spans="1:7" x14ac:dyDescent="0.3">
      <c r="A4511" s="22" t="s">
        <v>83</v>
      </c>
      <c r="B4511">
        <v>1</v>
      </c>
      <c r="C4511" t="s">
        <v>64</v>
      </c>
      <c r="D4511">
        <v>8</v>
      </c>
      <c r="F4511" s="8">
        <v>1</v>
      </c>
    </row>
    <row r="4512" spans="1:7" x14ac:dyDescent="0.3">
      <c r="A4512" s="22" t="s">
        <v>84</v>
      </c>
      <c r="B4512">
        <v>1</v>
      </c>
      <c r="C4512" t="s">
        <v>64</v>
      </c>
      <c r="D4512">
        <v>8</v>
      </c>
      <c r="G4512" s="8">
        <v>1</v>
      </c>
    </row>
    <row r="4514" spans="1:7" ht="43.2" x14ac:dyDescent="0.3">
      <c r="A4514" s="27" t="s">
        <v>1045</v>
      </c>
    </row>
    <row r="4515" spans="1:7" x14ac:dyDescent="0.3">
      <c r="A4515" s="22" t="s">
        <v>62</v>
      </c>
      <c r="B4515" t="s">
        <v>57</v>
      </c>
      <c r="C4515" t="s">
        <v>63</v>
      </c>
      <c r="D4515" t="s">
        <v>815</v>
      </c>
      <c r="E4515" t="s">
        <v>816</v>
      </c>
      <c r="F4515" t="s">
        <v>833</v>
      </c>
    </row>
    <row r="4516" spans="1:7" x14ac:dyDescent="0.3">
      <c r="A4516" s="22">
        <v>4</v>
      </c>
      <c r="B4516" t="s">
        <v>64</v>
      </c>
      <c r="C4516">
        <v>4</v>
      </c>
      <c r="D4516" s="8">
        <v>0.5</v>
      </c>
      <c r="E4516" s="8">
        <v>0.25</v>
      </c>
      <c r="F4516" s="8">
        <v>0.25</v>
      </c>
    </row>
    <row r="4518" spans="1:7" ht="57.6" x14ac:dyDescent="0.3">
      <c r="A4518" s="22" t="s">
        <v>1046</v>
      </c>
    </row>
    <row r="4519" spans="1:7" x14ac:dyDescent="0.3">
      <c r="A4519" s="22" t="s">
        <v>66</v>
      </c>
      <c r="B4519" t="s">
        <v>62</v>
      </c>
      <c r="C4519" t="s">
        <v>57</v>
      </c>
      <c r="D4519" t="s">
        <v>63</v>
      </c>
      <c r="E4519" t="s">
        <v>815</v>
      </c>
      <c r="F4519" t="s">
        <v>816</v>
      </c>
      <c r="G4519" t="s">
        <v>833</v>
      </c>
    </row>
    <row r="4520" spans="1:7" x14ac:dyDescent="0.3">
      <c r="A4520" s="22" t="s">
        <v>67</v>
      </c>
      <c r="B4520">
        <v>4</v>
      </c>
      <c r="C4520" t="s">
        <v>64</v>
      </c>
      <c r="D4520">
        <v>4</v>
      </c>
      <c r="E4520" s="8">
        <v>0.5</v>
      </c>
      <c r="F4520" s="8">
        <v>0.25</v>
      </c>
      <c r="G4520" s="8">
        <v>0.25</v>
      </c>
    </row>
    <row r="4522" spans="1:7" x14ac:dyDescent="0.3">
      <c r="A4522"/>
    </row>
    <row r="4523" spans="1:7" x14ac:dyDescent="0.3">
      <c r="A4523"/>
    </row>
    <row r="4524" spans="1:7" x14ac:dyDescent="0.3">
      <c r="A4524"/>
    </row>
    <row r="4526" spans="1:7" ht="57.6" x14ac:dyDescent="0.3">
      <c r="A4526" s="22" t="s">
        <v>1047</v>
      </c>
    </row>
    <row r="4527" spans="1:7" x14ac:dyDescent="0.3">
      <c r="A4527" s="22" t="s">
        <v>66</v>
      </c>
      <c r="B4527" t="s">
        <v>62</v>
      </c>
      <c r="C4527" t="s">
        <v>57</v>
      </c>
      <c r="D4527" t="s">
        <v>63</v>
      </c>
      <c r="E4527" t="s">
        <v>815</v>
      </c>
      <c r="F4527" t="s">
        <v>816</v>
      </c>
      <c r="G4527" t="s">
        <v>833</v>
      </c>
    </row>
    <row r="4528" spans="1:7" x14ac:dyDescent="0.3">
      <c r="A4528" s="22" t="s">
        <v>67</v>
      </c>
      <c r="B4528">
        <v>4</v>
      </c>
      <c r="C4528" t="s">
        <v>64</v>
      </c>
      <c r="D4528">
        <v>4</v>
      </c>
      <c r="E4528" s="8">
        <v>0.5</v>
      </c>
      <c r="F4528" s="8">
        <v>0.25</v>
      </c>
      <c r="G4528" s="8">
        <v>0.25</v>
      </c>
    </row>
    <row r="4530" spans="1:7" ht="57.6" x14ac:dyDescent="0.3">
      <c r="A4530" s="22" t="s">
        <v>1048</v>
      </c>
    </row>
    <row r="4531" spans="1:7" x14ac:dyDescent="0.3">
      <c r="A4531" s="22" t="s">
        <v>66</v>
      </c>
      <c r="B4531" t="s">
        <v>62</v>
      </c>
      <c r="C4531" t="s">
        <v>57</v>
      </c>
      <c r="D4531" t="s">
        <v>63</v>
      </c>
      <c r="E4531" t="s">
        <v>815</v>
      </c>
      <c r="F4531" t="s">
        <v>816</v>
      </c>
      <c r="G4531" t="s">
        <v>833</v>
      </c>
    </row>
    <row r="4532" spans="1:7" x14ac:dyDescent="0.3">
      <c r="A4532" s="22" t="s">
        <v>67</v>
      </c>
      <c r="B4532">
        <v>4</v>
      </c>
      <c r="C4532" t="s">
        <v>64</v>
      </c>
      <c r="D4532">
        <v>4</v>
      </c>
      <c r="E4532" s="8">
        <v>0.5</v>
      </c>
      <c r="F4532" s="8">
        <v>0.25</v>
      </c>
      <c r="G4532" s="8">
        <v>0.25</v>
      </c>
    </row>
    <row r="4534" spans="1:7" ht="57.6" x14ac:dyDescent="0.3">
      <c r="A4534" s="22" t="s">
        <v>1049</v>
      </c>
    </row>
    <row r="4535" spans="1:7" x14ac:dyDescent="0.3">
      <c r="A4535" s="22" t="s">
        <v>66</v>
      </c>
      <c r="B4535" t="s">
        <v>62</v>
      </c>
      <c r="C4535" t="s">
        <v>57</v>
      </c>
      <c r="D4535" t="s">
        <v>63</v>
      </c>
      <c r="E4535" t="s">
        <v>815</v>
      </c>
      <c r="F4535" t="s">
        <v>816</v>
      </c>
      <c r="G4535" t="s">
        <v>833</v>
      </c>
    </row>
    <row r="4536" spans="1:7" x14ac:dyDescent="0.3">
      <c r="A4536" s="22" t="s">
        <v>67</v>
      </c>
      <c r="B4536">
        <v>4</v>
      </c>
      <c r="C4536" t="s">
        <v>64</v>
      </c>
      <c r="D4536">
        <v>4</v>
      </c>
      <c r="E4536" s="8">
        <v>0.5</v>
      </c>
      <c r="F4536" s="8">
        <v>0.25</v>
      </c>
      <c r="G4536" s="8">
        <v>0.25</v>
      </c>
    </row>
    <row r="4538" spans="1:7" ht="57.6" x14ac:dyDescent="0.3">
      <c r="A4538" s="22" t="s">
        <v>1050</v>
      </c>
    </row>
    <row r="4539" spans="1:7" x14ac:dyDescent="0.3">
      <c r="A4539" s="22" t="s">
        <v>66</v>
      </c>
      <c r="B4539" t="s">
        <v>62</v>
      </c>
      <c r="C4539" t="s">
        <v>57</v>
      </c>
      <c r="D4539" t="s">
        <v>63</v>
      </c>
      <c r="E4539" t="s">
        <v>815</v>
      </c>
      <c r="F4539" t="s">
        <v>816</v>
      </c>
      <c r="G4539" t="s">
        <v>833</v>
      </c>
    </row>
    <row r="4540" spans="1:7" x14ac:dyDescent="0.3">
      <c r="A4540" s="22" t="s">
        <v>68</v>
      </c>
      <c r="B4540">
        <v>4</v>
      </c>
      <c r="C4540" t="s">
        <v>64</v>
      </c>
      <c r="D4540">
        <v>4</v>
      </c>
      <c r="E4540" s="8">
        <v>0.5</v>
      </c>
      <c r="F4540" s="8">
        <v>0.25</v>
      </c>
      <c r="G4540" s="8">
        <v>0.25</v>
      </c>
    </row>
    <row r="4542" spans="1:7" ht="57.6" x14ac:dyDescent="0.3">
      <c r="A4542" s="22" t="s">
        <v>1051</v>
      </c>
    </row>
    <row r="4543" spans="1:7" x14ac:dyDescent="0.3">
      <c r="A4543" s="22" t="s">
        <v>66</v>
      </c>
      <c r="B4543" t="s">
        <v>62</v>
      </c>
      <c r="C4543" t="s">
        <v>57</v>
      </c>
      <c r="D4543" t="s">
        <v>63</v>
      </c>
      <c r="E4543" t="s">
        <v>815</v>
      </c>
      <c r="F4543" t="s">
        <v>816</v>
      </c>
      <c r="G4543" t="s">
        <v>833</v>
      </c>
    </row>
    <row r="4544" spans="1:7" x14ac:dyDescent="0.3">
      <c r="A4544" s="22" t="s">
        <v>67</v>
      </c>
      <c r="B4544">
        <v>3</v>
      </c>
      <c r="C4544" t="s">
        <v>64</v>
      </c>
      <c r="D4544">
        <v>4</v>
      </c>
      <c r="E4544" s="8">
        <v>0.66669999999999996</v>
      </c>
      <c r="F4544" s="8">
        <v>0.33329999999999999</v>
      </c>
    </row>
    <row r="4545" spans="1:7" x14ac:dyDescent="0.3">
      <c r="A4545" s="22" t="s">
        <v>68</v>
      </c>
      <c r="B4545">
        <v>1</v>
      </c>
      <c r="C4545" t="s">
        <v>64</v>
      </c>
      <c r="D4545">
        <v>4</v>
      </c>
      <c r="G4545" s="8">
        <v>1</v>
      </c>
    </row>
    <row r="4547" spans="1:7" ht="57.6" x14ac:dyDescent="0.3">
      <c r="A4547" s="22" t="s">
        <v>1052</v>
      </c>
    </row>
    <row r="4548" spans="1:7" x14ac:dyDescent="0.3">
      <c r="A4548" s="22" t="s">
        <v>66</v>
      </c>
      <c r="B4548" t="s">
        <v>62</v>
      </c>
      <c r="C4548" t="s">
        <v>57</v>
      </c>
      <c r="D4548" t="s">
        <v>63</v>
      </c>
      <c r="E4548" t="s">
        <v>815</v>
      </c>
      <c r="F4548" t="s">
        <v>816</v>
      </c>
      <c r="G4548" t="s">
        <v>833</v>
      </c>
    </row>
    <row r="4549" spans="1:7" x14ac:dyDescent="0.3">
      <c r="A4549" s="22" t="s">
        <v>67</v>
      </c>
      <c r="B4549">
        <v>4</v>
      </c>
      <c r="C4549" t="s">
        <v>64</v>
      </c>
      <c r="D4549">
        <v>4</v>
      </c>
      <c r="E4549" s="8">
        <v>0.5</v>
      </c>
      <c r="F4549" s="8">
        <v>0.25</v>
      </c>
      <c r="G4549" s="8">
        <v>0.25</v>
      </c>
    </row>
    <row r="4551" spans="1:7" ht="57.6" x14ac:dyDescent="0.3">
      <c r="A4551" s="22" t="s">
        <v>1053</v>
      </c>
    </row>
    <row r="4552" spans="1:7" x14ac:dyDescent="0.3">
      <c r="A4552" s="22" t="s">
        <v>66</v>
      </c>
      <c r="B4552" t="s">
        <v>62</v>
      </c>
      <c r="C4552" t="s">
        <v>57</v>
      </c>
      <c r="D4552" t="s">
        <v>63</v>
      </c>
      <c r="E4552" t="s">
        <v>815</v>
      </c>
      <c r="F4552" t="s">
        <v>816</v>
      </c>
      <c r="G4552" t="s">
        <v>833</v>
      </c>
    </row>
    <row r="4553" spans="1:7" x14ac:dyDescent="0.3">
      <c r="A4553" s="22" t="s">
        <v>67</v>
      </c>
      <c r="B4553">
        <v>3</v>
      </c>
      <c r="C4553" t="s">
        <v>64</v>
      </c>
      <c r="D4553">
        <v>4</v>
      </c>
      <c r="E4553" s="8">
        <v>0.33329999999999999</v>
      </c>
      <c r="F4553" s="8">
        <v>0.33329999999999999</v>
      </c>
      <c r="G4553" s="8">
        <v>0.33329999999999999</v>
      </c>
    </row>
    <row r="4554" spans="1:7" x14ac:dyDescent="0.3">
      <c r="A4554" s="22" t="s">
        <v>68</v>
      </c>
      <c r="B4554">
        <v>1</v>
      </c>
      <c r="C4554" t="s">
        <v>64</v>
      </c>
      <c r="D4554">
        <v>4</v>
      </c>
      <c r="E4554" s="8">
        <v>1</v>
      </c>
    </row>
    <row r="4556" spans="1:7" ht="72" x14ac:dyDescent="0.3">
      <c r="A4556" s="22" t="s">
        <v>1054</v>
      </c>
    </row>
    <row r="4557" spans="1:7" x14ac:dyDescent="0.3">
      <c r="A4557" s="22" t="s">
        <v>66</v>
      </c>
      <c r="B4557" t="s">
        <v>62</v>
      </c>
      <c r="C4557" t="s">
        <v>57</v>
      </c>
      <c r="D4557" t="s">
        <v>63</v>
      </c>
      <c r="E4557" t="s">
        <v>815</v>
      </c>
      <c r="F4557" t="s">
        <v>816</v>
      </c>
      <c r="G4557" t="s">
        <v>833</v>
      </c>
    </row>
    <row r="4558" spans="1:7" x14ac:dyDescent="0.3">
      <c r="A4558" s="22" t="s">
        <v>67</v>
      </c>
      <c r="B4558">
        <v>4</v>
      </c>
      <c r="C4558" t="s">
        <v>64</v>
      </c>
      <c r="D4558">
        <v>4</v>
      </c>
      <c r="E4558" s="8">
        <v>0.5</v>
      </c>
      <c r="F4558" s="8">
        <v>0.25</v>
      </c>
      <c r="G4558" s="8">
        <v>0.25</v>
      </c>
    </row>
    <row r="4560" spans="1:7" ht="72" x14ac:dyDescent="0.3">
      <c r="A4560" s="22" t="s">
        <v>1055</v>
      </c>
    </row>
    <row r="4561" spans="1:7" x14ac:dyDescent="0.3">
      <c r="A4561" s="22" t="s">
        <v>66</v>
      </c>
      <c r="B4561" t="s">
        <v>62</v>
      </c>
      <c r="C4561" t="s">
        <v>57</v>
      </c>
      <c r="D4561" t="s">
        <v>63</v>
      </c>
      <c r="E4561" t="s">
        <v>815</v>
      </c>
      <c r="F4561" t="s">
        <v>816</v>
      </c>
      <c r="G4561" t="s">
        <v>833</v>
      </c>
    </row>
    <row r="4562" spans="1:7" x14ac:dyDescent="0.3">
      <c r="A4562" s="22" t="s">
        <v>67</v>
      </c>
      <c r="B4562">
        <v>4</v>
      </c>
      <c r="C4562" t="s">
        <v>64</v>
      </c>
      <c r="D4562">
        <v>4</v>
      </c>
      <c r="E4562" s="8">
        <v>0.5</v>
      </c>
      <c r="F4562" s="8">
        <v>0.25</v>
      </c>
      <c r="G4562" s="8">
        <v>0.25</v>
      </c>
    </row>
    <row r="4564" spans="1:7" ht="57.6" x14ac:dyDescent="0.3">
      <c r="A4564" s="22" t="s">
        <v>1056</v>
      </c>
    </row>
    <row r="4565" spans="1:7" x14ac:dyDescent="0.3">
      <c r="A4565" s="22" t="s">
        <v>66</v>
      </c>
      <c r="B4565" t="s">
        <v>62</v>
      </c>
      <c r="C4565" t="s">
        <v>57</v>
      </c>
      <c r="D4565" t="s">
        <v>63</v>
      </c>
      <c r="E4565" t="s">
        <v>815</v>
      </c>
      <c r="F4565" t="s">
        <v>816</v>
      </c>
      <c r="G4565" t="s">
        <v>833</v>
      </c>
    </row>
    <row r="4566" spans="1:7" x14ac:dyDescent="0.3">
      <c r="A4566" s="22" t="s">
        <v>67</v>
      </c>
      <c r="B4566">
        <v>3</v>
      </c>
      <c r="C4566" t="s">
        <v>64</v>
      </c>
      <c r="D4566">
        <v>4</v>
      </c>
      <c r="E4566" s="8">
        <v>0.66669999999999996</v>
      </c>
      <c r="F4566" s="8">
        <v>0.33329999999999999</v>
      </c>
    </row>
    <row r="4567" spans="1:7" x14ac:dyDescent="0.3">
      <c r="A4567" s="22" t="s">
        <v>68</v>
      </c>
      <c r="B4567">
        <v>1</v>
      </c>
      <c r="C4567" t="s">
        <v>64</v>
      </c>
      <c r="D4567">
        <v>4</v>
      </c>
      <c r="G4567" s="8">
        <v>1</v>
      </c>
    </row>
    <row r="4569" spans="1:7" ht="57.6" x14ac:dyDescent="0.3">
      <c r="A4569" s="22" t="s">
        <v>1057</v>
      </c>
    </row>
    <row r="4570" spans="1:7" x14ac:dyDescent="0.3">
      <c r="A4570" s="22" t="s">
        <v>66</v>
      </c>
      <c r="B4570" t="s">
        <v>62</v>
      </c>
      <c r="C4570" t="s">
        <v>57</v>
      </c>
      <c r="D4570" t="s">
        <v>63</v>
      </c>
      <c r="E4570" t="s">
        <v>815</v>
      </c>
      <c r="F4570" t="s">
        <v>816</v>
      </c>
      <c r="G4570" t="s">
        <v>833</v>
      </c>
    </row>
    <row r="4571" spans="1:7" x14ac:dyDescent="0.3">
      <c r="A4571" s="22" t="s">
        <v>67</v>
      </c>
      <c r="B4571">
        <v>3</v>
      </c>
      <c r="C4571" t="s">
        <v>64</v>
      </c>
      <c r="D4571">
        <v>4</v>
      </c>
      <c r="E4571" s="8">
        <v>0.33329999999999999</v>
      </c>
      <c r="F4571" s="8">
        <v>0.33329999999999999</v>
      </c>
      <c r="G4571" s="8">
        <v>0.33329999999999999</v>
      </c>
    </row>
    <row r="4572" spans="1:7" x14ac:dyDescent="0.3">
      <c r="A4572" s="22" t="s">
        <v>68</v>
      </c>
      <c r="B4572">
        <v>1</v>
      </c>
      <c r="C4572" t="s">
        <v>64</v>
      </c>
      <c r="D4572">
        <v>4</v>
      </c>
      <c r="E4572" s="8">
        <v>1</v>
      </c>
    </row>
    <row r="4574" spans="1:7" ht="43.2" x14ac:dyDescent="0.3">
      <c r="A4574" s="27" t="s">
        <v>1058</v>
      </c>
    </row>
    <row r="4575" spans="1:7" x14ac:dyDescent="0.3">
      <c r="A4575" s="22" t="s">
        <v>66</v>
      </c>
      <c r="B4575" t="s">
        <v>62</v>
      </c>
      <c r="C4575" t="s">
        <v>57</v>
      </c>
      <c r="D4575" t="s">
        <v>63</v>
      </c>
      <c r="E4575" t="s">
        <v>815</v>
      </c>
      <c r="F4575" t="s">
        <v>816</v>
      </c>
      <c r="G4575" t="s">
        <v>833</v>
      </c>
    </row>
    <row r="4576" spans="1:7" x14ac:dyDescent="0.3">
      <c r="A4576" s="22" t="s">
        <v>81</v>
      </c>
      <c r="B4576">
        <v>2</v>
      </c>
      <c r="C4576" t="s">
        <v>64</v>
      </c>
      <c r="D4576">
        <v>4</v>
      </c>
      <c r="E4576" s="8">
        <v>0.5</v>
      </c>
      <c r="F4576" s="8">
        <v>0.5</v>
      </c>
    </row>
    <row r="4577" spans="1:8" x14ac:dyDescent="0.3">
      <c r="A4577" s="22" t="s">
        <v>82</v>
      </c>
      <c r="B4577">
        <v>1</v>
      </c>
      <c r="C4577" t="s">
        <v>64</v>
      </c>
      <c r="D4577">
        <v>4</v>
      </c>
      <c r="G4577" s="8">
        <v>1</v>
      </c>
    </row>
    <row r="4578" spans="1:8" x14ac:dyDescent="0.3">
      <c r="A4578" s="22" t="s">
        <v>84</v>
      </c>
      <c r="B4578">
        <v>1</v>
      </c>
      <c r="C4578" t="s">
        <v>64</v>
      </c>
      <c r="D4578">
        <v>4</v>
      </c>
      <c r="E4578" s="8">
        <v>1</v>
      </c>
    </row>
    <row r="4580" spans="1:8" ht="43.2" x14ac:dyDescent="0.3">
      <c r="A4580" s="27" t="s">
        <v>1059</v>
      </c>
    </row>
    <row r="4581" spans="1:8" x14ac:dyDescent="0.3">
      <c r="A4581" s="22" t="s">
        <v>62</v>
      </c>
      <c r="B4581" t="s">
        <v>57</v>
      </c>
      <c r="C4581" t="s">
        <v>63</v>
      </c>
      <c r="D4581" t="s">
        <v>832</v>
      </c>
      <c r="E4581" t="s">
        <v>815</v>
      </c>
      <c r="F4581" t="s">
        <v>816</v>
      </c>
      <c r="G4581" t="s">
        <v>817</v>
      </c>
    </row>
    <row r="4582" spans="1:8" x14ac:dyDescent="0.3">
      <c r="A4582" s="22">
        <v>13</v>
      </c>
      <c r="B4582" t="s">
        <v>64</v>
      </c>
      <c r="C4582">
        <v>13</v>
      </c>
      <c r="D4582" s="8">
        <v>0.15379999999999999</v>
      </c>
      <c r="E4582" s="8">
        <v>0.30769999999999997</v>
      </c>
      <c r="F4582" s="8">
        <v>0.3846</v>
      </c>
      <c r="G4582" s="8">
        <v>0.15379999999999999</v>
      </c>
    </row>
    <row r="4584" spans="1:8" ht="57.6" x14ac:dyDescent="0.3">
      <c r="A4584" s="22" t="s">
        <v>1060</v>
      </c>
    </row>
    <row r="4585" spans="1:8" x14ac:dyDescent="0.3">
      <c r="A4585" s="22" t="s">
        <v>66</v>
      </c>
      <c r="B4585" t="s">
        <v>62</v>
      </c>
      <c r="C4585" t="s">
        <v>57</v>
      </c>
      <c r="D4585" t="s">
        <v>63</v>
      </c>
      <c r="E4585" t="s">
        <v>832</v>
      </c>
      <c r="F4585" t="s">
        <v>815</v>
      </c>
      <c r="G4585" t="s">
        <v>816</v>
      </c>
      <c r="H4585" t="s">
        <v>817</v>
      </c>
    </row>
    <row r="4586" spans="1:8" x14ac:dyDescent="0.3">
      <c r="A4586" s="22" t="s">
        <v>67</v>
      </c>
      <c r="B4586">
        <v>12</v>
      </c>
      <c r="C4586" t="s">
        <v>64</v>
      </c>
      <c r="D4586">
        <v>13</v>
      </c>
      <c r="E4586" s="8">
        <v>0.16669999999999999</v>
      </c>
      <c r="F4586" s="8">
        <v>0.33329999999999999</v>
      </c>
      <c r="G4586" s="8">
        <v>0.41670000000000001</v>
      </c>
      <c r="H4586" s="8">
        <v>8.3299999999999999E-2</v>
      </c>
    </row>
    <row r="4587" spans="1:8" x14ac:dyDescent="0.3">
      <c r="A4587" s="22" t="s">
        <v>68</v>
      </c>
      <c r="B4587">
        <v>1</v>
      </c>
      <c r="C4587" t="s">
        <v>64</v>
      </c>
      <c r="D4587">
        <v>13</v>
      </c>
      <c r="H4587" s="8">
        <v>1</v>
      </c>
    </row>
    <row r="4589" spans="1:8" x14ac:dyDescent="0.3">
      <c r="A4589"/>
    </row>
    <row r="4590" spans="1:8" x14ac:dyDescent="0.3">
      <c r="A4590"/>
    </row>
    <row r="4591" spans="1:8" x14ac:dyDescent="0.3">
      <c r="A4591"/>
    </row>
    <row r="4593" spans="1:8" ht="57.6" x14ac:dyDescent="0.3">
      <c r="A4593" s="22" t="s">
        <v>1061</v>
      </c>
    </row>
    <row r="4594" spans="1:8" x14ac:dyDescent="0.3">
      <c r="A4594" s="22" t="s">
        <v>66</v>
      </c>
      <c r="B4594" t="s">
        <v>62</v>
      </c>
      <c r="C4594" t="s">
        <v>57</v>
      </c>
      <c r="D4594" t="s">
        <v>63</v>
      </c>
      <c r="E4594" t="s">
        <v>832</v>
      </c>
      <c r="F4594" t="s">
        <v>815</v>
      </c>
      <c r="G4594" t="s">
        <v>816</v>
      </c>
      <c r="H4594" t="s">
        <v>817</v>
      </c>
    </row>
    <row r="4595" spans="1:8" x14ac:dyDescent="0.3">
      <c r="A4595" s="22" t="s">
        <v>67</v>
      </c>
      <c r="B4595">
        <v>12</v>
      </c>
      <c r="C4595" t="s">
        <v>64</v>
      </c>
      <c r="D4595">
        <v>13</v>
      </c>
      <c r="E4595" s="8">
        <v>8.3299999999999999E-2</v>
      </c>
      <c r="F4595" s="8">
        <v>0.33329999999999999</v>
      </c>
      <c r="G4595" s="8">
        <v>0.41670000000000001</v>
      </c>
      <c r="H4595" s="8">
        <v>0.16669999999999999</v>
      </c>
    </row>
    <row r="4596" spans="1:8" x14ac:dyDescent="0.3">
      <c r="A4596" s="22" t="s">
        <v>68</v>
      </c>
      <c r="B4596">
        <v>1</v>
      </c>
      <c r="C4596" t="s">
        <v>64</v>
      </c>
      <c r="D4596">
        <v>13</v>
      </c>
      <c r="E4596" s="8">
        <v>1</v>
      </c>
    </row>
    <row r="4598" spans="1:8" ht="57.6" x14ac:dyDescent="0.3">
      <c r="A4598" s="22" t="s">
        <v>1062</v>
      </c>
    </row>
    <row r="4599" spans="1:8" x14ac:dyDescent="0.3">
      <c r="A4599" s="22" t="s">
        <v>66</v>
      </c>
      <c r="B4599" t="s">
        <v>62</v>
      </c>
      <c r="C4599" t="s">
        <v>57</v>
      </c>
      <c r="D4599" t="s">
        <v>63</v>
      </c>
      <c r="E4599" t="s">
        <v>832</v>
      </c>
      <c r="F4599" t="s">
        <v>815</v>
      </c>
      <c r="G4599" t="s">
        <v>816</v>
      </c>
      <c r="H4599" t="s">
        <v>817</v>
      </c>
    </row>
    <row r="4600" spans="1:8" x14ac:dyDescent="0.3">
      <c r="A4600" s="22" t="s">
        <v>67</v>
      </c>
      <c r="B4600">
        <v>13</v>
      </c>
      <c r="C4600" t="s">
        <v>64</v>
      </c>
      <c r="D4600">
        <v>13</v>
      </c>
      <c r="E4600" s="8">
        <v>0.15379999999999999</v>
      </c>
      <c r="F4600" s="8">
        <v>0.30769999999999997</v>
      </c>
      <c r="G4600" s="8">
        <v>0.3846</v>
      </c>
      <c r="H4600" s="8">
        <v>0.15379999999999999</v>
      </c>
    </row>
    <row r="4602" spans="1:8" ht="57.6" x14ac:dyDescent="0.3">
      <c r="A4602" s="22" t="s">
        <v>1063</v>
      </c>
    </row>
    <row r="4603" spans="1:8" x14ac:dyDescent="0.3">
      <c r="A4603" s="22" t="s">
        <v>66</v>
      </c>
      <c r="B4603" t="s">
        <v>62</v>
      </c>
      <c r="C4603" t="s">
        <v>57</v>
      </c>
      <c r="D4603" t="s">
        <v>63</v>
      </c>
      <c r="E4603" t="s">
        <v>832</v>
      </c>
      <c r="F4603" t="s">
        <v>815</v>
      </c>
      <c r="G4603" t="s">
        <v>816</v>
      </c>
      <c r="H4603" t="s">
        <v>817</v>
      </c>
    </row>
    <row r="4604" spans="1:8" x14ac:dyDescent="0.3">
      <c r="A4604" s="22" t="s">
        <v>67</v>
      </c>
      <c r="B4604">
        <v>12</v>
      </c>
      <c r="C4604" t="s">
        <v>64</v>
      </c>
      <c r="D4604">
        <v>13</v>
      </c>
      <c r="E4604" s="8">
        <v>8.3299999999999999E-2</v>
      </c>
      <c r="F4604" s="8">
        <v>0.33329999999999999</v>
      </c>
      <c r="G4604" s="8">
        <v>0.41670000000000001</v>
      </c>
      <c r="H4604" s="8">
        <v>0.16669999999999999</v>
      </c>
    </row>
    <row r="4605" spans="1:8" x14ac:dyDescent="0.3">
      <c r="A4605" s="22" t="s">
        <v>68</v>
      </c>
      <c r="B4605">
        <v>1</v>
      </c>
      <c r="C4605" t="s">
        <v>64</v>
      </c>
      <c r="D4605">
        <v>13</v>
      </c>
      <c r="E4605" s="8">
        <v>1</v>
      </c>
    </row>
    <row r="4607" spans="1:8" ht="57.6" x14ac:dyDescent="0.3">
      <c r="A4607" s="22" t="s">
        <v>1064</v>
      </c>
    </row>
    <row r="4608" spans="1:8" x14ac:dyDescent="0.3">
      <c r="A4608" s="22" t="s">
        <v>66</v>
      </c>
      <c r="B4608" t="s">
        <v>62</v>
      </c>
      <c r="C4608" t="s">
        <v>57</v>
      </c>
      <c r="D4608" t="s">
        <v>63</v>
      </c>
      <c r="E4608" t="s">
        <v>832</v>
      </c>
      <c r="F4608" t="s">
        <v>815</v>
      </c>
      <c r="G4608" t="s">
        <v>816</v>
      </c>
      <c r="H4608" t="s">
        <v>817</v>
      </c>
    </row>
    <row r="4609" spans="1:8" x14ac:dyDescent="0.3">
      <c r="A4609" s="22" t="s">
        <v>68</v>
      </c>
      <c r="B4609">
        <v>13</v>
      </c>
      <c r="C4609" t="s">
        <v>64</v>
      </c>
      <c r="D4609">
        <v>13</v>
      </c>
      <c r="E4609" s="8">
        <v>0.15379999999999999</v>
      </c>
      <c r="F4609" s="8">
        <v>0.30769999999999997</v>
      </c>
      <c r="G4609" s="8">
        <v>0.3846</v>
      </c>
      <c r="H4609" s="8">
        <v>0.15379999999999999</v>
      </c>
    </row>
    <row r="4611" spans="1:8" ht="57.6" x14ac:dyDescent="0.3">
      <c r="A4611" s="22" t="s">
        <v>1065</v>
      </c>
    </row>
    <row r="4612" spans="1:8" x14ac:dyDescent="0.3">
      <c r="A4612" s="22" t="s">
        <v>66</v>
      </c>
      <c r="B4612" t="s">
        <v>62</v>
      </c>
      <c r="C4612" t="s">
        <v>57</v>
      </c>
      <c r="D4612" t="s">
        <v>63</v>
      </c>
      <c r="E4612" t="s">
        <v>832</v>
      </c>
      <c r="F4612" t="s">
        <v>815</v>
      </c>
      <c r="G4612" t="s">
        <v>816</v>
      </c>
      <c r="H4612" t="s">
        <v>817</v>
      </c>
    </row>
    <row r="4613" spans="1:8" x14ac:dyDescent="0.3">
      <c r="A4613" s="22" t="s">
        <v>67</v>
      </c>
      <c r="B4613">
        <v>12</v>
      </c>
      <c r="C4613" t="s">
        <v>64</v>
      </c>
      <c r="D4613">
        <v>13</v>
      </c>
      <c r="E4613" s="8">
        <v>0.16669999999999999</v>
      </c>
      <c r="F4613" s="8">
        <v>0.33329999999999999</v>
      </c>
      <c r="G4613" s="8">
        <v>0.41670000000000001</v>
      </c>
      <c r="H4613" s="8">
        <v>8.3299999999999999E-2</v>
      </c>
    </row>
    <row r="4614" spans="1:8" x14ac:dyDescent="0.3">
      <c r="A4614" s="22" t="s">
        <v>68</v>
      </c>
      <c r="B4614">
        <v>1</v>
      </c>
      <c r="C4614" t="s">
        <v>64</v>
      </c>
      <c r="D4614">
        <v>13</v>
      </c>
      <c r="H4614" s="8">
        <v>1</v>
      </c>
    </row>
    <row r="4616" spans="1:8" ht="57.6" x14ac:dyDescent="0.3">
      <c r="A4616" s="22" t="s">
        <v>1066</v>
      </c>
    </row>
    <row r="4617" spans="1:8" x14ac:dyDescent="0.3">
      <c r="A4617" s="22" t="s">
        <v>66</v>
      </c>
      <c r="B4617" t="s">
        <v>62</v>
      </c>
      <c r="C4617" t="s">
        <v>57</v>
      </c>
      <c r="D4617" t="s">
        <v>63</v>
      </c>
      <c r="E4617" t="s">
        <v>832</v>
      </c>
      <c r="F4617" t="s">
        <v>815</v>
      </c>
      <c r="G4617" t="s">
        <v>816</v>
      </c>
      <c r="H4617" t="s">
        <v>817</v>
      </c>
    </row>
    <row r="4618" spans="1:8" x14ac:dyDescent="0.3">
      <c r="A4618" s="22" t="s">
        <v>67</v>
      </c>
      <c r="B4618">
        <v>9</v>
      </c>
      <c r="C4618" t="s">
        <v>64</v>
      </c>
      <c r="D4618">
        <v>13</v>
      </c>
      <c r="E4618" s="8">
        <v>0.22220000000000001</v>
      </c>
      <c r="F4618" s="8">
        <v>0.22220000000000001</v>
      </c>
      <c r="G4618" s="8">
        <v>0.44440000000000002</v>
      </c>
      <c r="H4618" s="8">
        <v>0.1111</v>
      </c>
    </row>
    <row r="4619" spans="1:8" x14ac:dyDescent="0.3">
      <c r="A4619" s="22" t="s">
        <v>68</v>
      </c>
      <c r="B4619">
        <v>4</v>
      </c>
      <c r="C4619" t="s">
        <v>64</v>
      </c>
      <c r="D4619">
        <v>13</v>
      </c>
      <c r="F4619" s="8">
        <v>0.5</v>
      </c>
      <c r="G4619" s="8">
        <v>0.25</v>
      </c>
      <c r="H4619" s="8">
        <v>0.25</v>
      </c>
    </row>
    <row r="4621" spans="1:8" ht="57.6" x14ac:dyDescent="0.3">
      <c r="A4621" s="22" t="s">
        <v>1067</v>
      </c>
    </row>
    <row r="4622" spans="1:8" x14ac:dyDescent="0.3">
      <c r="A4622" s="22" t="s">
        <v>66</v>
      </c>
      <c r="B4622" t="s">
        <v>62</v>
      </c>
      <c r="C4622" t="s">
        <v>57</v>
      </c>
      <c r="D4622" t="s">
        <v>63</v>
      </c>
      <c r="E4622" t="s">
        <v>832</v>
      </c>
      <c r="F4622" t="s">
        <v>815</v>
      </c>
      <c r="G4622" t="s">
        <v>816</v>
      </c>
      <c r="H4622" t="s">
        <v>817</v>
      </c>
    </row>
    <row r="4623" spans="1:8" x14ac:dyDescent="0.3">
      <c r="A4623" s="22" t="s">
        <v>67</v>
      </c>
      <c r="B4623">
        <v>9</v>
      </c>
      <c r="C4623" t="s">
        <v>64</v>
      </c>
      <c r="D4623">
        <v>13</v>
      </c>
      <c r="E4623" s="8">
        <v>0.22220000000000001</v>
      </c>
      <c r="F4623" s="8">
        <v>0.33329999999999999</v>
      </c>
      <c r="G4623" s="8">
        <v>0.33329999999999999</v>
      </c>
      <c r="H4623" s="8">
        <v>0.1111</v>
      </c>
    </row>
    <row r="4624" spans="1:8" x14ac:dyDescent="0.3">
      <c r="A4624" s="22" t="s">
        <v>68</v>
      </c>
      <c r="B4624">
        <v>4</v>
      </c>
      <c r="C4624" t="s">
        <v>64</v>
      </c>
      <c r="D4624">
        <v>13</v>
      </c>
      <c r="F4624" s="8">
        <v>0.25</v>
      </c>
      <c r="G4624" s="8">
        <v>0.5</v>
      </c>
      <c r="H4624" s="8">
        <v>0.25</v>
      </c>
    </row>
    <row r="4626" spans="1:8" ht="72" x14ac:dyDescent="0.3">
      <c r="A4626" s="22" t="s">
        <v>1068</v>
      </c>
    </row>
    <row r="4627" spans="1:8" x14ac:dyDescent="0.3">
      <c r="A4627" s="22" t="s">
        <v>66</v>
      </c>
      <c r="B4627" t="s">
        <v>62</v>
      </c>
      <c r="C4627" t="s">
        <v>57</v>
      </c>
      <c r="D4627" t="s">
        <v>63</v>
      </c>
      <c r="E4627" t="s">
        <v>832</v>
      </c>
      <c r="F4627" t="s">
        <v>815</v>
      </c>
      <c r="G4627" t="s">
        <v>816</v>
      </c>
      <c r="H4627" t="s">
        <v>817</v>
      </c>
    </row>
    <row r="4628" spans="1:8" x14ac:dyDescent="0.3">
      <c r="A4628" s="22" t="s">
        <v>67</v>
      </c>
      <c r="B4628">
        <v>13</v>
      </c>
      <c r="C4628" t="s">
        <v>64</v>
      </c>
      <c r="D4628">
        <v>13</v>
      </c>
      <c r="E4628" s="8">
        <v>0.15379999999999999</v>
      </c>
      <c r="F4628" s="8">
        <v>0.30769999999999997</v>
      </c>
      <c r="G4628" s="8">
        <v>0.3846</v>
      </c>
      <c r="H4628" s="8">
        <v>0.15379999999999999</v>
      </c>
    </row>
    <row r="4630" spans="1:8" ht="72" x14ac:dyDescent="0.3">
      <c r="A4630" s="22" t="s">
        <v>1069</v>
      </c>
    </row>
    <row r="4631" spans="1:8" x14ac:dyDescent="0.3">
      <c r="A4631" s="22" t="s">
        <v>66</v>
      </c>
      <c r="B4631" t="s">
        <v>62</v>
      </c>
      <c r="C4631" t="s">
        <v>57</v>
      </c>
      <c r="D4631" t="s">
        <v>63</v>
      </c>
      <c r="E4631" t="s">
        <v>832</v>
      </c>
      <c r="F4631" t="s">
        <v>815</v>
      </c>
      <c r="G4631" t="s">
        <v>816</v>
      </c>
      <c r="H4631" t="s">
        <v>817</v>
      </c>
    </row>
    <row r="4632" spans="1:8" x14ac:dyDescent="0.3">
      <c r="A4632" s="22" t="s">
        <v>67</v>
      </c>
      <c r="B4632">
        <v>13</v>
      </c>
      <c r="C4632" t="s">
        <v>64</v>
      </c>
      <c r="D4632">
        <v>13</v>
      </c>
      <c r="E4632" s="8">
        <v>0.15379999999999999</v>
      </c>
      <c r="F4632" s="8">
        <v>0.30769999999999997</v>
      </c>
      <c r="G4632" s="8">
        <v>0.3846</v>
      </c>
      <c r="H4632" s="8">
        <v>0.15379999999999999</v>
      </c>
    </row>
    <row r="4634" spans="1:8" ht="57.6" x14ac:dyDescent="0.3">
      <c r="A4634" s="22" t="s">
        <v>1070</v>
      </c>
    </row>
    <row r="4635" spans="1:8" x14ac:dyDescent="0.3">
      <c r="A4635" s="22" t="s">
        <v>66</v>
      </c>
      <c r="B4635" t="s">
        <v>62</v>
      </c>
      <c r="C4635" t="s">
        <v>57</v>
      </c>
      <c r="D4635" t="s">
        <v>63</v>
      </c>
      <c r="E4635" t="s">
        <v>832</v>
      </c>
      <c r="F4635" t="s">
        <v>815</v>
      </c>
      <c r="G4635" t="s">
        <v>816</v>
      </c>
      <c r="H4635" t="s">
        <v>817</v>
      </c>
    </row>
    <row r="4636" spans="1:8" x14ac:dyDescent="0.3">
      <c r="A4636" s="22" t="s">
        <v>67</v>
      </c>
      <c r="B4636">
        <v>8</v>
      </c>
      <c r="C4636" t="s">
        <v>64</v>
      </c>
      <c r="D4636">
        <v>13</v>
      </c>
      <c r="E4636" s="8">
        <v>0.125</v>
      </c>
      <c r="F4636" s="8">
        <v>0.375</v>
      </c>
      <c r="G4636" s="8">
        <v>0.25</v>
      </c>
      <c r="H4636" s="8">
        <v>0.25</v>
      </c>
    </row>
    <row r="4637" spans="1:8" x14ac:dyDescent="0.3">
      <c r="A4637" s="22" t="s">
        <v>68</v>
      </c>
      <c r="B4637">
        <v>5</v>
      </c>
      <c r="C4637" t="s">
        <v>64</v>
      </c>
      <c r="D4637">
        <v>13</v>
      </c>
      <c r="E4637" s="8">
        <v>0.2</v>
      </c>
      <c r="F4637" s="8">
        <v>0.2</v>
      </c>
      <c r="G4637" s="8">
        <v>0.6</v>
      </c>
    </row>
    <row r="4639" spans="1:8" ht="57.6" x14ac:dyDescent="0.3">
      <c r="A4639" s="22" t="s">
        <v>1071</v>
      </c>
    </row>
    <row r="4640" spans="1:8" x14ac:dyDescent="0.3">
      <c r="A4640" s="22" t="s">
        <v>66</v>
      </c>
      <c r="B4640" t="s">
        <v>62</v>
      </c>
      <c r="C4640" t="s">
        <v>57</v>
      </c>
      <c r="D4640" t="s">
        <v>63</v>
      </c>
      <c r="E4640" t="s">
        <v>832</v>
      </c>
      <c r="F4640" t="s">
        <v>815</v>
      </c>
      <c r="G4640" t="s">
        <v>816</v>
      </c>
      <c r="H4640" t="s">
        <v>817</v>
      </c>
    </row>
    <row r="4641" spans="1:8" x14ac:dyDescent="0.3">
      <c r="A4641" s="22" t="s">
        <v>67</v>
      </c>
      <c r="B4641">
        <v>13</v>
      </c>
      <c r="C4641" t="s">
        <v>64</v>
      </c>
      <c r="D4641">
        <v>13</v>
      </c>
      <c r="E4641" s="8">
        <v>0.15379999999999999</v>
      </c>
      <c r="F4641" s="8">
        <v>0.30769999999999997</v>
      </c>
      <c r="G4641" s="8">
        <v>0.3846</v>
      </c>
      <c r="H4641" s="8">
        <v>0.15379999999999999</v>
      </c>
    </row>
    <row r="4643" spans="1:8" ht="43.2" x14ac:dyDescent="0.3">
      <c r="A4643" s="27" t="s">
        <v>1072</v>
      </c>
    </row>
    <row r="4644" spans="1:8" x14ac:dyDescent="0.3">
      <c r="A4644" s="22" t="s">
        <v>66</v>
      </c>
      <c r="B4644" t="s">
        <v>62</v>
      </c>
      <c r="C4644" t="s">
        <v>57</v>
      </c>
      <c r="D4644" t="s">
        <v>63</v>
      </c>
      <c r="E4644" t="s">
        <v>832</v>
      </c>
      <c r="F4644" t="s">
        <v>815</v>
      </c>
      <c r="G4644" t="s">
        <v>816</v>
      </c>
      <c r="H4644" t="s">
        <v>817</v>
      </c>
    </row>
    <row r="4645" spans="1:8" x14ac:dyDescent="0.3">
      <c r="A4645" s="22" t="s">
        <v>81</v>
      </c>
      <c r="B4645">
        <v>4</v>
      </c>
      <c r="C4645" t="s">
        <v>64</v>
      </c>
      <c r="D4645">
        <v>13</v>
      </c>
      <c r="E4645" s="8">
        <v>0.25</v>
      </c>
      <c r="F4645" s="8">
        <v>0.25</v>
      </c>
      <c r="H4645" s="8">
        <v>0.5</v>
      </c>
    </row>
    <row r="4646" spans="1:8" x14ac:dyDescent="0.3">
      <c r="A4646" s="22" t="s">
        <v>82</v>
      </c>
      <c r="B4646">
        <v>2</v>
      </c>
      <c r="C4646" t="s">
        <v>64</v>
      </c>
      <c r="D4646">
        <v>13</v>
      </c>
      <c r="F4646" s="8">
        <v>0.5</v>
      </c>
      <c r="G4646" s="8">
        <v>0.5</v>
      </c>
    </row>
    <row r="4647" spans="1:8" x14ac:dyDescent="0.3">
      <c r="A4647" s="22" t="s">
        <v>83</v>
      </c>
      <c r="B4647">
        <v>4</v>
      </c>
      <c r="C4647" t="s">
        <v>64</v>
      </c>
      <c r="D4647">
        <v>13</v>
      </c>
      <c r="E4647" s="8">
        <v>0.25</v>
      </c>
      <c r="F4647" s="8">
        <v>0.5</v>
      </c>
      <c r="G4647" s="8">
        <v>0.25</v>
      </c>
    </row>
    <row r="4648" spans="1:8" x14ac:dyDescent="0.3">
      <c r="A4648" s="22" t="s">
        <v>84</v>
      </c>
      <c r="B4648">
        <v>3</v>
      </c>
      <c r="C4648" t="s">
        <v>64</v>
      </c>
      <c r="D4648">
        <v>13</v>
      </c>
      <c r="G4648" s="8">
        <v>1</v>
      </c>
    </row>
    <row r="4650" spans="1:8" ht="43.2" x14ac:dyDescent="0.3">
      <c r="A4650" s="27" t="s">
        <v>1073</v>
      </c>
    </row>
    <row r="4651" spans="1:8" x14ac:dyDescent="0.3">
      <c r="A4651" s="22" t="s">
        <v>62</v>
      </c>
      <c r="B4651" t="s">
        <v>57</v>
      </c>
      <c r="C4651" t="s">
        <v>63</v>
      </c>
      <c r="D4651" t="s">
        <v>815</v>
      </c>
      <c r="E4651" t="s">
        <v>816</v>
      </c>
      <c r="F4651" t="s">
        <v>833</v>
      </c>
    </row>
    <row r="4652" spans="1:8" x14ac:dyDescent="0.3">
      <c r="A4652" s="22">
        <v>23</v>
      </c>
      <c r="B4652" t="s">
        <v>64</v>
      </c>
      <c r="C4652">
        <v>23</v>
      </c>
      <c r="D4652" s="8">
        <v>0.91300000000000003</v>
      </c>
      <c r="E4652" s="8">
        <v>4.3499999999999997E-2</v>
      </c>
      <c r="F4652" s="8">
        <v>4.3499999999999997E-2</v>
      </c>
    </row>
    <row r="4654" spans="1:8" ht="57.6" x14ac:dyDescent="0.3">
      <c r="A4654" s="22" t="s">
        <v>1074</v>
      </c>
    </row>
    <row r="4655" spans="1:8" x14ac:dyDescent="0.3">
      <c r="A4655" s="22" t="s">
        <v>66</v>
      </c>
      <c r="B4655" t="s">
        <v>62</v>
      </c>
      <c r="C4655" t="s">
        <v>57</v>
      </c>
      <c r="D4655" t="s">
        <v>63</v>
      </c>
      <c r="E4655" t="s">
        <v>815</v>
      </c>
      <c r="F4655" t="s">
        <v>816</v>
      </c>
      <c r="G4655" t="s">
        <v>833</v>
      </c>
    </row>
    <row r="4656" spans="1:8" x14ac:dyDescent="0.3">
      <c r="A4656" s="22" t="s">
        <v>67</v>
      </c>
      <c r="B4656">
        <v>23</v>
      </c>
      <c r="C4656" t="s">
        <v>64</v>
      </c>
      <c r="D4656">
        <v>23</v>
      </c>
      <c r="E4656" s="8">
        <v>0.91300000000000003</v>
      </c>
      <c r="F4656" s="8">
        <v>4.3499999999999997E-2</v>
      </c>
      <c r="G4656" s="8">
        <v>4.3499999999999997E-2</v>
      </c>
    </row>
    <row r="4658" spans="1:7" x14ac:dyDescent="0.3">
      <c r="A4658"/>
    </row>
    <row r="4659" spans="1:7" x14ac:dyDescent="0.3">
      <c r="A4659"/>
    </row>
    <row r="4660" spans="1:7" x14ac:dyDescent="0.3">
      <c r="A4660"/>
    </row>
    <row r="4662" spans="1:7" ht="57.6" x14ac:dyDescent="0.3">
      <c r="A4662" s="22" t="s">
        <v>1075</v>
      </c>
    </row>
    <row r="4663" spans="1:7" x14ac:dyDescent="0.3">
      <c r="A4663" s="22" t="s">
        <v>66</v>
      </c>
      <c r="B4663" t="s">
        <v>62</v>
      </c>
      <c r="C4663" t="s">
        <v>57</v>
      </c>
      <c r="D4663" t="s">
        <v>63</v>
      </c>
      <c r="E4663" t="s">
        <v>815</v>
      </c>
      <c r="F4663" t="s">
        <v>816</v>
      </c>
      <c r="G4663" t="s">
        <v>833</v>
      </c>
    </row>
    <row r="4664" spans="1:7" x14ac:dyDescent="0.3">
      <c r="A4664" s="22" t="s">
        <v>67</v>
      </c>
      <c r="B4664">
        <v>20</v>
      </c>
      <c r="C4664" t="s">
        <v>64</v>
      </c>
      <c r="D4664">
        <v>23</v>
      </c>
      <c r="E4664" s="8">
        <v>0.95</v>
      </c>
      <c r="F4664" s="8">
        <v>0.05</v>
      </c>
    </row>
    <row r="4665" spans="1:7" x14ac:dyDescent="0.3">
      <c r="A4665" s="22" t="s">
        <v>68</v>
      </c>
      <c r="B4665">
        <v>3</v>
      </c>
      <c r="C4665" t="s">
        <v>64</v>
      </c>
      <c r="D4665">
        <v>23</v>
      </c>
      <c r="E4665" s="8">
        <v>0.66669999999999996</v>
      </c>
      <c r="G4665" s="8">
        <v>0.33329999999999999</v>
      </c>
    </row>
    <row r="4667" spans="1:7" ht="57.6" x14ac:dyDescent="0.3">
      <c r="A4667" s="22" t="s">
        <v>1076</v>
      </c>
    </row>
    <row r="4668" spans="1:7" x14ac:dyDescent="0.3">
      <c r="A4668" s="22" t="s">
        <v>66</v>
      </c>
      <c r="B4668" t="s">
        <v>62</v>
      </c>
      <c r="C4668" t="s">
        <v>57</v>
      </c>
      <c r="D4668" t="s">
        <v>63</v>
      </c>
      <c r="E4668" t="s">
        <v>815</v>
      </c>
      <c r="F4668" t="s">
        <v>816</v>
      </c>
      <c r="G4668" t="s">
        <v>833</v>
      </c>
    </row>
    <row r="4669" spans="1:7" x14ac:dyDescent="0.3">
      <c r="A4669" s="22" t="s">
        <v>67</v>
      </c>
      <c r="B4669">
        <v>23</v>
      </c>
      <c r="C4669" t="s">
        <v>64</v>
      </c>
      <c r="D4669">
        <v>23</v>
      </c>
      <c r="E4669" s="8">
        <v>0.91300000000000003</v>
      </c>
      <c r="F4669" s="8">
        <v>4.3499999999999997E-2</v>
      </c>
      <c r="G4669" s="8">
        <v>4.3499999999999997E-2</v>
      </c>
    </row>
    <row r="4671" spans="1:7" ht="57.6" x14ac:dyDescent="0.3">
      <c r="A4671" s="22" t="s">
        <v>1077</v>
      </c>
    </row>
    <row r="4672" spans="1:7" x14ac:dyDescent="0.3">
      <c r="A4672" s="22" t="s">
        <v>66</v>
      </c>
      <c r="B4672" t="s">
        <v>62</v>
      </c>
      <c r="C4672" t="s">
        <v>57</v>
      </c>
      <c r="D4672" t="s">
        <v>63</v>
      </c>
      <c r="E4672" t="s">
        <v>815</v>
      </c>
      <c r="F4672" t="s">
        <v>816</v>
      </c>
      <c r="G4672" t="s">
        <v>833</v>
      </c>
    </row>
    <row r="4673" spans="1:7" x14ac:dyDescent="0.3">
      <c r="A4673" s="22" t="s">
        <v>67</v>
      </c>
      <c r="B4673">
        <v>21</v>
      </c>
      <c r="C4673" t="s">
        <v>64</v>
      </c>
      <c r="D4673">
        <v>23</v>
      </c>
      <c r="E4673" s="8">
        <v>0.90480000000000005</v>
      </c>
      <c r="F4673" s="8">
        <v>4.7600000000000003E-2</v>
      </c>
      <c r="G4673" s="8">
        <v>4.7600000000000003E-2</v>
      </c>
    </row>
    <row r="4674" spans="1:7" x14ac:dyDescent="0.3">
      <c r="A4674" s="22" t="s">
        <v>68</v>
      </c>
      <c r="B4674">
        <v>2</v>
      </c>
      <c r="C4674" t="s">
        <v>64</v>
      </c>
      <c r="D4674">
        <v>23</v>
      </c>
      <c r="E4674" s="8">
        <v>1</v>
      </c>
    </row>
    <row r="4676" spans="1:7" ht="57.6" x14ac:dyDescent="0.3">
      <c r="A4676" s="22" t="s">
        <v>1078</v>
      </c>
    </row>
    <row r="4677" spans="1:7" x14ac:dyDescent="0.3">
      <c r="A4677" s="22" t="s">
        <v>66</v>
      </c>
      <c r="B4677" t="s">
        <v>62</v>
      </c>
      <c r="C4677" t="s">
        <v>57</v>
      </c>
      <c r="D4677" t="s">
        <v>63</v>
      </c>
      <c r="E4677" t="s">
        <v>815</v>
      </c>
      <c r="F4677" t="s">
        <v>816</v>
      </c>
      <c r="G4677" t="s">
        <v>833</v>
      </c>
    </row>
    <row r="4678" spans="1:7" x14ac:dyDescent="0.3">
      <c r="A4678" s="22" t="s">
        <v>67</v>
      </c>
      <c r="B4678">
        <v>1</v>
      </c>
      <c r="C4678" t="s">
        <v>64</v>
      </c>
      <c r="D4678">
        <v>23</v>
      </c>
      <c r="E4678" s="8">
        <v>1</v>
      </c>
    </row>
    <row r="4679" spans="1:7" x14ac:dyDescent="0.3">
      <c r="A4679" s="22" t="s">
        <v>68</v>
      </c>
      <c r="B4679">
        <v>22</v>
      </c>
      <c r="C4679" t="s">
        <v>64</v>
      </c>
      <c r="D4679">
        <v>23</v>
      </c>
      <c r="E4679" s="8">
        <v>0.90910000000000002</v>
      </c>
      <c r="F4679" s="8">
        <v>4.5499999999999999E-2</v>
      </c>
      <c r="G4679" s="8">
        <v>4.5499999999999999E-2</v>
      </c>
    </row>
    <row r="4681" spans="1:7" ht="57.6" x14ac:dyDescent="0.3">
      <c r="A4681" s="22" t="s">
        <v>1079</v>
      </c>
    </row>
    <row r="4682" spans="1:7" x14ac:dyDescent="0.3">
      <c r="A4682" s="22" t="s">
        <v>66</v>
      </c>
      <c r="B4682" t="s">
        <v>62</v>
      </c>
      <c r="C4682" t="s">
        <v>57</v>
      </c>
      <c r="D4682" t="s">
        <v>63</v>
      </c>
      <c r="E4682" t="s">
        <v>815</v>
      </c>
      <c r="F4682" t="s">
        <v>816</v>
      </c>
      <c r="G4682" t="s">
        <v>833</v>
      </c>
    </row>
    <row r="4683" spans="1:7" x14ac:dyDescent="0.3">
      <c r="A4683" s="22" t="s">
        <v>67</v>
      </c>
      <c r="B4683">
        <v>19</v>
      </c>
      <c r="C4683" t="s">
        <v>64</v>
      </c>
      <c r="D4683">
        <v>23</v>
      </c>
      <c r="E4683" s="8">
        <v>0.89470000000000005</v>
      </c>
      <c r="F4683" s="8">
        <v>5.2600000000000001E-2</v>
      </c>
      <c r="G4683" s="8">
        <v>5.2600000000000001E-2</v>
      </c>
    </row>
    <row r="4684" spans="1:7" x14ac:dyDescent="0.3">
      <c r="A4684" s="22" t="s">
        <v>68</v>
      </c>
      <c r="B4684">
        <v>4</v>
      </c>
      <c r="C4684" t="s">
        <v>64</v>
      </c>
      <c r="D4684">
        <v>23</v>
      </c>
      <c r="E4684" s="8">
        <v>1</v>
      </c>
    </row>
    <row r="4686" spans="1:7" ht="57.6" x14ac:dyDescent="0.3">
      <c r="A4686" s="22" t="s">
        <v>1080</v>
      </c>
    </row>
    <row r="4687" spans="1:7" x14ac:dyDescent="0.3">
      <c r="A4687" s="22" t="s">
        <v>66</v>
      </c>
      <c r="B4687" t="s">
        <v>62</v>
      </c>
      <c r="C4687" t="s">
        <v>57</v>
      </c>
      <c r="D4687" t="s">
        <v>63</v>
      </c>
      <c r="E4687" t="s">
        <v>815</v>
      </c>
      <c r="F4687" t="s">
        <v>816</v>
      </c>
      <c r="G4687" t="s">
        <v>833</v>
      </c>
    </row>
    <row r="4688" spans="1:7" x14ac:dyDescent="0.3">
      <c r="A4688" s="22" t="s">
        <v>67</v>
      </c>
      <c r="B4688">
        <v>19</v>
      </c>
      <c r="C4688" t="s">
        <v>64</v>
      </c>
      <c r="D4688">
        <v>23</v>
      </c>
      <c r="E4688" s="8">
        <v>0.89470000000000005</v>
      </c>
      <c r="F4688" s="8">
        <v>5.2600000000000001E-2</v>
      </c>
      <c r="G4688" s="8">
        <v>5.2600000000000001E-2</v>
      </c>
    </row>
    <row r="4689" spans="1:7" x14ac:dyDescent="0.3">
      <c r="A4689" s="22" t="s">
        <v>68</v>
      </c>
      <c r="B4689">
        <v>4</v>
      </c>
      <c r="C4689" t="s">
        <v>64</v>
      </c>
      <c r="D4689">
        <v>23</v>
      </c>
      <c r="E4689" s="8">
        <v>1</v>
      </c>
    </row>
    <row r="4691" spans="1:7" ht="57.6" x14ac:dyDescent="0.3">
      <c r="A4691" s="22" t="s">
        <v>1081</v>
      </c>
    </row>
    <row r="4692" spans="1:7" x14ac:dyDescent="0.3">
      <c r="A4692" s="22" t="s">
        <v>66</v>
      </c>
      <c r="B4692" t="s">
        <v>62</v>
      </c>
      <c r="C4692" t="s">
        <v>57</v>
      </c>
      <c r="D4692" t="s">
        <v>63</v>
      </c>
      <c r="E4692" t="s">
        <v>815</v>
      </c>
      <c r="F4692" t="s">
        <v>816</v>
      </c>
      <c r="G4692" t="s">
        <v>833</v>
      </c>
    </row>
    <row r="4693" spans="1:7" x14ac:dyDescent="0.3">
      <c r="A4693" s="22" t="s">
        <v>67</v>
      </c>
      <c r="B4693">
        <v>18</v>
      </c>
      <c r="C4693" t="s">
        <v>64</v>
      </c>
      <c r="D4693">
        <v>23</v>
      </c>
      <c r="E4693" s="8">
        <v>0.94440000000000002</v>
      </c>
      <c r="G4693" s="8">
        <v>5.5599999999999997E-2</v>
      </c>
    </row>
    <row r="4694" spans="1:7" x14ac:dyDescent="0.3">
      <c r="A4694" s="22" t="s">
        <v>68</v>
      </c>
      <c r="B4694">
        <v>5</v>
      </c>
      <c r="C4694" t="s">
        <v>64</v>
      </c>
      <c r="D4694">
        <v>23</v>
      </c>
      <c r="E4694" s="8">
        <v>0.8</v>
      </c>
      <c r="F4694" s="8">
        <v>0.2</v>
      </c>
    </row>
    <row r="4696" spans="1:7" ht="72" x14ac:dyDescent="0.3">
      <c r="A4696" s="22" t="s">
        <v>1082</v>
      </c>
    </row>
    <row r="4697" spans="1:7" x14ac:dyDescent="0.3">
      <c r="A4697" s="22" t="s">
        <v>66</v>
      </c>
      <c r="B4697" t="s">
        <v>62</v>
      </c>
      <c r="C4697" t="s">
        <v>57</v>
      </c>
      <c r="D4697" t="s">
        <v>63</v>
      </c>
      <c r="E4697" t="s">
        <v>815</v>
      </c>
      <c r="F4697" t="s">
        <v>816</v>
      </c>
      <c r="G4697" t="s">
        <v>833</v>
      </c>
    </row>
    <row r="4698" spans="1:7" x14ac:dyDescent="0.3">
      <c r="A4698" s="22" t="s">
        <v>67</v>
      </c>
      <c r="B4698">
        <v>18</v>
      </c>
      <c r="C4698" t="s">
        <v>64</v>
      </c>
      <c r="D4698">
        <v>23</v>
      </c>
      <c r="E4698" s="8">
        <v>0.94440000000000002</v>
      </c>
      <c r="G4698" s="8">
        <v>5.5599999999999997E-2</v>
      </c>
    </row>
    <row r="4699" spans="1:7" x14ac:dyDescent="0.3">
      <c r="A4699" s="22" t="s">
        <v>68</v>
      </c>
      <c r="B4699">
        <v>5</v>
      </c>
      <c r="C4699" t="s">
        <v>64</v>
      </c>
      <c r="D4699">
        <v>23</v>
      </c>
      <c r="E4699" s="8">
        <v>0.8</v>
      </c>
      <c r="F4699" s="8">
        <v>0.2</v>
      </c>
    </row>
    <row r="4701" spans="1:7" ht="72" x14ac:dyDescent="0.3">
      <c r="A4701" s="22" t="s">
        <v>1083</v>
      </c>
    </row>
    <row r="4702" spans="1:7" x14ac:dyDescent="0.3">
      <c r="A4702" s="22" t="s">
        <v>66</v>
      </c>
      <c r="B4702" t="s">
        <v>62</v>
      </c>
      <c r="C4702" t="s">
        <v>57</v>
      </c>
      <c r="D4702" t="s">
        <v>63</v>
      </c>
      <c r="E4702" t="s">
        <v>815</v>
      </c>
      <c r="F4702" t="s">
        <v>816</v>
      </c>
      <c r="G4702" t="s">
        <v>833</v>
      </c>
    </row>
    <row r="4703" spans="1:7" x14ac:dyDescent="0.3">
      <c r="A4703" s="22" t="s">
        <v>67</v>
      </c>
      <c r="B4703">
        <v>23</v>
      </c>
      <c r="C4703" t="s">
        <v>64</v>
      </c>
      <c r="D4703">
        <v>23</v>
      </c>
      <c r="E4703" s="8">
        <v>0.91300000000000003</v>
      </c>
      <c r="F4703" s="8">
        <v>4.3499999999999997E-2</v>
      </c>
      <c r="G4703" s="8">
        <v>4.3499999999999997E-2</v>
      </c>
    </row>
    <row r="4705" spans="1:7" ht="57.6" x14ac:dyDescent="0.3">
      <c r="A4705" s="22" t="s">
        <v>1084</v>
      </c>
    </row>
    <row r="4706" spans="1:7" x14ac:dyDescent="0.3">
      <c r="A4706" s="22" t="s">
        <v>66</v>
      </c>
      <c r="B4706" t="s">
        <v>62</v>
      </c>
      <c r="C4706" t="s">
        <v>57</v>
      </c>
      <c r="D4706" t="s">
        <v>63</v>
      </c>
      <c r="E4706" t="s">
        <v>815</v>
      </c>
      <c r="F4706" t="s">
        <v>816</v>
      </c>
      <c r="G4706" t="s">
        <v>833</v>
      </c>
    </row>
    <row r="4707" spans="1:7" x14ac:dyDescent="0.3">
      <c r="A4707" s="22" t="s">
        <v>67</v>
      </c>
      <c r="B4707">
        <v>16</v>
      </c>
      <c r="C4707" t="s">
        <v>64</v>
      </c>
      <c r="D4707">
        <v>23</v>
      </c>
      <c r="E4707" s="8">
        <v>0.9375</v>
      </c>
      <c r="G4707" s="8">
        <v>6.25E-2</v>
      </c>
    </row>
    <row r="4708" spans="1:7" x14ac:dyDescent="0.3">
      <c r="A4708" s="22" t="s">
        <v>68</v>
      </c>
      <c r="B4708">
        <v>7</v>
      </c>
      <c r="C4708" t="s">
        <v>64</v>
      </c>
      <c r="D4708">
        <v>23</v>
      </c>
      <c r="E4708" s="8">
        <v>0.85709999999999997</v>
      </c>
      <c r="F4708" s="8">
        <v>0.1429</v>
      </c>
    </row>
    <row r="4710" spans="1:7" ht="57.6" x14ac:dyDescent="0.3">
      <c r="A4710" s="22" t="s">
        <v>1085</v>
      </c>
    </row>
    <row r="4711" spans="1:7" x14ac:dyDescent="0.3">
      <c r="A4711" s="22" t="s">
        <v>66</v>
      </c>
      <c r="B4711" t="s">
        <v>62</v>
      </c>
      <c r="C4711" t="s">
        <v>57</v>
      </c>
      <c r="D4711" t="s">
        <v>63</v>
      </c>
      <c r="E4711" t="s">
        <v>815</v>
      </c>
      <c r="F4711" t="s">
        <v>816</v>
      </c>
      <c r="G4711" t="s">
        <v>833</v>
      </c>
    </row>
    <row r="4712" spans="1:7" x14ac:dyDescent="0.3">
      <c r="A4712" s="22" t="s">
        <v>67</v>
      </c>
      <c r="B4712">
        <v>20</v>
      </c>
      <c r="C4712" t="s">
        <v>64</v>
      </c>
      <c r="D4712">
        <v>23</v>
      </c>
      <c r="E4712" s="8">
        <v>0.9</v>
      </c>
      <c r="F4712" s="8">
        <v>0.05</v>
      </c>
      <c r="G4712" s="8">
        <v>0.05</v>
      </c>
    </row>
    <row r="4713" spans="1:7" x14ac:dyDescent="0.3">
      <c r="A4713" s="22" t="s">
        <v>68</v>
      </c>
      <c r="B4713">
        <v>3</v>
      </c>
      <c r="C4713" t="s">
        <v>64</v>
      </c>
      <c r="D4713">
        <v>23</v>
      </c>
      <c r="E4713" s="8">
        <v>1</v>
      </c>
    </row>
    <row r="4715" spans="1:7" ht="43.2" x14ac:dyDescent="0.3">
      <c r="A4715" s="27" t="s">
        <v>1086</v>
      </c>
    </row>
    <row r="4716" spans="1:7" x14ac:dyDescent="0.3">
      <c r="A4716" s="22" t="s">
        <v>66</v>
      </c>
      <c r="B4716" t="s">
        <v>62</v>
      </c>
      <c r="C4716" t="s">
        <v>57</v>
      </c>
      <c r="D4716" t="s">
        <v>63</v>
      </c>
      <c r="E4716" t="s">
        <v>815</v>
      </c>
      <c r="F4716" t="s">
        <v>816</v>
      </c>
      <c r="G4716" t="s">
        <v>833</v>
      </c>
    </row>
    <row r="4717" spans="1:7" x14ac:dyDescent="0.3">
      <c r="A4717" s="22" t="s">
        <v>81</v>
      </c>
      <c r="B4717">
        <v>4</v>
      </c>
      <c r="C4717" t="s">
        <v>64</v>
      </c>
      <c r="D4717">
        <v>23</v>
      </c>
      <c r="E4717" s="8">
        <v>1</v>
      </c>
    </row>
    <row r="4718" spans="1:7" x14ac:dyDescent="0.3">
      <c r="A4718" s="22" t="s">
        <v>82</v>
      </c>
      <c r="B4718">
        <v>7</v>
      </c>
      <c r="C4718" t="s">
        <v>64</v>
      </c>
      <c r="D4718">
        <v>23</v>
      </c>
      <c r="E4718" s="8">
        <v>0.85709999999999997</v>
      </c>
      <c r="G4718" s="8">
        <v>0.1429</v>
      </c>
    </row>
    <row r="4719" spans="1:7" x14ac:dyDescent="0.3">
      <c r="A4719" s="22" t="s">
        <v>83</v>
      </c>
      <c r="B4719">
        <v>5</v>
      </c>
      <c r="C4719" t="s">
        <v>64</v>
      </c>
      <c r="D4719">
        <v>23</v>
      </c>
      <c r="E4719" s="8">
        <v>1</v>
      </c>
    </row>
    <row r="4720" spans="1:7" x14ac:dyDescent="0.3">
      <c r="A4720" s="22" t="s">
        <v>84</v>
      </c>
      <c r="B4720">
        <v>7</v>
      </c>
      <c r="C4720" t="s">
        <v>64</v>
      </c>
      <c r="D4720">
        <v>23</v>
      </c>
      <c r="E4720" s="8">
        <v>0.85709999999999997</v>
      </c>
      <c r="F4720" s="8">
        <v>0.1429</v>
      </c>
    </row>
    <row r="4722" spans="1:7" ht="43.2" x14ac:dyDescent="0.3">
      <c r="A4722" s="27" t="s">
        <v>1087</v>
      </c>
    </row>
    <row r="4723" spans="1:7" x14ac:dyDescent="0.3">
      <c r="A4723" s="22" t="s">
        <v>62</v>
      </c>
      <c r="B4723" t="s">
        <v>57</v>
      </c>
      <c r="C4723" t="s">
        <v>63</v>
      </c>
      <c r="D4723" t="s">
        <v>815</v>
      </c>
      <c r="E4723" t="s">
        <v>817</v>
      </c>
      <c r="F4723" t="s">
        <v>833</v>
      </c>
    </row>
    <row r="4724" spans="1:7" x14ac:dyDescent="0.3">
      <c r="A4724" s="22">
        <v>9</v>
      </c>
      <c r="B4724" t="s">
        <v>64</v>
      </c>
      <c r="C4724">
        <v>9</v>
      </c>
      <c r="D4724" s="8">
        <v>0.44440000000000002</v>
      </c>
      <c r="E4724" s="8">
        <v>0.33329999999999999</v>
      </c>
      <c r="F4724" s="8">
        <v>0.22220000000000001</v>
      </c>
    </row>
    <row r="4726" spans="1:7" ht="57.6" x14ac:dyDescent="0.3">
      <c r="A4726" s="22" t="s">
        <v>1088</v>
      </c>
    </row>
    <row r="4727" spans="1:7" x14ac:dyDescent="0.3">
      <c r="A4727" s="22" t="s">
        <v>66</v>
      </c>
      <c r="B4727" t="s">
        <v>62</v>
      </c>
      <c r="C4727" t="s">
        <v>57</v>
      </c>
      <c r="D4727" t="s">
        <v>63</v>
      </c>
      <c r="E4727" t="s">
        <v>815</v>
      </c>
      <c r="F4727" t="s">
        <v>817</v>
      </c>
      <c r="G4727" t="s">
        <v>833</v>
      </c>
    </row>
    <row r="4728" spans="1:7" x14ac:dyDescent="0.3">
      <c r="A4728" s="22" t="s">
        <v>67</v>
      </c>
      <c r="B4728">
        <v>9</v>
      </c>
      <c r="C4728" t="s">
        <v>64</v>
      </c>
      <c r="D4728">
        <v>9</v>
      </c>
      <c r="E4728" s="8">
        <v>0.44440000000000002</v>
      </c>
      <c r="F4728" s="8">
        <v>0.33329999999999999</v>
      </c>
      <c r="G4728" s="8">
        <v>0.22220000000000001</v>
      </c>
    </row>
    <row r="4730" spans="1:7" x14ac:dyDescent="0.3">
      <c r="A4730"/>
    </row>
    <row r="4731" spans="1:7" x14ac:dyDescent="0.3">
      <c r="A4731"/>
    </row>
    <row r="4732" spans="1:7" x14ac:dyDescent="0.3">
      <c r="A4732"/>
    </row>
    <row r="4734" spans="1:7" ht="57.6" x14ac:dyDescent="0.3">
      <c r="A4734" s="22" t="s">
        <v>1089</v>
      </c>
    </row>
    <row r="4735" spans="1:7" x14ac:dyDescent="0.3">
      <c r="A4735" s="22" t="s">
        <v>66</v>
      </c>
      <c r="B4735" t="s">
        <v>62</v>
      </c>
      <c r="C4735" t="s">
        <v>57</v>
      </c>
      <c r="D4735" t="s">
        <v>63</v>
      </c>
      <c r="E4735" t="s">
        <v>815</v>
      </c>
      <c r="F4735" t="s">
        <v>817</v>
      </c>
      <c r="G4735" t="s">
        <v>833</v>
      </c>
    </row>
    <row r="4736" spans="1:7" x14ac:dyDescent="0.3">
      <c r="A4736" s="22" t="s">
        <v>67</v>
      </c>
      <c r="B4736">
        <v>9</v>
      </c>
      <c r="C4736" t="s">
        <v>64</v>
      </c>
      <c r="D4736">
        <v>9</v>
      </c>
      <c r="E4736" s="8">
        <v>0.44440000000000002</v>
      </c>
      <c r="F4736" s="8">
        <v>0.33329999999999999</v>
      </c>
      <c r="G4736" s="8">
        <v>0.22220000000000001</v>
      </c>
    </row>
    <row r="4738" spans="1:7" ht="57.6" x14ac:dyDescent="0.3">
      <c r="A4738" s="22" t="s">
        <v>1090</v>
      </c>
    </row>
    <row r="4739" spans="1:7" x14ac:dyDescent="0.3">
      <c r="A4739" s="22" t="s">
        <v>66</v>
      </c>
      <c r="B4739" t="s">
        <v>62</v>
      </c>
      <c r="C4739" t="s">
        <v>57</v>
      </c>
      <c r="D4739" t="s">
        <v>63</v>
      </c>
      <c r="E4739" t="s">
        <v>815</v>
      </c>
      <c r="F4739" t="s">
        <v>817</v>
      </c>
      <c r="G4739" t="s">
        <v>833</v>
      </c>
    </row>
    <row r="4740" spans="1:7" x14ac:dyDescent="0.3">
      <c r="A4740" s="22" t="s">
        <v>67</v>
      </c>
      <c r="B4740">
        <v>9</v>
      </c>
      <c r="C4740" t="s">
        <v>64</v>
      </c>
      <c r="D4740">
        <v>9</v>
      </c>
      <c r="E4740" s="8">
        <v>0.44440000000000002</v>
      </c>
      <c r="F4740" s="8">
        <v>0.33329999999999999</v>
      </c>
      <c r="G4740" s="8">
        <v>0.22220000000000001</v>
      </c>
    </row>
    <row r="4742" spans="1:7" ht="57.6" x14ac:dyDescent="0.3">
      <c r="A4742" s="22" t="s">
        <v>1091</v>
      </c>
    </row>
    <row r="4743" spans="1:7" x14ac:dyDescent="0.3">
      <c r="A4743" s="22" t="s">
        <v>66</v>
      </c>
      <c r="B4743" t="s">
        <v>62</v>
      </c>
      <c r="C4743" t="s">
        <v>57</v>
      </c>
      <c r="D4743" t="s">
        <v>63</v>
      </c>
      <c r="E4743" t="s">
        <v>815</v>
      </c>
      <c r="F4743" t="s">
        <v>817</v>
      </c>
      <c r="G4743" t="s">
        <v>833</v>
      </c>
    </row>
    <row r="4744" spans="1:7" x14ac:dyDescent="0.3">
      <c r="A4744" s="22" t="s">
        <v>67</v>
      </c>
      <c r="B4744">
        <v>7</v>
      </c>
      <c r="C4744" t="s">
        <v>64</v>
      </c>
      <c r="D4744">
        <v>9</v>
      </c>
      <c r="E4744" s="8">
        <v>0.57140000000000002</v>
      </c>
      <c r="F4744" s="8">
        <v>0.1429</v>
      </c>
      <c r="G4744" s="8">
        <v>0.28570000000000001</v>
      </c>
    </row>
    <row r="4745" spans="1:7" x14ac:dyDescent="0.3">
      <c r="A4745" s="22" t="s">
        <v>68</v>
      </c>
      <c r="B4745">
        <v>2</v>
      </c>
      <c r="C4745" t="s">
        <v>64</v>
      </c>
      <c r="D4745">
        <v>9</v>
      </c>
      <c r="F4745" s="8">
        <v>1</v>
      </c>
    </row>
    <row r="4747" spans="1:7" ht="57.6" x14ac:dyDescent="0.3">
      <c r="A4747" s="22" t="s">
        <v>1092</v>
      </c>
    </row>
    <row r="4748" spans="1:7" x14ac:dyDescent="0.3">
      <c r="A4748" s="22" t="s">
        <v>66</v>
      </c>
      <c r="B4748" t="s">
        <v>62</v>
      </c>
      <c r="C4748" t="s">
        <v>57</v>
      </c>
      <c r="D4748" t="s">
        <v>63</v>
      </c>
      <c r="E4748" t="s">
        <v>815</v>
      </c>
      <c r="F4748" t="s">
        <v>817</v>
      </c>
      <c r="G4748" t="s">
        <v>833</v>
      </c>
    </row>
    <row r="4749" spans="1:7" x14ac:dyDescent="0.3">
      <c r="A4749" s="22" t="s">
        <v>68</v>
      </c>
      <c r="B4749">
        <v>9</v>
      </c>
      <c r="C4749" t="s">
        <v>64</v>
      </c>
      <c r="D4749">
        <v>9</v>
      </c>
      <c r="E4749" s="8">
        <v>0.44440000000000002</v>
      </c>
      <c r="F4749" s="8">
        <v>0.33329999999999999</v>
      </c>
      <c r="G4749" s="8">
        <v>0.22220000000000001</v>
      </c>
    </row>
    <row r="4751" spans="1:7" ht="57.6" x14ac:dyDescent="0.3">
      <c r="A4751" s="22" t="s">
        <v>1093</v>
      </c>
    </row>
    <row r="4752" spans="1:7" x14ac:dyDescent="0.3">
      <c r="A4752" s="22" t="s">
        <v>66</v>
      </c>
      <c r="B4752" t="s">
        <v>62</v>
      </c>
      <c r="C4752" t="s">
        <v>57</v>
      </c>
      <c r="D4752" t="s">
        <v>63</v>
      </c>
      <c r="E4752" t="s">
        <v>815</v>
      </c>
      <c r="F4752" t="s">
        <v>817</v>
      </c>
      <c r="G4752" t="s">
        <v>833</v>
      </c>
    </row>
    <row r="4753" spans="1:7" x14ac:dyDescent="0.3">
      <c r="A4753" s="22" t="s">
        <v>67</v>
      </c>
      <c r="B4753">
        <v>8</v>
      </c>
      <c r="C4753" t="s">
        <v>64</v>
      </c>
      <c r="D4753">
        <v>9</v>
      </c>
      <c r="E4753" s="8">
        <v>0.5</v>
      </c>
      <c r="F4753" s="8">
        <v>0.25</v>
      </c>
      <c r="G4753" s="8">
        <v>0.25</v>
      </c>
    </row>
    <row r="4754" spans="1:7" x14ac:dyDescent="0.3">
      <c r="A4754" s="22" t="s">
        <v>68</v>
      </c>
      <c r="B4754">
        <v>1</v>
      </c>
      <c r="C4754" t="s">
        <v>64</v>
      </c>
      <c r="D4754">
        <v>9</v>
      </c>
      <c r="F4754" s="8">
        <v>1</v>
      </c>
    </row>
    <row r="4756" spans="1:7" ht="57.6" x14ac:dyDescent="0.3">
      <c r="A4756" s="22" t="s">
        <v>1094</v>
      </c>
    </row>
    <row r="4757" spans="1:7" x14ac:dyDescent="0.3">
      <c r="A4757" s="22" t="s">
        <v>66</v>
      </c>
      <c r="B4757" t="s">
        <v>62</v>
      </c>
      <c r="C4757" t="s">
        <v>57</v>
      </c>
      <c r="D4757" t="s">
        <v>63</v>
      </c>
      <c r="E4757" t="s">
        <v>815</v>
      </c>
      <c r="F4757" t="s">
        <v>817</v>
      </c>
      <c r="G4757" t="s">
        <v>833</v>
      </c>
    </row>
    <row r="4758" spans="1:7" x14ac:dyDescent="0.3">
      <c r="A4758" s="22" t="s">
        <v>67</v>
      </c>
      <c r="B4758">
        <v>6</v>
      </c>
      <c r="C4758" t="s">
        <v>64</v>
      </c>
      <c r="D4758">
        <v>9</v>
      </c>
      <c r="E4758" s="8">
        <v>0.5</v>
      </c>
      <c r="F4758" s="8">
        <v>0.33329999999999999</v>
      </c>
      <c r="G4758" s="8">
        <v>0.16669999999999999</v>
      </c>
    </row>
    <row r="4759" spans="1:7" x14ac:dyDescent="0.3">
      <c r="A4759" s="22" t="s">
        <v>68</v>
      </c>
      <c r="B4759">
        <v>3</v>
      </c>
      <c r="C4759" t="s">
        <v>64</v>
      </c>
      <c r="D4759">
        <v>9</v>
      </c>
      <c r="E4759" s="8">
        <v>0.33329999999999999</v>
      </c>
      <c r="F4759" s="8">
        <v>0.33329999999999999</v>
      </c>
      <c r="G4759" s="8">
        <v>0.33329999999999999</v>
      </c>
    </row>
    <row r="4761" spans="1:7" ht="57.6" x14ac:dyDescent="0.3">
      <c r="A4761" s="22" t="s">
        <v>1095</v>
      </c>
    </row>
    <row r="4762" spans="1:7" x14ac:dyDescent="0.3">
      <c r="A4762" s="22" t="s">
        <v>66</v>
      </c>
      <c r="B4762" t="s">
        <v>62</v>
      </c>
      <c r="C4762" t="s">
        <v>57</v>
      </c>
      <c r="D4762" t="s">
        <v>63</v>
      </c>
      <c r="E4762" t="s">
        <v>815</v>
      </c>
      <c r="F4762" t="s">
        <v>817</v>
      </c>
      <c r="G4762" t="s">
        <v>833</v>
      </c>
    </row>
    <row r="4763" spans="1:7" x14ac:dyDescent="0.3">
      <c r="A4763" s="22" t="s">
        <v>67</v>
      </c>
      <c r="B4763">
        <v>6</v>
      </c>
      <c r="C4763" t="s">
        <v>64</v>
      </c>
      <c r="D4763">
        <v>9</v>
      </c>
      <c r="E4763" s="8">
        <v>0.5</v>
      </c>
      <c r="F4763" s="8">
        <v>0.33329999999999999</v>
      </c>
      <c r="G4763" s="8">
        <v>0.16669999999999999</v>
      </c>
    </row>
    <row r="4764" spans="1:7" x14ac:dyDescent="0.3">
      <c r="A4764" s="22" t="s">
        <v>68</v>
      </c>
      <c r="B4764">
        <v>3</v>
      </c>
      <c r="C4764" t="s">
        <v>64</v>
      </c>
      <c r="D4764">
        <v>9</v>
      </c>
      <c r="E4764" s="8">
        <v>0.33329999999999999</v>
      </c>
      <c r="F4764" s="8">
        <v>0.33329999999999999</v>
      </c>
      <c r="G4764" s="8">
        <v>0.33329999999999999</v>
      </c>
    </row>
    <row r="4766" spans="1:7" ht="72" x14ac:dyDescent="0.3">
      <c r="A4766" s="22" t="s">
        <v>1096</v>
      </c>
    </row>
    <row r="4767" spans="1:7" x14ac:dyDescent="0.3">
      <c r="A4767" s="22" t="s">
        <v>66</v>
      </c>
      <c r="B4767" t="s">
        <v>62</v>
      </c>
      <c r="C4767" t="s">
        <v>57</v>
      </c>
      <c r="D4767" t="s">
        <v>63</v>
      </c>
      <c r="E4767" t="s">
        <v>815</v>
      </c>
      <c r="F4767" t="s">
        <v>817</v>
      </c>
      <c r="G4767" t="s">
        <v>833</v>
      </c>
    </row>
    <row r="4768" spans="1:7" x14ac:dyDescent="0.3">
      <c r="A4768" s="22" t="s">
        <v>67</v>
      </c>
      <c r="B4768">
        <v>8</v>
      </c>
      <c r="C4768" t="s">
        <v>64</v>
      </c>
      <c r="D4768">
        <v>9</v>
      </c>
      <c r="E4768" s="8">
        <v>0.5</v>
      </c>
      <c r="F4768" s="8">
        <v>0.25</v>
      </c>
      <c r="G4768" s="8">
        <v>0.25</v>
      </c>
    </row>
    <row r="4769" spans="1:7" x14ac:dyDescent="0.3">
      <c r="A4769" s="22" t="s">
        <v>68</v>
      </c>
      <c r="B4769">
        <v>1</v>
      </c>
      <c r="C4769" t="s">
        <v>64</v>
      </c>
      <c r="D4769">
        <v>9</v>
      </c>
      <c r="F4769" s="8">
        <v>1</v>
      </c>
    </row>
    <row r="4771" spans="1:7" ht="72" x14ac:dyDescent="0.3">
      <c r="A4771" s="22" t="s">
        <v>1097</v>
      </c>
    </row>
    <row r="4772" spans="1:7" x14ac:dyDescent="0.3">
      <c r="A4772" s="22" t="s">
        <v>66</v>
      </c>
      <c r="B4772" t="s">
        <v>62</v>
      </c>
      <c r="C4772" t="s">
        <v>57</v>
      </c>
      <c r="D4772" t="s">
        <v>63</v>
      </c>
      <c r="E4772" t="s">
        <v>815</v>
      </c>
      <c r="F4772" t="s">
        <v>817</v>
      </c>
      <c r="G4772" t="s">
        <v>833</v>
      </c>
    </row>
    <row r="4773" spans="1:7" x14ac:dyDescent="0.3">
      <c r="A4773" s="22" t="s">
        <v>67</v>
      </c>
      <c r="B4773">
        <v>9</v>
      </c>
      <c r="C4773" t="s">
        <v>64</v>
      </c>
      <c r="D4773">
        <v>9</v>
      </c>
      <c r="E4773" s="8">
        <v>0.44440000000000002</v>
      </c>
      <c r="F4773" s="8">
        <v>0.33329999999999999</v>
      </c>
      <c r="G4773" s="8">
        <v>0.22220000000000001</v>
      </c>
    </row>
    <row r="4775" spans="1:7" ht="57.6" x14ac:dyDescent="0.3">
      <c r="A4775" s="22" t="s">
        <v>1098</v>
      </c>
    </row>
    <row r="4776" spans="1:7" x14ac:dyDescent="0.3">
      <c r="A4776" s="22" t="s">
        <v>66</v>
      </c>
      <c r="B4776" t="s">
        <v>62</v>
      </c>
      <c r="C4776" t="s">
        <v>57</v>
      </c>
      <c r="D4776" t="s">
        <v>63</v>
      </c>
      <c r="E4776" t="s">
        <v>815</v>
      </c>
      <c r="F4776" t="s">
        <v>817</v>
      </c>
      <c r="G4776" t="s">
        <v>833</v>
      </c>
    </row>
    <row r="4777" spans="1:7" x14ac:dyDescent="0.3">
      <c r="A4777" s="22" t="s">
        <v>67</v>
      </c>
      <c r="B4777">
        <v>5</v>
      </c>
      <c r="C4777" t="s">
        <v>64</v>
      </c>
      <c r="D4777">
        <v>9</v>
      </c>
      <c r="E4777" s="8">
        <v>0.4</v>
      </c>
      <c r="F4777" s="8">
        <v>0.4</v>
      </c>
      <c r="G4777" s="8">
        <v>0.2</v>
      </c>
    </row>
    <row r="4778" spans="1:7" x14ac:dyDescent="0.3">
      <c r="A4778" s="22" t="s">
        <v>68</v>
      </c>
      <c r="B4778">
        <v>4</v>
      </c>
      <c r="C4778" t="s">
        <v>64</v>
      </c>
      <c r="D4778">
        <v>9</v>
      </c>
      <c r="E4778" s="8">
        <v>0.5</v>
      </c>
      <c r="F4778" s="8">
        <v>0.25</v>
      </c>
      <c r="G4778" s="8">
        <v>0.25</v>
      </c>
    </row>
    <row r="4780" spans="1:7" ht="57.6" x14ac:dyDescent="0.3">
      <c r="A4780" s="22" t="s">
        <v>1099</v>
      </c>
    </row>
    <row r="4781" spans="1:7" x14ac:dyDescent="0.3">
      <c r="A4781" s="22" t="s">
        <v>66</v>
      </c>
      <c r="B4781" t="s">
        <v>62</v>
      </c>
      <c r="C4781" t="s">
        <v>57</v>
      </c>
      <c r="D4781" t="s">
        <v>63</v>
      </c>
      <c r="E4781" t="s">
        <v>815</v>
      </c>
      <c r="F4781" t="s">
        <v>817</v>
      </c>
      <c r="G4781" t="s">
        <v>833</v>
      </c>
    </row>
    <row r="4782" spans="1:7" x14ac:dyDescent="0.3">
      <c r="A4782" s="22" t="s">
        <v>67</v>
      </c>
      <c r="B4782">
        <v>7</v>
      </c>
      <c r="C4782" t="s">
        <v>64</v>
      </c>
      <c r="D4782">
        <v>9</v>
      </c>
      <c r="E4782" s="8">
        <v>0.57140000000000002</v>
      </c>
      <c r="F4782" s="8">
        <v>0.1429</v>
      </c>
      <c r="G4782" s="8">
        <v>0.28570000000000001</v>
      </c>
    </row>
    <row r="4783" spans="1:7" x14ac:dyDescent="0.3">
      <c r="A4783" s="22" t="s">
        <v>68</v>
      </c>
      <c r="B4783">
        <v>2</v>
      </c>
      <c r="C4783" t="s">
        <v>64</v>
      </c>
      <c r="D4783">
        <v>9</v>
      </c>
      <c r="F4783" s="8">
        <v>1</v>
      </c>
    </row>
    <row r="4785" spans="1:20" ht="43.2" x14ac:dyDescent="0.3">
      <c r="A4785" s="27" t="s">
        <v>1100</v>
      </c>
    </row>
    <row r="4786" spans="1:20" x14ac:dyDescent="0.3">
      <c r="A4786" s="22" t="s">
        <v>66</v>
      </c>
      <c r="B4786" t="s">
        <v>62</v>
      </c>
      <c r="C4786" t="s">
        <v>57</v>
      </c>
      <c r="D4786" t="s">
        <v>63</v>
      </c>
      <c r="E4786" t="s">
        <v>815</v>
      </c>
      <c r="F4786" t="s">
        <v>817</v>
      </c>
      <c r="G4786" t="s">
        <v>833</v>
      </c>
    </row>
    <row r="4787" spans="1:20" x14ac:dyDescent="0.3">
      <c r="A4787" s="22" t="s">
        <v>81</v>
      </c>
      <c r="B4787">
        <v>2</v>
      </c>
      <c r="C4787" t="s">
        <v>64</v>
      </c>
      <c r="D4787">
        <v>9</v>
      </c>
      <c r="E4787" s="8">
        <v>0.5</v>
      </c>
      <c r="G4787" s="8">
        <v>0.5</v>
      </c>
    </row>
    <row r="4788" spans="1:20" x14ac:dyDescent="0.3">
      <c r="A4788" s="22" t="s">
        <v>82</v>
      </c>
      <c r="B4788">
        <v>3</v>
      </c>
      <c r="C4788" t="s">
        <v>64</v>
      </c>
      <c r="D4788">
        <v>9</v>
      </c>
      <c r="E4788" s="8">
        <v>0.66669999999999996</v>
      </c>
      <c r="G4788" s="8">
        <v>0.33329999999999999</v>
      </c>
    </row>
    <row r="4789" spans="1:20" x14ac:dyDescent="0.3">
      <c r="A4789" s="22" t="s">
        <v>83</v>
      </c>
      <c r="B4789">
        <v>1</v>
      </c>
      <c r="C4789" t="s">
        <v>64</v>
      </c>
      <c r="D4789">
        <v>9</v>
      </c>
      <c r="F4789" s="8">
        <v>1</v>
      </c>
    </row>
    <row r="4790" spans="1:20" x14ac:dyDescent="0.3">
      <c r="A4790" s="22" t="s">
        <v>84</v>
      </c>
      <c r="B4790">
        <v>3</v>
      </c>
      <c r="C4790" t="s">
        <v>64</v>
      </c>
      <c r="D4790">
        <v>9</v>
      </c>
      <c r="E4790" s="8">
        <v>0.33329999999999999</v>
      </c>
      <c r="F4790" s="8">
        <v>0.66669999999999996</v>
      </c>
    </row>
    <row r="4792" spans="1:20" ht="43.2" x14ac:dyDescent="0.3">
      <c r="A4792" s="27" t="s">
        <v>1101</v>
      </c>
    </row>
    <row r="4793" spans="1:20" x14ac:dyDescent="0.3">
      <c r="A4793" s="22" t="s">
        <v>62</v>
      </c>
      <c r="B4793" t="s">
        <v>57</v>
      </c>
      <c r="C4793" t="s">
        <v>63</v>
      </c>
      <c r="D4793" t="s">
        <v>226</v>
      </c>
      <c r="E4793" t="s">
        <v>228</v>
      </c>
      <c r="F4793" t="s">
        <v>229</v>
      </c>
      <c r="G4793" t="s">
        <v>154</v>
      </c>
      <c r="H4793" t="s">
        <v>230</v>
      </c>
      <c r="I4793" t="s">
        <v>232</v>
      </c>
      <c r="J4793" t="s">
        <v>233</v>
      </c>
      <c r="K4793" t="s">
        <v>234</v>
      </c>
      <c r="L4793" t="s">
        <v>235</v>
      </c>
      <c r="M4793" t="s">
        <v>236</v>
      </c>
      <c r="N4793" t="s">
        <v>237</v>
      </c>
      <c r="O4793" t="s">
        <v>136</v>
      </c>
      <c r="P4793" t="s">
        <v>239</v>
      </c>
      <c r="Q4793" t="s">
        <v>241</v>
      </c>
      <c r="R4793" t="s">
        <v>243</v>
      </c>
      <c r="S4793" t="s">
        <v>244</v>
      </c>
    </row>
    <row r="4794" spans="1:20" x14ac:dyDescent="0.3">
      <c r="A4794" s="22">
        <v>130</v>
      </c>
      <c r="B4794" t="s">
        <v>64</v>
      </c>
      <c r="C4794">
        <v>130</v>
      </c>
      <c r="D4794" s="8">
        <v>1.54E-2</v>
      </c>
      <c r="E4794" s="8">
        <v>7.7000000000000002E-3</v>
      </c>
      <c r="F4794" s="8">
        <v>1.54E-2</v>
      </c>
      <c r="G4794" s="8">
        <v>0.66920000000000002</v>
      </c>
      <c r="H4794" s="8">
        <v>2.3099999999999999E-2</v>
      </c>
      <c r="I4794" s="8">
        <v>7.7000000000000002E-3</v>
      </c>
      <c r="J4794" s="8">
        <v>4.6199999999999998E-2</v>
      </c>
      <c r="K4794" s="8">
        <v>1.54E-2</v>
      </c>
      <c r="L4794" s="8">
        <v>1.54E-2</v>
      </c>
      <c r="M4794" s="8">
        <v>7.6899999999999996E-2</v>
      </c>
      <c r="N4794" s="8">
        <v>1.54E-2</v>
      </c>
      <c r="O4794" s="8">
        <v>7.7000000000000002E-3</v>
      </c>
      <c r="P4794" s="8">
        <v>0.1308</v>
      </c>
      <c r="Q4794" s="8">
        <v>2.3099999999999999E-2</v>
      </c>
      <c r="R4794" s="8">
        <v>1.54E-2</v>
      </c>
      <c r="S4794" s="8">
        <v>3.0800000000000001E-2</v>
      </c>
    </row>
    <row r="4796" spans="1:20" ht="57.6" x14ac:dyDescent="0.3">
      <c r="A4796" s="22" t="s">
        <v>1102</v>
      </c>
    </row>
    <row r="4797" spans="1:20" x14ac:dyDescent="0.3">
      <c r="A4797" s="22" t="s">
        <v>66</v>
      </c>
      <c r="B4797" t="s">
        <v>62</v>
      </c>
      <c r="C4797" t="s">
        <v>57</v>
      </c>
      <c r="D4797" t="s">
        <v>63</v>
      </c>
      <c r="E4797" t="s">
        <v>226</v>
      </c>
      <c r="F4797" t="s">
        <v>228</v>
      </c>
      <c r="G4797" t="s">
        <v>229</v>
      </c>
      <c r="H4797" t="s">
        <v>154</v>
      </c>
      <c r="I4797" t="s">
        <v>230</v>
      </c>
      <c r="J4797" t="s">
        <v>232</v>
      </c>
      <c r="K4797" t="s">
        <v>233</v>
      </c>
      <c r="L4797" t="s">
        <v>234</v>
      </c>
      <c r="M4797" t="s">
        <v>235</v>
      </c>
      <c r="N4797" t="s">
        <v>236</v>
      </c>
      <c r="O4797" t="s">
        <v>237</v>
      </c>
      <c r="P4797" t="s">
        <v>136</v>
      </c>
      <c r="Q4797" t="s">
        <v>239</v>
      </c>
      <c r="R4797" t="s">
        <v>241</v>
      </c>
      <c r="S4797" t="s">
        <v>243</v>
      </c>
      <c r="T4797" t="s">
        <v>244</v>
      </c>
    </row>
    <row r="4798" spans="1:20" x14ac:dyDescent="0.3">
      <c r="A4798" s="22" t="s">
        <v>67</v>
      </c>
      <c r="B4798">
        <v>123</v>
      </c>
      <c r="C4798" t="s">
        <v>64</v>
      </c>
      <c r="D4798">
        <v>130</v>
      </c>
      <c r="E4798" s="8">
        <v>8.0999999999999996E-3</v>
      </c>
      <c r="F4798" s="8">
        <v>8.0999999999999996E-3</v>
      </c>
      <c r="G4798" s="8">
        <v>1.6299999999999999E-2</v>
      </c>
      <c r="H4798" s="8">
        <v>0.68289999999999995</v>
      </c>
      <c r="I4798" s="8">
        <v>1.6299999999999999E-2</v>
      </c>
      <c r="J4798" s="8">
        <v>8.0999999999999996E-3</v>
      </c>
      <c r="K4798" s="8">
        <v>4.8800000000000003E-2</v>
      </c>
      <c r="L4798" s="8">
        <v>1.6299999999999999E-2</v>
      </c>
      <c r="M4798" s="8">
        <v>1.6299999999999999E-2</v>
      </c>
      <c r="N4798" s="8">
        <v>7.3200000000000001E-2</v>
      </c>
      <c r="O4798" s="8">
        <v>8.0999999999999996E-3</v>
      </c>
      <c r="P4798" s="8">
        <v>8.0999999999999996E-3</v>
      </c>
      <c r="Q4798" s="8">
        <v>0.13009999999999999</v>
      </c>
      <c r="R4798" s="8">
        <v>2.4400000000000002E-2</v>
      </c>
      <c r="S4798" s="8">
        <v>1.6299999999999999E-2</v>
      </c>
      <c r="T4798" s="8">
        <v>3.2500000000000001E-2</v>
      </c>
    </row>
    <row r="4799" spans="1:20" x14ac:dyDescent="0.3">
      <c r="A4799" s="22" t="s">
        <v>68</v>
      </c>
      <c r="B4799">
        <v>7</v>
      </c>
      <c r="C4799" t="s">
        <v>64</v>
      </c>
      <c r="D4799">
        <v>130</v>
      </c>
      <c r="E4799" s="8">
        <v>0.1429</v>
      </c>
      <c r="H4799" s="8">
        <v>0.42859999999999998</v>
      </c>
      <c r="I4799" s="8">
        <v>0.1429</v>
      </c>
      <c r="N4799" s="8">
        <v>0.1429</v>
      </c>
      <c r="O4799" s="8">
        <v>0.1429</v>
      </c>
      <c r="Q4799" s="8">
        <v>0.1429</v>
      </c>
    </row>
    <row r="4801" spans="1:20" x14ac:dyDescent="0.3">
      <c r="A4801"/>
    </row>
    <row r="4802" spans="1:20" x14ac:dyDescent="0.3">
      <c r="A4802"/>
    </row>
    <row r="4803" spans="1:20" x14ac:dyDescent="0.3">
      <c r="A4803"/>
    </row>
    <row r="4805" spans="1:20" ht="57.6" x14ac:dyDescent="0.3">
      <c r="A4805" s="22" t="s">
        <v>1103</v>
      </c>
    </row>
    <row r="4806" spans="1:20" x14ac:dyDescent="0.3">
      <c r="A4806" s="22" t="s">
        <v>66</v>
      </c>
      <c r="B4806" t="s">
        <v>62</v>
      </c>
      <c r="C4806" t="s">
        <v>57</v>
      </c>
      <c r="D4806" t="s">
        <v>63</v>
      </c>
      <c r="E4806" t="s">
        <v>226</v>
      </c>
      <c r="F4806" t="s">
        <v>228</v>
      </c>
      <c r="G4806" t="s">
        <v>229</v>
      </c>
      <c r="H4806" t="s">
        <v>154</v>
      </c>
      <c r="I4806" t="s">
        <v>230</v>
      </c>
      <c r="J4806" t="s">
        <v>232</v>
      </c>
      <c r="K4806" t="s">
        <v>233</v>
      </c>
      <c r="L4806" t="s">
        <v>234</v>
      </c>
      <c r="M4806" t="s">
        <v>235</v>
      </c>
      <c r="N4806" t="s">
        <v>236</v>
      </c>
      <c r="O4806" t="s">
        <v>237</v>
      </c>
      <c r="P4806" t="s">
        <v>136</v>
      </c>
      <c r="Q4806" t="s">
        <v>239</v>
      </c>
      <c r="R4806" t="s">
        <v>241</v>
      </c>
      <c r="S4806" t="s">
        <v>243</v>
      </c>
      <c r="T4806" t="s">
        <v>244</v>
      </c>
    </row>
    <row r="4807" spans="1:20" x14ac:dyDescent="0.3">
      <c r="A4807" s="22" t="s">
        <v>67</v>
      </c>
      <c r="B4807">
        <v>124</v>
      </c>
      <c r="C4807" t="s">
        <v>64</v>
      </c>
      <c r="D4807">
        <v>130</v>
      </c>
      <c r="E4807" s="8">
        <v>1.61E-2</v>
      </c>
      <c r="F4807" s="8">
        <v>8.0999999999999996E-3</v>
      </c>
      <c r="G4807" s="8">
        <v>1.61E-2</v>
      </c>
      <c r="H4807" s="8">
        <v>0.6613</v>
      </c>
      <c r="I4807" s="8">
        <v>2.4199999999999999E-2</v>
      </c>
      <c r="J4807" s="8">
        <v>8.0999999999999996E-3</v>
      </c>
      <c r="K4807" s="8">
        <v>4.8399999999999999E-2</v>
      </c>
      <c r="L4807" s="8">
        <v>1.61E-2</v>
      </c>
      <c r="M4807" s="8">
        <v>1.61E-2</v>
      </c>
      <c r="N4807" s="8">
        <v>7.2599999999999998E-2</v>
      </c>
      <c r="O4807" s="8">
        <v>1.61E-2</v>
      </c>
      <c r="P4807" s="8">
        <v>8.0999999999999996E-3</v>
      </c>
      <c r="Q4807" s="8">
        <v>0.1371</v>
      </c>
      <c r="R4807" s="8">
        <v>2.4199999999999999E-2</v>
      </c>
      <c r="S4807" s="8">
        <v>1.61E-2</v>
      </c>
      <c r="T4807" s="8">
        <v>3.2300000000000002E-2</v>
      </c>
    </row>
    <row r="4808" spans="1:20" x14ac:dyDescent="0.3">
      <c r="A4808" s="22" t="s">
        <v>68</v>
      </c>
      <c r="B4808">
        <v>6</v>
      </c>
      <c r="C4808" t="s">
        <v>64</v>
      </c>
      <c r="D4808">
        <v>130</v>
      </c>
      <c r="H4808" s="8">
        <v>0.83330000000000004</v>
      </c>
      <c r="N4808" s="8">
        <v>0.16669999999999999</v>
      </c>
    </row>
    <row r="4810" spans="1:20" ht="57.6" x14ac:dyDescent="0.3">
      <c r="A4810" s="22" t="s">
        <v>1104</v>
      </c>
    </row>
    <row r="4811" spans="1:20" x14ac:dyDescent="0.3">
      <c r="A4811" s="22" t="s">
        <v>66</v>
      </c>
      <c r="B4811" t="s">
        <v>62</v>
      </c>
      <c r="C4811" t="s">
        <v>57</v>
      </c>
      <c r="D4811" t="s">
        <v>63</v>
      </c>
      <c r="E4811" t="s">
        <v>226</v>
      </c>
      <c r="F4811" t="s">
        <v>228</v>
      </c>
      <c r="G4811" t="s">
        <v>229</v>
      </c>
      <c r="H4811" t="s">
        <v>154</v>
      </c>
      <c r="I4811" t="s">
        <v>230</v>
      </c>
      <c r="J4811" t="s">
        <v>232</v>
      </c>
      <c r="K4811" t="s">
        <v>233</v>
      </c>
      <c r="L4811" t="s">
        <v>234</v>
      </c>
      <c r="M4811" t="s">
        <v>235</v>
      </c>
      <c r="N4811" t="s">
        <v>236</v>
      </c>
      <c r="O4811" t="s">
        <v>237</v>
      </c>
      <c r="P4811" t="s">
        <v>136</v>
      </c>
      <c r="Q4811" t="s">
        <v>239</v>
      </c>
      <c r="R4811" t="s">
        <v>241</v>
      </c>
      <c r="S4811" t="s">
        <v>243</v>
      </c>
      <c r="T4811" t="s">
        <v>244</v>
      </c>
    </row>
    <row r="4812" spans="1:20" x14ac:dyDescent="0.3">
      <c r="A4812" s="22" t="s">
        <v>67</v>
      </c>
      <c r="B4812">
        <v>129</v>
      </c>
      <c r="C4812" t="s">
        <v>64</v>
      </c>
      <c r="D4812">
        <v>130</v>
      </c>
      <c r="E4812" s="8">
        <v>1.55E-2</v>
      </c>
      <c r="F4812" s="8">
        <v>7.7999999999999996E-3</v>
      </c>
      <c r="G4812" s="8">
        <v>1.55E-2</v>
      </c>
      <c r="H4812" s="8">
        <v>0.66669999999999996</v>
      </c>
      <c r="I4812" s="8">
        <v>2.3300000000000001E-2</v>
      </c>
      <c r="J4812" s="8">
        <v>7.7999999999999996E-3</v>
      </c>
      <c r="K4812" s="8">
        <v>4.65E-2</v>
      </c>
      <c r="L4812" s="8">
        <v>1.55E-2</v>
      </c>
      <c r="M4812" s="8">
        <v>1.55E-2</v>
      </c>
      <c r="N4812" s="8">
        <v>7.7499999999999999E-2</v>
      </c>
      <c r="O4812" s="8">
        <v>1.55E-2</v>
      </c>
      <c r="P4812" s="8">
        <v>7.7999999999999996E-3</v>
      </c>
      <c r="Q4812" s="8">
        <v>0.1318</v>
      </c>
      <c r="R4812" s="8">
        <v>2.3300000000000001E-2</v>
      </c>
      <c r="S4812" s="8">
        <v>1.55E-2</v>
      </c>
      <c r="T4812" s="8">
        <v>3.1E-2</v>
      </c>
    </row>
    <row r="4813" spans="1:20" x14ac:dyDescent="0.3">
      <c r="A4813" s="22" t="s">
        <v>68</v>
      </c>
      <c r="B4813">
        <v>1</v>
      </c>
      <c r="C4813" t="s">
        <v>64</v>
      </c>
      <c r="D4813">
        <v>130</v>
      </c>
      <c r="H4813" s="8">
        <v>1</v>
      </c>
    </row>
    <row r="4815" spans="1:20" ht="57.6" x14ac:dyDescent="0.3">
      <c r="A4815" s="22" t="s">
        <v>1105</v>
      </c>
    </row>
    <row r="4816" spans="1:20" x14ac:dyDescent="0.3">
      <c r="A4816" s="22" t="s">
        <v>66</v>
      </c>
      <c r="B4816" t="s">
        <v>62</v>
      </c>
      <c r="C4816" t="s">
        <v>57</v>
      </c>
      <c r="D4816" t="s">
        <v>63</v>
      </c>
      <c r="E4816" t="s">
        <v>226</v>
      </c>
      <c r="F4816" t="s">
        <v>228</v>
      </c>
      <c r="G4816" t="s">
        <v>229</v>
      </c>
      <c r="H4816" t="s">
        <v>154</v>
      </c>
      <c r="I4816" t="s">
        <v>230</v>
      </c>
      <c r="J4816" t="s">
        <v>232</v>
      </c>
      <c r="K4816" t="s">
        <v>233</v>
      </c>
      <c r="L4816" t="s">
        <v>234</v>
      </c>
      <c r="M4816" t="s">
        <v>235</v>
      </c>
      <c r="N4816" t="s">
        <v>236</v>
      </c>
      <c r="O4816" t="s">
        <v>237</v>
      </c>
      <c r="P4816" t="s">
        <v>136</v>
      </c>
      <c r="Q4816" t="s">
        <v>239</v>
      </c>
      <c r="R4816" t="s">
        <v>241</v>
      </c>
      <c r="S4816" t="s">
        <v>243</v>
      </c>
      <c r="T4816" t="s">
        <v>244</v>
      </c>
    </row>
    <row r="4817" spans="1:20" x14ac:dyDescent="0.3">
      <c r="A4817" s="22" t="s">
        <v>67</v>
      </c>
      <c r="B4817">
        <v>120</v>
      </c>
      <c r="C4817" t="s">
        <v>64</v>
      </c>
      <c r="D4817">
        <v>130</v>
      </c>
      <c r="E4817" s="8">
        <v>8.3000000000000001E-3</v>
      </c>
      <c r="F4817" s="8">
        <v>8.3000000000000001E-3</v>
      </c>
      <c r="G4817" s="8">
        <v>1.67E-2</v>
      </c>
      <c r="H4817" s="8">
        <v>0.67500000000000004</v>
      </c>
      <c r="I4817" s="8">
        <v>2.5000000000000001E-2</v>
      </c>
      <c r="J4817" s="8">
        <v>8.3000000000000001E-3</v>
      </c>
      <c r="K4817" s="8">
        <v>4.1700000000000001E-2</v>
      </c>
      <c r="L4817" s="8">
        <v>1.67E-2</v>
      </c>
      <c r="M4817" s="8">
        <v>1.67E-2</v>
      </c>
      <c r="N4817" s="8">
        <v>7.4999999999999997E-2</v>
      </c>
      <c r="O4817" s="8">
        <v>1.67E-2</v>
      </c>
      <c r="P4817" s="8">
        <v>8.3000000000000001E-3</v>
      </c>
      <c r="Q4817" s="8">
        <v>0.125</v>
      </c>
      <c r="R4817" s="8">
        <v>2.5000000000000001E-2</v>
      </c>
      <c r="S4817" s="8">
        <v>1.67E-2</v>
      </c>
      <c r="T4817" s="8">
        <v>2.5000000000000001E-2</v>
      </c>
    </row>
    <row r="4818" spans="1:20" x14ac:dyDescent="0.3">
      <c r="A4818" s="22" t="s">
        <v>68</v>
      </c>
      <c r="B4818">
        <v>10</v>
      </c>
      <c r="C4818" t="s">
        <v>64</v>
      </c>
      <c r="D4818">
        <v>130</v>
      </c>
      <c r="E4818" s="8">
        <v>0.1</v>
      </c>
      <c r="H4818" s="8">
        <v>0.6</v>
      </c>
      <c r="K4818" s="8">
        <v>0.1</v>
      </c>
      <c r="N4818" s="8">
        <v>0.1</v>
      </c>
      <c r="Q4818" s="8">
        <v>0.2</v>
      </c>
      <c r="T4818" s="8">
        <v>0.1</v>
      </c>
    </row>
    <row r="4820" spans="1:20" ht="57.6" x14ac:dyDescent="0.3">
      <c r="A4820" s="22" t="s">
        <v>1106</v>
      </c>
    </row>
    <row r="4821" spans="1:20" x14ac:dyDescent="0.3">
      <c r="A4821" s="22" t="s">
        <v>66</v>
      </c>
      <c r="B4821" t="s">
        <v>62</v>
      </c>
      <c r="C4821" t="s">
        <v>57</v>
      </c>
      <c r="D4821" t="s">
        <v>63</v>
      </c>
      <c r="E4821" t="s">
        <v>226</v>
      </c>
      <c r="F4821" t="s">
        <v>228</v>
      </c>
      <c r="G4821" t="s">
        <v>229</v>
      </c>
      <c r="H4821" t="s">
        <v>154</v>
      </c>
      <c r="I4821" t="s">
        <v>230</v>
      </c>
      <c r="J4821" t="s">
        <v>232</v>
      </c>
      <c r="K4821" t="s">
        <v>233</v>
      </c>
      <c r="L4821" t="s">
        <v>234</v>
      </c>
      <c r="M4821" t="s">
        <v>235</v>
      </c>
      <c r="N4821" t="s">
        <v>236</v>
      </c>
      <c r="O4821" t="s">
        <v>237</v>
      </c>
      <c r="P4821" t="s">
        <v>136</v>
      </c>
      <c r="Q4821" t="s">
        <v>239</v>
      </c>
      <c r="R4821" t="s">
        <v>241</v>
      </c>
      <c r="S4821" t="s">
        <v>243</v>
      </c>
      <c r="T4821" t="s">
        <v>244</v>
      </c>
    </row>
    <row r="4822" spans="1:20" x14ac:dyDescent="0.3">
      <c r="A4822" s="22" t="s">
        <v>67</v>
      </c>
      <c r="B4822">
        <v>5</v>
      </c>
      <c r="C4822" t="s">
        <v>64</v>
      </c>
      <c r="D4822">
        <v>130</v>
      </c>
      <c r="H4822" s="8">
        <v>0.6</v>
      </c>
      <c r="O4822" s="8">
        <v>0.2</v>
      </c>
      <c r="Q4822" s="8">
        <v>0.2</v>
      </c>
    </row>
    <row r="4823" spans="1:20" x14ac:dyDescent="0.3">
      <c r="A4823" s="22" t="s">
        <v>68</v>
      </c>
      <c r="B4823">
        <v>125</v>
      </c>
      <c r="C4823" t="s">
        <v>64</v>
      </c>
      <c r="D4823">
        <v>130</v>
      </c>
      <c r="E4823" s="8">
        <v>1.6E-2</v>
      </c>
      <c r="F4823" s="8">
        <v>8.0000000000000002E-3</v>
      </c>
      <c r="G4823" s="8">
        <v>1.6E-2</v>
      </c>
      <c r="H4823" s="8">
        <v>0.67200000000000004</v>
      </c>
      <c r="I4823" s="8">
        <v>2.4E-2</v>
      </c>
      <c r="J4823" s="8">
        <v>8.0000000000000002E-3</v>
      </c>
      <c r="K4823" s="8">
        <v>4.8000000000000001E-2</v>
      </c>
      <c r="L4823" s="8">
        <v>1.6E-2</v>
      </c>
      <c r="M4823" s="8">
        <v>1.6E-2</v>
      </c>
      <c r="N4823" s="8">
        <v>0.08</v>
      </c>
      <c r="O4823" s="8">
        <v>8.0000000000000002E-3</v>
      </c>
      <c r="P4823" s="8">
        <v>8.0000000000000002E-3</v>
      </c>
      <c r="Q4823" s="8">
        <v>0.128</v>
      </c>
      <c r="R4823" s="8">
        <v>2.4E-2</v>
      </c>
      <c r="S4823" s="8">
        <v>1.6E-2</v>
      </c>
      <c r="T4823" s="8">
        <v>3.2000000000000001E-2</v>
      </c>
    </row>
    <row r="4825" spans="1:20" ht="57.6" x14ac:dyDescent="0.3">
      <c r="A4825" s="22" t="s">
        <v>1107</v>
      </c>
    </row>
    <row r="4826" spans="1:20" x14ac:dyDescent="0.3">
      <c r="A4826" s="22" t="s">
        <v>66</v>
      </c>
      <c r="B4826" t="s">
        <v>62</v>
      </c>
      <c r="C4826" t="s">
        <v>57</v>
      </c>
      <c r="D4826" t="s">
        <v>63</v>
      </c>
      <c r="E4826" t="s">
        <v>226</v>
      </c>
      <c r="F4826" t="s">
        <v>228</v>
      </c>
      <c r="G4826" t="s">
        <v>229</v>
      </c>
      <c r="H4826" t="s">
        <v>154</v>
      </c>
      <c r="I4826" t="s">
        <v>230</v>
      </c>
      <c r="J4826" t="s">
        <v>232</v>
      </c>
      <c r="K4826" t="s">
        <v>233</v>
      </c>
      <c r="L4826" t="s">
        <v>234</v>
      </c>
      <c r="M4826" t="s">
        <v>235</v>
      </c>
      <c r="N4826" t="s">
        <v>236</v>
      </c>
      <c r="O4826" t="s">
        <v>237</v>
      </c>
      <c r="P4826" t="s">
        <v>136</v>
      </c>
      <c r="Q4826" t="s">
        <v>239</v>
      </c>
      <c r="R4826" t="s">
        <v>241</v>
      </c>
      <c r="S4826" t="s">
        <v>243</v>
      </c>
      <c r="T4826" t="s">
        <v>244</v>
      </c>
    </row>
    <row r="4827" spans="1:20" x14ac:dyDescent="0.3">
      <c r="A4827" s="22" t="s">
        <v>67</v>
      </c>
      <c r="B4827">
        <v>106</v>
      </c>
      <c r="C4827" t="s">
        <v>64</v>
      </c>
      <c r="D4827">
        <v>130</v>
      </c>
      <c r="E4827" s="8">
        <v>1.89E-2</v>
      </c>
      <c r="F4827" s="8">
        <v>9.4000000000000004E-3</v>
      </c>
      <c r="G4827" s="8">
        <v>9.4000000000000004E-3</v>
      </c>
      <c r="H4827" s="8">
        <v>0.67920000000000003</v>
      </c>
      <c r="I4827" s="8">
        <v>2.8299999999999999E-2</v>
      </c>
      <c r="J4827" s="8">
        <v>9.4000000000000004E-3</v>
      </c>
      <c r="K4827" s="8">
        <v>3.7699999999999997E-2</v>
      </c>
      <c r="L4827" s="8">
        <v>1.89E-2</v>
      </c>
      <c r="M4827" s="8">
        <v>9.4000000000000004E-3</v>
      </c>
      <c r="N4827" s="8">
        <v>7.5499999999999998E-2</v>
      </c>
      <c r="O4827" s="8">
        <v>9.4000000000000004E-3</v>
      </c>
      <c r="P4827" s="8">
        <v>9.4000000000000004E-3</v>
      </c>
      <c r="Q4827" s="8">
        <v>0.1321</v>
      </c>
      <c r="R4827" s="8">
        <v>9.4000000000000004E-3</v>
      </c>
      <c r="S4827" s="8">
        <v>1.89E-2</v>
      </c>
      <c r="T4827" s="8">
        <v>3.7699999999999997E-2</v>
      </c>
    </row>
    <row r="4828" spans="1:20" x14ac:dyDescent="0.3">
      <c r="A4828" s="22" t="s">
        <v>68</v>
      </c>
      <c r="B4828">
        <v>24</v>
      </c>
      <c r="C4828" t="s">
        <v>64</v>
      </c>
      <c r="D4828">
        <v>130</v>
      </c>
      <c r="G4828" s="8">
        <v>4.1700000000000001E-2</v>
      </c>
      <c r="H4828" s="8">
        <v>0.625</v>
      </c>
      <c r="K4828" s="8">
        <v>8.3299999999999999E-2</v>
      </c>
      <c r="M4828" s="8">
        <v>4.1700000000000001E-2</v>
      </c>
      <c r="N4828" s="8">
        <v>8.3299999999999999E-2</v>
      </c>
      <c r="O4828" s="8">
        <v>4.1700000000000001E-2</v>
      </c>
      <c r="Q4828" s="8">
        <v>0.125</v>
      </c>
      <c r="R4828" s="8">
        <v>8.3299999999999999E-2</v>
      </c>
    </row>
    <row r="4830" spans="1:20" ht="57.6" x14ac:dyDescent="0.3">
      <c r="A4830" s="22" t="s">
        <v>1108</v>
      </c>
    </row>
    <row r="4831" spans="1:20" x14ac:dyDescent="0.3">
      <c r="A4831" s="22" t="s">
        <v>66</v>
      </c>
      <c r="B4831" t="s">
        <v>62</v>
      </c>
      <c r="C4831" t="s">
        <v>57</v>
      </c>
      <c r="D4831" t="s">
        <v>63</v>
      </c>
      <c r="E4831" t="s">
        <v>226</v>
      </c>
      <c r="F4831" t="s">
        <v>228</v>
      </c>
      <c r="G4831" t="s">
        <v>229</v>
      </c>
      <c r="H4831" t="s">
        <v>154</v>
      </c>
      <c r="I4831" t="s">
        <v>230</v>
      </c>
      <c r="J4831" t="s">
        <v>232</v>
      </c>
      <c r="K4831" t="s">
        <v>233</v>
      </c>
      <c r="L4831" t="s">
        <v>234</v>
      </c>
      <c r="M4831" t="s">
        <v>235</v>
      </c>
      <c r="N4831" t="s">
        <v>236</v>
      </c>
      <c r="O4831" t="s">
        <v>237</v>
      </c>
      <c r="P4831" t="s">
        <v>136</v>
      </c>
      <c r="Q4831" t="s">
        <v>239</v>
      </c>
      <c r="R4831" t="s">
        <v>241</v>
      </c>
      <c r="S4831" t="s">
        <v>243</v>
      </c>
      <c r="T4831" t="s">
        <v>244</v>
      </c>
    </row>
    <row r="4832" spans="1:20" x14ac:dyDescent="0.3">
      <c r="A4832" s="22" t="s">
        <v>67</v>
      </c>
      <c r="B4832">
        <v>101</v>
      </c>
      <c r="C4832" t="s">
        <v>64</v>
      </c>
      <c r="D4832">
        <v>130</v>
      </c>
      <c r="E4832" s="8">
        <v>1.9800000000000002E-2</v>
      </c>
      <c r="G4832" s="8">
        <v>1.9800000000000002E-2</v>
      </c>
      <c r="H4832" s="8">
        <v>0.65349999999999997</v>
      </c>
      <c r="I4832" s="8">
        <v>9.9000000000000008E-3</v>
      </c>
      <c r="K4832" s="8">
        <v>4.9500000000000002E-2</v>
      </c>
      <c r="L4832" s="8">
        <v>1.9800000000000002E-2</v>
      </c>
      <c r="M4832" s="8">
        <v>1.9800000000000002E-2</v>
      </c>
      <c r="N4832" s="8">
        <v>9.9000000000000005E-2</v>
      </c>
      <c r="O4832" s="8">
        <v>1.9800000000000002E-2</v>
      </c>
      <c r="P4832" s="8">
        <v>9.9000000000000008E-3</v>
      </c>
      <c r="Q4832" s="8">
        <v>0.12870000000000001</v>
      </c>
      <c r="R4832" s="8">
        <v>2.9700000000000001E-2</v>
      </c>
      <c r="S4832" s="8">
        <v>1.9800000000000002E-2</v>
      </c>
      <c r="T4832" s="8">
        <v>3.9600000000000003E-2</v>
      </c>
    </row>
    <row r="4833" spans="1:20" x14ac:dyDescent="0.3">
      <c r="A4833" s="22" t="s">
        <v>68</v>
      </c>
      <c r="B4833">
        <v>29</v>
      </c>
      <c r="C4833" t="s">
        <v>64</v>
      </c>
      <c r="D4833">
        <v>130</v>
      </c>
      <c r="F4833" s="8">
        <v>3.4500000000000003E-2</v>
      </c>
      <c r="H4833" s="8">
        <v>0.72409999999999997</v>
      </c>
      <c r="I4833" s="8">
        <v>6.9000000000000006E-2</v>
      </c>
      <c r="J4833" s="8">
        <v>3.4500000000000003E-2</v>
      </c>
      <c r="K4833" s="8">
        <v>3.4500000000000003E-2</v>
      </c>
      <c r="Q4833" s="8">
        <v>0.13789999999999999</v>
      </c>
    </row>
    <row r="4835" spans="1:20" ht="57.6" x14ac:dyDescent="0.3">
      <c r="A4835" s="22" t="s">
        <v>1109</v>
      </c>
    </row>
    <row r="4836" spans="1:20" x14ac:dyDescent="0.3">
      <c r="A4836" s="22" t="s">
        <v>66</v>
      </c>
      <c r="B4836" t="s">
        <v>62</v>
      </c>
      <c r="C4836" t="s">
        <v>57</v>
      </c>
      <c r="D4836" t="s">
        <v>63</v>
      </c>
      <c r="E4836" t="s">
        <v>226</v>
      </c>
      <c r="F4836" t="s">
        <v>228</v>
      </c>
      <c r="G4836" t="s">
        <v>229</v>
      </c>
      <c r="H4836" t="s">
        <v>154</v>
      </c>
      <c r="I4836" t="s">
        <v>230</v>
      </c>
      <c r="J4836" t="s">
        <v>232</v>
      </c>
      <c r="K4836" t="s">
        <v>233</v>
      </c>
      <c r="L4836" t="s">
        <v>234</v>
      </c>
      <c r="M4836" t="s">
        <v>235</v>
      </c>
      <c r="N4836" t="s">
        <v>236</v>
      </c>
      <c r="O4836" t="s">
        <v>237</v>
      </c>
      <c r="P4836" t="s">
        <v>136</v>
      </c>
      <c r="Q4836" t="s">
        <v>239</v>
      </c>
      <c r="R4836" t="s">
        <v>241</v>
      </c>
      <c r="S4836" t="s">
        <v>243</v>
      </c>
      <c r="T4836" t="s">
        <v>244</v>
      </c>
    </row>
    <row r="4837" spans="1:20" x14ac:dyDescent="0.3">
      <c r="A4837" s="22" t="s">
        <v>67</v>
      </c>
      <c r="B4837">
        <v>98</v>
      </c>
      <c r="C4837" t="s">
        <v>64</v>
      </c>
      <c r="D4837">
        <v>130</v>
      </c>
      <c r="E4837" s="8">
        <v>2.0400000000000001E-2</v>
      </c>
      <c r="G4837" s="8">
        <v>1.0200000000000001E-2</v>
      </c>
      <c r="H4837" s="8">
        <v>0.67349999999999999</v>
      </c>
      <c r="I4837" s="8">
        <v>1.0200000000000001E-2</v>
      </c>
      <c r="K4837" s="8">
        <v>5.0999999999999997E-2</v>
      </c>
      <c r="L4837" s="8">
        <v>2.0400000000000001E-2</v>
      </c>
      <c r="M4837" s="8">
        <v>1.0200000000000001E-2</v>
      </c>
      <c r="N4837" s="8">
        <v>9.1800000000000007E-2</v>
      </c>
      <c r="O4837" s="8">
        <v>2.0400000000000001E-2</v>
      </c>
      <c r="P4837" s="8">
        <v>1.0200000000000001E-2</v>
      </c>
      <c r="Q4837" s="8">
        <v>0.13270000000000001</v>
      </c>
      <c r="R4837" s="8">
        <v>3.0599999999999999E-2</v>
      </c>
      <c r="T4837" s="8">
        <v>4.0800000000000003E-2</v>
      </c>
    </row>
    <row r="4838" spans="1:20" x14ac:dyDescent="0.3">
      <c r="A4838" s="22" t="s">
        <v>68</v>
      </c>
      <c r="B4838">
        <v>32</v>
      </c>
      <c r="C4838" t="s">
        <v>64</v>
      </c>
      <c r="D4838">
        <v>130</v>
      </c>
      <c r="F4838" s="8">
        <v>3.1199999999999999E-2</v>
      </c>
      <c r="G4838" s="8">
        <v>3.1199999999999999E-2</v>
      </c>
      <c r="H4838" s="8">
        <v>0.65620000000000001</v>
      </c>
      <c r="I4838" s="8">
        <v>6.25E-2</v>
      </c>
      <c r="J4838" s="8">
        <v>3.1199999999999999E-2</v>
      </c>
      <c r="K4838" s="8">
        <v>3.1199999999999999E-2</v>
      </c>
      <c r="M4838" s="8">
        <v>3.1199999999999999E-2</v>
      </c>
      <c r="N4838" s="8">
        <v>3.1199999999999999E-2</v>
      </c>
      <c r="Q4838" s="8">
        <v>0.125</v>
      </c>
      <c r="S4838" s="8">
        <v>6.25E-2</v>
      </c>
    </row>
    <row r="4840" spans="1:20" ht="72" x14ac:dyDescent="0.3">
      <c r="A4840" s="22" t="s">
        <v>1110</v>
      </c>
    </row>
    <row r="4841" spans="1:20" x14ac:dyDescent="0.3">
      <c r="A4841" s="22" t="s">
        <v>66</v>
      </c>
      <c r="B4841" t="s">
        <v>62</v>
      </c>
      <c r="C4841" t="s">
        <v>57</v>
      </c>
      <c r="D4841" t="s">
        <v>63</v>
      </c>
      <c r="E4841" t="s">
        <v>226</v>
      </c>
      <c r="F4841" t="s">
        <v>228</v>
      </c>
      <c r="G4841" t="s">
        <v>229</v>
      </c>
      <c r="H4841" t="s">
        <v>154</v>
      </c>
      <c r="I4841" t="s">
        <v>230</v>
      </c>
      <c r="J4841" t="s">
        <v>232</v>
      </c>
      <c r="K4841" t="s">
        <v>233</v>
      </c>
      <c r="L4841" t="s">
        <v>234</v>
      </c>
      <c r="M4841" t="s">
        <v>235</v>
      </c>
      <c r="N4841" t="s">
        <v>236</v>
      </c>
      <c r="O4841" t="s">
        <v>237</v>
      </c>
      <c r="P4841" t="s">
        <v>136</v>
      </c>
      <c r="Q4841" t="s">
        <v>239</v>
      </c>
      <c r="R4841" t="s">
        <v>241</v>
      </c>
      <c r="S4841" t="s">
        <v>243</v>
      </c>
      <c r="T4841" t="s">
        <v>244</v>
      </c>
    </row>
    <row r="4842" spans="1:20" x14ac:dyDescent="0.3">
      <c r="A4842" s="22" t="s">
        <v>67</v>
      </c>
      <c r="B4842">
        <v>118</v>
      </c>
      <c r="C4842" t="s">
        <v>64</v>
      </c>
      <c r="D4842">
        <v>130</v>
      </c>
      <c r="E4842" s="8">
        <v>1.6899999999999998E-2</v>
      </c>
      <c r="F4842" s="8">
        <v>8.5000000000000006E-3</v>
      </c>
      <c r="G4842" s="8">
        <v>1.6899999999999998E-2</v>
      </c>
      <c r="H4842" s="8">
        <v>0.67800000000000005</v>
      </c>
      <c r="I4842" s="8">
        <v>2.5399999999999999E-2</v>
      </c>
      <c r="J4842" s="8">
        <v>8.5000000000000006E-3</v>
      </c>
      <c r="K4842" s="8">
        <v>3.39E-2</v>
      </c>
      <c r="L4842" s="8">
        <v>8.5000000000000006E-3</v>
      </c>
      <c r="M4842" s="8">
        <v>1.6899999999999998E-2</v>
      </c>
      <c r="N4842" s="8">
        <v>5.9299999999999999E-2</v>
      </c>
      <c r="O4842" s="8">
        <v>8.5000000000000006E-3</v>
      </c>
      <c r="P4842" s="8">
        <v>8.5000000000000006E-3</v>
      </c>
      <c r="Q4842" s="8">
        <v>0.1356</v>
      </c>
      <c r="R4842" s="8">
        <v>2.5399999999999999E-2</v>
      </c>
      <c r="S4842" s="8">
        <v>1.6899999999999998E-2</v>
      </c>
      <c r="T4842" s="8">
        <v>3.39E-2</v>
      </c>
    </row>
    <row r="4843" spans="1:20" x14ac:dyDescent="0.3">
      <c r="A4843" s="22" t="s">
        <v>68</v>
      </c>
      <c r="B4843">
        <v>12</v>
      </c>
      <c r="C4843" t="s">
        <v>64</v>
      </c>
      <c r="D4843">
        <v>130</v>
      </c>
      <c r="H4843" s="8">
        <v>0.58330000000000004</v>
      </c>
      <c r="K4843" s="8">
        <v>0.16669999999999999</v>
      </c>
      <c r="L4843" s="8">
        <v>8.3299999999999999E-2</v>
      </c>
      <c r="N4843" s="8">
        <v>0.25</v>
      </c>
      <c r="O4843" s="8">
        <v>8.3299999999999999E-2</v>
      </c>
      <c r="Q4843" s="8">
        <v>8.3299999999999999E-2</v>
      </c>
    </row>
    <row r="4845" spans="1:20" ht="72" x14ac:dyDescent="0.3">
      <c r="A4845" s="22" t="s">
        <v>1111</v>
      </c>
    </row>
    <row r="4846" spans="1:20" x14ac:dyDescent="0.3">
      <c r="A4846" s="22" t="s">
        <v>66</v>
      </c>
      <c r="B4846" t="s">
        <v>62</v>
      </c>
      <c r="C4846" t="s">
        <v>57</v>
      </c>
      <c r="D4846" t="s">
        <v>63</v>
      </c>
      <c r="E4846" t="s">
        <v>226</v>
      </c>
      <c r="F4846" t="s">
        <v>228</v>
      </c>
      <c r="G4846" t="s">
        <v>229</v>
      </c>
      <c r="H4846" t="s">
        <v>154</v>
      </c>
      <c r="I4846" t="s">
        <v>230</v>
      </c>
      <c r="J4846" t="s">
        <v>232</v>
      </c>
      <c r="K4846" t="s">
        <v>233</v>
      </c>
      <c r="L4846" t="s">
        <v>234</v>
      </c>
      <c r="M4846" t="s">
        <v>235</v>
      </c>
      <c r="N4846" t="s">
        <v>236</v>
      </c>
      <c r="O4846" t="s">
        <v>237</v>
      </c>
      <c r="P4846" t="s">
        <v>136</v>
      </c>
      <c r="Q4846" t="s">
        <v>239</v>
      </c>
      <c r="R4846" t="s">
        <v>241</v>
      </c>
      <c r="S4846" t="s">
        <v>243</v>
      </c>
      <c r="T4846" t="s">
        <v>244</v>
      </c>
    </row>
    <row r="4847" spans="1:20" x14ac:dyDescent="0.3">
      <c r="A4847" s="22" t="s">
        <v>67</v>
      </c>
      <c r="B4847">
        <v>130</v>
      </c>
      <c r="C4847" t="s">
        <v>64</v>
      </c>
      <c r="D4847">
        <v>130</v>
      </c>
      <c r="E4847" s="8">
        <v>1.54E-2</v>
      </c>
      <c r="F4847" s="8">
        <v>7.7000000000000002E-3</v>
      </c>
      <c r="G4847" s="8">
        <v>1.54E-2</v>
      </c>
      <c r="H4847" s="8">
        <v>0.66920000000000002</v>
      </c>
      <c r="I4847" s="8">
        <v>2.3099999999999999E-2</v>
      </c>
      <c r="J4847" s="8">
        <v>7.7000000000000002E-3</v>
      </c>
      <c r="K4847" s="8">
        <v>4.6199999999999998E-2</v>
      </c>
      <c r="L4847" s="8">
        <v>1.54E-2</v>
      </c>
      <c r="M4847" s="8">
        <v>1.54E-2</v>
      </c>
      <c r="N4847" s="8">
        <v>7.6899999999999996E-2</v>
      </c>
      <c r="O4847" s="8">
        <v>1.54E-2</v>
      </c>
      <c r="P4847" s="8">
        <v>7.7000000000000002E-3</v>
      </c>
      <c r="Q4847" s="8">
        <v>0.1308</v>
      </c>
      <c r="R4847" s="8">
        <v>2.3099999999999999E-2</v>
      </c>
      <c r="S4847" s="8">
        <v>1.54E-2</v>
      </c>
      <c r="T4847" s="8">
        <v>3.0800000000000001E-2</v>
      </c>
    </row>
    <row r="4849" spans="1:20" ht="57.6" x14ac:dyDescent="0.3">
      <c r="A4849" s="22" t="s">
        <v>1112</v>
      </c>
    </row>
    <row r="4850" spans="1:20" x14ac:dyDescent="0.3">
      <c r="A4850" s="22" t="s">
        <v>66</v>
      </c>
      <c r="B4850" t="s">
        <v>62</v>
      </c>
      <c r="C4850" t="s">
        <v>57</v>
      </c>
      <c r="D4850" t="s">
        <v>63</v>
      </c>
      <c r="E4850" t="s">
        <v>226</v>
      </c>
      <c r="F4850" t="s">
        <v>228</v>
      </c>
      <c r="G4850" t="s">
        <v>229</v>
      </c>
      <c r="H4850" t="s">
        <v>154</v>
      </c>
      <c r="I4850" t="s">
        <v>230</v>
      </c>
      <c r="J4850" t="s">
        <v>232</v>
      </c>
      <c r="K4850" t="s">
        <v>233</v>
      </c>
      <c r="L4850" t="s">
        <v>234</v>
      </c>
      <c r="M4850" t="s">
        <v>235</v>
      </c>
      <c r="N4850" t="s">
        <v>236</v>
      </c>
      <c r="O4850" t="s">
        <v>237</v>
      </c>
      <c r="P4850" t="s">
        <v>136</v>
      </c>
      <c r="Q4850" t="s">
        <v>239</v>
      </c>
      <c r="R4850" t="s">
        <v>241</v>
      </c>
      <c r="S4850" t="s">
        <v>243</v>
      </c>
      <c r="T4850" t="s">
        <v>244</v>
      </c>
    </row>
    <row r="4851" spans="1:20" x14ac:dyDescent="0.3">
      <c r="A4851" s="22" t="s">
        <v>67</v>
      </c>
      <c r="B4851">
        <v>77</v>
      </c>
      <c r="C4851" t="s">
        <v>64</v>
      </c>
      <c r="D4851">
        <v>130</v>
      </c>
      <c r="F4851" s="8">
        <v>1.2999999999999999E-2</v>
      </c>
      <c r="G4851" s="8">
        <v>2.5999999999999999E-2</v>
      </c>
      <c r="H4851" s="8">
        <v>0.6623</v>
      </c>
      <c r="I4851" s="8">
        <v>3.9E-2</v>
      </c>
      <c r="J4851" s="8">
        <v>1.2999999999999999E-2</v>
      </c>
      <c r="K4851" s="8">
        <v>5.1900000000000002E-2</v>
      </c>
      <c r="L4851" s="8">
        <v>1.2999999999999999E-2</v>
      </c>
      <c r="M4851" s="8">
        <v>1.2999999999999999E-2</v>
      </c>
      <c r="N4851" s="8">
        <v>7.7899999999999997E-2</v>
      </c>
      <c r="Q4851" s="8">
        <v>0.12989999999999999</v>
      </c>
      <c r="R4851" s="8">
        <v>1.2999999999999999E-2</v>
      </c>
      <c r="S4851" s="8">
        <v>2.5999999999999999E-2</v>
      </c>
      <c r="T4851" s="8">
        <v>1.2999999999999999E-2</v>
      </c>
    </row>
    <row r="4852" spans="1:20" x14ac:dyDescent="0.3">
      <c r="A4852" s="22" t="s">
        <v>68</v>
      </c>
      <c r="B4852">
        <v>53</v>
      </c>
      <c r="C4852" t="s">
        <v>64</v>
      </c>
      <c r="D4852">
        <v>130</v>
      </c>
      <c r="E4852" s="8">
        <v>3.7699999999999997E-2</v>
      </c>
      <c r="H4852" s="8">
        <v>0.67920000000000003</v>
      </c>
      <c r="K4852" s="8">
        <v>3.7699999999999997E-2</v>
      </c>
      <c r="L4852" s="8">
        <v>1.89E-2</v>
      </c>
      <c r="M4852" s="8">
        <v>1.89E-2</v>
      </c>
      <c r="N4852" s="8">
        <v>7.5499999999999998E-2</v>
      </c>
      <c r="O4852" s="8">
        <v>3.7699999999999997E-2</v>
      </c>
      <c r="P4852" s="8">
        <v>1.89E-2</v>
      </c>
      <c r="Q4852" s="8">
        <v>0.1321</v>
      </c>
      <c r="R4852" s="8">
        <v>3.7699999999999997E-2</v>
      </c>
      <c r="T4852" s="8">
        <v>5.6599999999999998E-2</v>
      </c>
    </row>
    <row r="4854" spans="1:20" ht="72" x14ac:dyDescent="0.3">
      <c r="A4854" s="22" t="s">
        <v>1113</v>
      </c>
    </row>
    <row r="4855" spans="1:20" x14ac:dyDescent="0.3">
      <c r="A4855" s="22" t="s">
        <v>66</v>
      </c>
      <c r="B4855" t="s">
        <v>62</v>
      </c>
      <c r="C4855" t="s">
        <v>57</v>
      </c>
      <c r="D4855" t="s">
        <v>63</v>
      </c>
      <c r="E4855" t="s">
        <v>226</v>
      </c>
      <c r="F4855" t="s">
        <v>228</v>
      </c>
      <c r="G4855" t="s">
        <v>229</v>
      </c>
      <c r="H4855" t="s">
        <v>154</v>
      </c>
      <c r="I4855" t="s">
        <v>230</v>
      </c>
      <c r="J4855" t="s">
        <v>232</v>
      </c>
      <c r="K4855" t="s">
        <v>233</v>
      </c>
      <c r="L4855" t="s">
        <v>234</v>
      </c>
      <c r="M4855" t="s">
        <v>235</v>
      </c>
      <c r="N4855" t="s">
        <v>236</v>
      </c>
      <c r="O4855" t="s">
        <v>237</v>
      </c>
      <c r="P4855" t="s">
        <v>136</v>
      </c>
      <c r="Q4855" t="s">
        <v>239</v>
      </c>
      <c r="R4855" t="s">
        <v>241</v>
      </c>
      <c r="S4855" t="s">
        <v>243</v>
      </c>
      <c r="T4855" t="s">
        <v>244</v>
      </c>
    </row>
    <row r="4856" spans="1:20" x14ac:dyDescent="0.3">
      <c r="A4856" s="22" t="s">
        <v>67</v>
      </c>
      <c r="B4856">
        <v>114</v>
      </c>
      <c r="C4856" t="s">
        <v>64</v>
      </c>
      <c r="D4856">
        <v>130</v>
      </c>
      <c r="E4856" s="8">
        <v>1.7500000000000002E-2</v>
      </c>
      <c r="F4856" s="8">
        <v>8.8000000000000005E-3</v>
      </c>
      <c r="G4856" s="8">
        <v>1.7500000000000002E-2</v>
      </c>
      <c r="H4856" s="8">
        <v>0.66669999999999996</v>
      </c>
      <c r="I4856" s="8">
        <v>2.63E-2</v>
      </c>
      <c r="J4856" s="8">
        <v>8.8000000000000005E-3</v>
      </c>
      <c r="K4856" s="8">
        <v>3.5099999999999999E-2</v>
      </c>
      <c r="L4856" s="8">
        <v>1.7500000000000002E-2</v>
      </c>
      <c r="N4856" s="8">
        <v>7.0199999999999999E-2</v>
      </c>
      <c r="O4856" s="8">
        <v>8.8000000000000005E-3</v>
      </c>
      <c r="P4856" s="8">
        <v>8.8000000000000005E-3</v>
      </c>
      <c r="Q4856" s="8">
        <v>0.1404</v>
      </c>
      <c r="R4856" s="8">
        <v>1.7500000000000002E-2</v>
      </c>
      <c r="S4856" s="8">
        <v>8.8000000000000005E-3</v>
      </c>
      <c r="T4856" s="8">
        <v>3.5099999999999999E-2</v>
      </c>
    </row>
    <row r="4857" spans="1:20" x14ac:dyDescent="0.3">
      <c r="A4857" s="22" t="s">
        <v>68</v>
      </c>
      <c r="B4857">
        <v>16</v>
      </c>
      <c r="C4857" t="s">
        <v>64</v>
      </c>
      <c r="D4857">
        <v>130</v>
      </c>
      <c r="H4857" s="8">
        <v>0.6875</v>
      </c>
      <c r="K4857" s="8">
        <v>0.125</v>
      </c>
      <c r="M4857" s="8">
        <v>0.125</v>
      </c>
      <c r="N4857" s="8">
        <v>0.125</v>
      </c>
      <c r="O4857" s="8">
        <v>6.25E-2</v>
      </c>
      <c r="Q4857" s="8">
        <v>6.25E-2</v>
      </c>
      <c r="R4857" s="8">
        <v>6.25E-2</v>
      </c>
      <c r="S4857" s="8">
        <v>6.25E-2</v>
      </c>
    </row>
    <row r="4859" spans="1:20" ht="57.6" x14ac:dyDescent="0.3">
      <c r="A4859" s="27" t="s">
        <v>1114</v>
      </c>
    </row>
    <row r="4860" spans="1:20" x14ac:dyDescent="0.3">
      <c r="A4860" s="22" t="s">
        <v>66</v>
      </c>
      <c r="B4860" t="s">
        <v>62</v>
      </c>
      <c r="C4860" t="s">
        <v>57</v>
      </c>
      <c r="D4860" t="s">
        <v>63</v>
      </c>
      <c r="E4860" t="s">
        <v>226</v>
      </c>
      <c r="F4860" t="s">
        <v>228</v>
      </c>
      <c r="G4860" t="s">
        <v>229</v>
      </c>
      <c r="H4860" t="s">
        <v>154</v>
      </c>
      <c r="I4860" t="s">
        <v>230</v>
      </c>
      <c r="J4860" t="s">
        <v>232</v>
      </c>
      <c r="K4860" t="s">
        <v>233</v>
      </c>
      <c r="L4860" t="s">
        <v>234</v>
      </c>
      <c r="M4860" t="s">
        <v>235</v>
      </c>
      <c r="N4860" t="s">
        <v>236</v>
      </c>
      <c r="O4860" t="s">
        <v>237</v>
      </c>
      <c r="P4860" t="s">
        <v>136</v>
      </c>
      <c r="Q4860" t="s">
        <v>239</v>
      </c>
      <c r="R4860" t="s">
        <v>241</v>
      </c>
      <c r="S4860" t="s">
        <v>243</v>
      </c>
      <c r="T4860" t="s">
        <v>244</v>
      </c>
    </row>
    <row r="4861" spans="1:20" x14ac:dyDescent="0.3">
      <c r="A4861" s="22" t="s">
        <v>81</v>
      </c>
      <c r="B4861">
        <v>32</v>
      </c>
      <c r="C4861" t="s">
        <v>64</v>
      </c>
      <c r="D4861">
        <v>130</v>
      </c>
      <c r="F4861" s="8">
        <v>3.1199999999999999E-2</v>
      </c>
      <c r="G4861" s="8">
        <v>3.1199999999999999E-2</v>
      </c>
      <c r="H4861" s="8">
        <v>0.5625</v>
      </c>
      <c r="I4861" s="8">
        <v>6.25E-2</v>
      </c>
      <c r="K4861" s="8">
        <v>6.25E-2</v>
      </c>
      <c r="N4861" s="8">
        <v>6.25E-2</v>
      </c>
      <c r="Q4861" s="8">
        <v>0.21879999999999999</v>
      </c>
    </row>
    <row r="4862" spans="1:20" x14ac:dyDescent="0.3">
      <c r="A4862" s="22" t="s">
        <v>82</v>
      </c>
      <c r="B4862">
        <v>34</v>
      </c>
      <c r="C4862" t="s">
        <v>64</v>
      </c>
      <c r="D4862">
        <v>130</v>
      </c>
      <c r="G4862" s="8">
        <v>2.9399999999999999E-2</v>
      </c>
      <c r="H4862" s="8">
        <v>0.76470000000000005</v>
      </c>
      <c r="J4862" s="8">
        <v>2.9399999999999999E-2</v>
      </c>
      <c r="L4862" s="8">
        <v>2.9399999999999999E-2</v>
      </c>
      <c r="M4862" s="8">
        <v>2.9399999999999999E-2</v>
      </c>
      <c r="N4862" s="8">
        <v>8.8200000000000001E-2</v>
      </c>
      <c r="Q4862" s="8">
        <v>5.8799999999999998E-2</v>
      </c>
      <c r="R4862" s="8">
        <v>2.9399999999999999E-2</v>
      </c>
      <c r="S4862" s="8">
        <v>2.9399999999999999E-2</v>
      </c>
      <c r="T4862" s="8">
        <v>2.9399999999999999E-2</v>
      </c>
    </row>
    <row r="4863" spans="1:20" x14ac:dyDescent="0.3">
      <c r="A4863" s="22" t="s">
        <v>83</v>
      </c>
      <c r="B4863">
        <v>33</v>
      </c>
      <c r="C4863" t="s">
        <v>64</v>
      </c>
      <c r="D4863">
        <v>130</v>
      </c>
      <c r="H4863" s="8">
        <v>0.69699999999999995</v>
      </c>
      <c r="I4863" s="8">
        <v>3.0300000000000001E-2</v>
      </c>
      <c r="K4863" s="8">
        <v>3.0300000000000001E-2</v>
      </c>
      <c r="O4863" s="8">
        <v>3.0300000000000001E-2</v>
      </c>
      <c r="Q4863" s="8">
        <v>0.1515</v>
      </c>
      <c r="R4863" s="8">
        <v>3.0300000000000001E-2</v>
      </c>
      <c r="S4863" s="8">
        <v>3.0300000000000001E-2</v>
      </c>
      <c r="T4863" s="8">
        <v>3.0300000000000001E-2</v>
      </c>
    </row>
    <row r="4864" spans="1:20" x14ac:dyDescent="0.3">
      <c r="A4864" s="22" t="s">
        <v>84</v>
      </c>
      <c r="B4864">
        <v>31</v>
      </c>
      <c r="C4864" t="s">
        <v>64</v>
      </c>
      <c r="D4864">
        <v>130</v>
      </c>
      <c r="E4864" s="8">
        <v>6.4500000000000002E-2</v>
      </c>
      <c r="H4864" s="8">
        <v>0.6452</v>
      </c>
      <c r="K4864" s="8">
        <v>9.6799999999999997E-2</v>
      </c>
      <c r="L4864" s="8">
        <v>3.2300000000000002E-2</v>
      </c>
      <c r="M4864" s="8">
        <v>3.2300000000000002E-2</v>
      </c>
      <c r="N4864" s="8">
        <v>0.1613</v>
      </c>
      <c r="O4864" s="8">
        <v>3.2300000000000002E-2</v>
      </c>
      <c r="P4864" s="8">
        <v>3.2300000000000002E-2</v>
      </c>
      <c r="Q4864" s="8">
        <v>9.6799999999999997E-2</v>
      </c>
      <c r="R4864" s="8">
        <v>3.2300000000000002E-2</v>
      </c>
      <c r="T4864" s="8">
        <v>6.4500000000000002E-2</v>
      </c>
    </row>
    <row r="4866" spans="1:8" ht="28.8" x14ac:dyDescent="0.3">
      <c r="A4866" s="27" t="s">
        <v>1115</v>
      </c>
    </row>
    <row r="4867" spans="1:8" x14ac:dyDescent="0.3">
      <c r="A4867" s="22" t="s">
        <v>57</v>
      </c>
      <c r="B4867" t="s">
        <v>58</v>
      </c>
      <c r="C4867" t="s">
        <v>59</v>
      </c>
      <c r="D4867" t="s">
        <v>60</v>
      </c>
      <c r="E4867" t="s">
        <v>61</v>
      </c>
      <c r="F4867" t="s">
        <v>62</v>
      </c>
      <c r="G4867" t="s">
        <v>63</v>
      </c>
    </row>
    <row r="4868" spans="1:8" x14ac:dyDescent="0.3">
      <c r="A4868" s="22" t="s">
        <v>64</v>
      </c>
      <c r="B4868" s="30">
        <v>59.210526315789473</v>
      </c>
      <c r="C4868" s="30">
        <v>70</v>
      </c>
      <c r="D4868" s="30">
        <v>5</v>
      </c>
      <c r="E4868" s="30">
        <v>100</v>
      </c>
      <c r="F4868">
        <v>19</v>
      </c>
      <c r="G4868">
        <v>19</v>
      </c>
    </row>
    <row r="4870" spans="1:8" ht="57.6" x14ac:dyDescent="0.3">
      <c r="A4870" s="22" t="s">
        <v>1116</v>
      </c>
    </row>
    <row r="4871" spans="1:8" x14ac:dyDescent="0.3">
      <c r="A4871" s="22" t="s">
        <v>57</v>
      </c>
      <c r="B4871" t="s">
        <v>66</v>
      </c>
      <c r="C4871" t="s">
        <v>58</v>
      </c>
      <c r="D4871" t="s">
        <v>59</v>
      </c>
      <c r="E4871" t="s">
        <v>60</v>
      </c>
      <c r="F4871" t="s">
        <v>61</v>
      </c>
      <c r="G4871" t="s">
        <v>62</v>
      </c>
      <c r="H4871" t="s">
        <v>63</v>
      </c>
    </row>
    <row r="4872" spans="1:8" x14ac:dyDescent="0.3">
      <c r="A4872" s="22" t="s">
        <v>64</v>
      </c>
      <c r="B4872" t="s">
        <v>67</v>
      </c>
      <c r="C4872" s="30">
        <v>61.666666666666657</v>
      </c>
      <c r="D4872" s="30">
        <v>60</v>
      </c>
      <c r="E4872" s="30">
        <v>5</v>
      </c>
      <c r="F4872" s="30">
        <v>100</v>
      </c>
      <c r="G4872">
        <v>18</v>
      </c>
      <c r="H4872">
        <v>19</v>
      </c>
    </row>
    <row r="4873" spans="1:8" x14ac:dyDescent="0.3">
      <c r="A4873" s="22" t="s">
        <v>64</v>
      </c>
      <c r="B4873" t="s">
        <v>68</v>
      </c>
      <c r="C4873" s="30">
        <v>15</v>
      </c>
      <c r="D4873" s="30">
        <v>15</v>
      </c>
      <c r="E4873" s="30">
        <v>15</v>
      </c>
      <c r="F4873" s="30">
        <v>15</v>
      </c>
      <c r="G4873">
        <v>1</v>
      </c>
      <c r="H4873">
        <v>19</v>
      </c>
    </row>
    <row r="4874" spans="1:8" x14ac:dyDescent="0.3">
      <c r="C4874" s="30"/>
      <c r="D4874" s="30"/>
      <c r="E4874" s="30"/>
      <c r="F4874" s="30"/>
    </row>
    <row r="4875" spans="1:8" x14ac:dyDescent="0.3">
      <c r="A4875"/>
      <c r="C4875" s="30"/>
      <c r="D4875" s="30"/>
      <c r="E4875" s="30"/>
      <c r="F4875" s="30"/>
    </row>
    <row r="4876" spans="1:8" x14ac:dyDescent="0.3">
      <c r="A4876"/>
      <c r="C4876" s="30"/>
      <c r="D4876" s="30"/>
      <c r="E4876" s="30"/>
      <c r="F4876" s="30"/>
    </row>
    <row r="4877" spans="1:8" x14ac:dyDescent="0.3">
      <c r="A4877"/>
      <c r="C4877" s="30"/>
      <c r="D4877" s="30"/>
      <c r="E4877" s="30"/>
      <c r="F4877" s="30"/>
    </row>
    <row r="4878" spans="1:8" x14ac:dyDescent="0.3">
      <c r="C4878" s="30"/>
      <c r="D4878" s="30"/>
      <c r="E4878" s="30"/>
      <c r="F4878" s="30"/>
    </row>
    <row r="4879" spans="1:8" ht="57.6" x14ac:dyDescent="0.3">
      <c r="A4879" s="22" t="s">
        <v>1117</v>
      </c>
      <c r="C4879" s="30"/>
      <c r="D4879" s="30"/>
      <c r="E4879" s="30"/>
      <c r="F4879" s="30"/>
    </row>
    <row r="4880" spans="1:8" x14ac:dyDescent="0.3">
      <c r="A4880" s="22" t="s">
        <v>57</v>
      </c>
      <c r="B4880" t="s">
        <v>66</v>
      </c>
      <c r="C4880" s="30" t="s">
        <v>58</v>
      </c>
      <c r="D4880" s="30" t="s">
        <v>59</v>
      </c>
      <c r="E4880" s="30" t="s">
        <v>60</v>
      </c>
      <c r="F4880" s="30" t="s">
        <v>61</v>
      </c>
      <c r="G4880" t="s">
        <v>62</v>
      </c>
      <c r="H4880" t="s">
        <v>63</v>
      </c>
    </row>
    <row r="4881" spans="1:8" x14ac:dyDescent="0.3">
      <c r="A4881" s="22" t="s">
        <v>64</v>
      </c>
      <c r="B4881" t="s">
        <v>67</v>
      </c>
      <c r="C4881" s="30">
        <v>59.210526315789473</v>
      </c>
      <c r="D4881" s="30">
        <v>70</v>
      </c>
      <c r="E4881" s="30">
        <v>5</v>
      </c>
      <c r="F4881" s="30">
        <v>100</v>
      </c>
      <c r="G4881">
        <v>19</v>
      </c>
      <c r="H4881">
        <v>19</v>
      </c>
    </row>
    <row r="4882" spans="1:8" x14ac:dyDescent="0.3">
      <c r="C4882" s="30"/>
      <c r="D4882" s="30"/>
      <c r="E4882" s="30"/>
      <c r="F4882" s="30"/>
    </row>
    <row r="4883" spans="1:8" ht="43.2" x14ac:dyDescent="0.3">
      <c r="A4883" s="22" t="s">
        <v>1118</v>
      </c>
      <c r="C4883" s="30"/>
      <c r="D4883" s="30"/>
      <c r="E4883" s="30"/>
      <c r="F4883" s="30"/>
    </row>
    <row r="4884" spans="1:8" x14ac:dyDescent="0.3">
      <c r="A4884" s="22" t="s">
        <v>57</v>
      </c>
      <c r="B4884" t="s">
        <v>66</v>
      </c>
      <c r="C4884" s="30" t="s">
        <v>58</v>
      </c>
      <c r="D4884" s="30" t="s">
        <v>59</v>
      </c>
      <c r="E4884" s="30" t="s">
        <v>60</v>
      </c>
      <c r="F4884" s="30" t="s">
        <v>61</v>
      </c>
      <c r="G4884" t="s">
        <v>62</v>
      </c>
      <c r="H4884" t="s">
        <v>63</v>
      </c>
    </row>
    <row r="4885" spans="1:8" x14ac:dyDescent="0.3">
      <c r="A4885" s="22" t="s">
        <v>64</v>
      </c>
      <c r="B4885" t="s">
        <v>67</v>
      </c>
      <c r="C4885" s="30">
        <v>59.210526315789473</v>
      </c>
      <c r="D4885" s="30">
        <v>70</v>
      </c>
      <c r="E4885" s="30">
        <v>5</v>
      </c>
      <c r="F4885" s="30">
        <v>100</v>
      </c>
      <c r="G4885">
        <v>19</v>
      </c>
      <c r="H4885">
        <v>19</v>
      </c>
    </row>
    <row r="4886" spans="1:8" x14ac:dyDescent="0.3">
      <c r="C4886" s="30"/>
      <c r="D4886" s="30"/>
      <c r="E4886" s="30"/>
      <c r="F4886" s="30"/>
    </row>
    <row r="4887" spans="1:8" ht="57.6" x14ac:dyDescent="0.3">
      <c r="A4887" s="22" t="s">
        <v>1119</v>
      </c>
      <c r="C4887" s="30"/>
      <c r="D4887" s="30"/>
      <c r="E4887" s="30"/>
      <c r="F4887" s="30"/>
    </row>
    <row r="4888" spans="1:8" x14ac:dyDescent="0.3">
      <c r="A4888" s="22" t="s">
        <v>57</v>
      </c>
      <c r="B4888" t="s">
        <v>66</v>
      </c>
      <c r="C4888" s="30" t="s">
        <v>58</v>
      </c>
      <c r="D4888" s="30" t="s">
        <v>59</v>
      </c>
      <c r="E4888" s="30" t="s">
        <v>60</v>
      </c>
      <c r="F4888" s="30" t="s">
        <v>61</v>
      </c>
      <c r="G4888" t="s">
        <v>62</v>
      </c>
      <c r="H4888" t="s">
        <v>63</v>
      </c>
    </row>
    <row r="4889" spans="1:8" x14ac:dyDescent="0.3">
      <c r="A4889" s="22" t="s">
        <v>64</v>
      </c>
      <c r="B4889" t="s">
        <v>67</v>
      </c>
      <c r="C4889" s="30">
        <v>58.333333333333343</v>
      </c>
      <c r="D4889" s="30">
        <v>50</v>
      </c>
      <c r="E4889" s="30">
        <v>5</v>
      </c>
      <c r="F4889" s="30">
        <v>100</v>
      </c>
      <c r="G4889">
        <v>18</v>
      </c>
      <c r="H4889">
        <v>19</v>
      </c>
    </row>
    <row r="4890" spans="1:8" x14ac:dyDescent="0.3">
      <c r="A4890" s="22" t="s">
        <v>64</v>
      </c>
      <c r="B4890" t="s">
        <v>68</v>
      </c>
      <c r="C4890" s="30">
        <v>75</v>
      </c>
      <c r="D4890" s="30">
        <v>75</v>
      </c>
      <c r="E4890" s="30">
        <v>75</v>
      </c>
      <c r="F4890" s="30">
        <v>75</v>
      </c>
      <c r="G4890">
        <v>1</v>
      </c>
      <c r="H4890">
        <v>19</v>
      </c>
    </row>
    <row r="4891" spans="1:8" x14ac:dyDescent="0.3">
      <c r="C4891" s="30"/>
      <c r="D4891" s="30"/>
      <c r="E4891" s="30"/>
      <c r="F4891" s="30"/>
    </row>
    <row r="4892" spans="1:8" ht="57.6" x14ac:dyDescent="0.3">
      <c r="A4892" s="22" t="s">
        <v>1120</v>
      </c>
      <c r="C4892" s="30"/>
      <c r="D4892" s="30"/>
      <c r="E4892" s="30"/>
      <c r="F4892" s="30"/>
    </row>
    <row r="4893" spans="1:8" x14ac:dyDescent="0.3">
      <c r="A4893" s="22" t="s">
        <v>57</v>
      </c>
      <c r="B4893" t="s">
        <v>66</v>
      </c>
      <c r="C4893" s="30" t="s">
        <v>58</v>
      </c>
      <c r="D4893" s="30" t="s">
        <v>59</v>
      </c>
      <c r="E4893" s="30" t="s">
        <v>60</v>
      </c>
      <c r="F4893" s="30" t="s">
        <v>61</v>
      </c>
      <c r="G4893" t="s">
        <v>62</v>
      </c>
      <c r="H4893" t="s">
        <v>63</v>
      </c>
    </row>
    <row r="4894" spans="1:8" x14ac:dyDescent="0.3">
      <c r="A4894" s="22" t="s">
        <v>64</v>
      </c>
      <c r="B4894" t="s">
        <v>67</v>
      </c>
      <c r="C4894" s="30">
        <v>45</v>
      </c>
      <c r="D4894" s="30">
        <v>45</v>
      </c>
      <c r="E4894" s="30">
        <v>45</v>
      </c>
      <c r="F4894" s="30">
        <v>45</v>
      </c>
      <c r="G4894">
        <v>1</v>
      </c>
      <c r="H4894">
        <v>19</v>
      </c>
    </row>
    <row r="4895" spans="1:8" x14ac:dyDescent="0.3">
      <c r="A4895" s="22" t="s">
        <v>64</v>
      </c>
      <c r="B4895" t="s">
        <v>68</v>
      </c>
      <c r="C4895" s="30">
        <v>60</v>
      </c>
      <c r="D4895" s="30">
        <v>60</v>
      </c>
      <c r="E4895" s="30">
        <v>5</v>
      </c>
      <c r="F4895" s="30">
        <v>100</v>
      </c>
      <c r="G4895">
        <v>18</v>
      </c>
      <c r="H4895">
        <v>19</v>
      </c>
    </row>
    <row r="4896" spans="1:8" x14ac:dyDescent="0.3">
      <c r="C4896" s="30"/>
      <c r="D4896" s="30"/>
      <c r="E4896" s="30"/>
      <c r="F4896" s="30"/>
    </row>
    <row r="4897" spans="1:8" ht="57.6" x14ac:dyDescent="0.3">
      <c r="A4897" s="22" t="s">
        <v>1121</v>
      </c>
      <c r="C4897" s="30"/>
      <c r="D4897" s="30"/>
      <c r="E4897" s="30"/>
      <c r="F4897" s="30"/>
    </row>
    <row r="4898" spans="1:8" x14ac:dyDescent="0.3">
      <c r="A4898" s="22" t="s">
        <v>57</v>
      </c>
      <c r="B4898" t="s">
        <v>66</v>
      </c>
      <c r="C4898" s="30" t="s">
        <v>58</v>
      </c>
      <c r="D4898" s="30" t="s">
        <v>59</v>
      </c>
      <c r="E4898" s="30" t="s">
        <v>60</v>
      </c>
      <c r="F4898" s="30" t="s">
        <v>61</v>
      </c>
      <c r="G4898" t="s">
        <v>62</v>
      </c>
      <c r="H4898" t="s">
        <v>63</v>
      </c>
    </row>
    <row r="4899" spans="1:8" x14ac:dyDescent="0.3">
      <c r="A4899" s="22" t="s">
        <v>64</v>
      </c>
      <c r="B4899" t="s">
        <v>67</v>
      </c>
      <c r="C4899" s="30">
        <v>58.214285714285722</v>
      </c>
      <c r="D4899" s="30">
        <v>50</v>
      </c>
      <c r="E4899" s="30">
        <v>5</v>
      </c>
      <c r="F4899" s="30">
        <v>100</v>
      </c>
      <c r="G4899">
        <v>14</v>
      </c>
      <c r="H4899">
        <v>19</v>
      </c>
    </row>
    <row r="4900" spans="1:8" x14ac:dyDescent="0.3">
      <c r="A4900" s="22" t="s">
        <v>64</v>
      </c>
      <c r="B4900" t="s">
        <v>68</v>
      </c>
      <c r="C4900" s="30">
        <v>62</v>
      </c>
      <c r="D4900" s="30">
        <v>70</v>
      </c>
      <c r="E4900" s="30">
        <v>30</v>
      </c>
      <c r="F4900" s="30">
        <v>100</v>
      </c>
      <c r="G4900">
        <v>5</v>
      </c>
      <c r="H4900">
        <v>19</v>
      </c>
    </row>
    <row r="4901" spans="1:8" x14ac:dyDescent="0.3">
      <c r="C4901" s="30"/>
      <c r="D4901" s="30"/>
      <c r="E4901" s="30"/>
      <c r="F4901" s="30"/>
    </row>
    <row r="4902" spans="1:8" ht="43.2" x14ac:dyDescent="0.3">
      <c r="A4902" s="22" t="s">
        <v>1122</v>
      </c>
      <c r="C4902" s="30"/>
      <c r="D4902" s="30"/>
      <c r="E4902" s="30"/>
      <c r="F4902" s="30"/>
    </row>
    <row r="4903" spans="1:8" x14ac:dyDescent="0.3">
      <c r="A4903" s="22" t="s">
        <v>57</v>
      </c>
      <c r="B4903" t="s">
        <v>66</v>
      </c>
      <c r="C4903" s="30" t="s">
        <v>58</v>
      </c>
      <c r="D4903" s="30" t="s">
        <v>59</v>
      </c>
      <c r="E4903" s="30" t="s">
        <v>60</v>
      </c>
      <c r="F4903" s="30" t="s">
        <v>61</v>
      </c>
      <c r="G4903" t="s">
        <v>62</v>
      </c>
      <c r="H4903" t="s">
        <v>63</v>
      </c>
    </row>
    <row r="4904" spans="1:8" x14ac:dyDescent="0.3">
      <c r="A4904" s="22" t="s">
        <v>64</v>
      </c>
      <c r="B4904" t="s">
        <v>67</v>
      </c>
      <c r="C4904" s="30">
        <v>62.333333333333343</v>
      </c>
      <c r="D4904" s="30">
        <v>70</v>
      </c>
      <c r="E4904" s="30">
        <v>5</v>
      </c>
      <c r="F4904" s="30">
        <v>100</v>
      </c>
      <c r="G4904">
        <v>15</v>
      </c>
      <c r="H4904">
        <v>19</v>
      </c>
    </row>
    <row r="4905" spans="1:8" x14ac:dyDescent="0.3">
      <c r="A4905" s="22" t="s">
        <v>64</v>
      </c>
      <c r="B4905" t="s">
        <v>68</v>
      </c>
      <c r="C4905" s="30">
        <v>47.5</v>
      </c>
      <c r="D4905" s="30">
        <v>30</v>
      </c>
      <c r="E4905" s="30">
        <v>25</v>
      </c>
      <c r="F4905" s="30">
        <v>90</v>
      </c>
      <c r="G4905">
        <v>4</v>
      </c>
      <c r="H4905">
        <v>19</v>
      </c>
    </row>
    <row r="4906" spans="1:8" x14ac:dyDescent="0.3">
      <c r="C4906" s="30"/>
      <c r="D4906" s="30"/>
      <c r="E4906" s="30"/>
      <c r="F4906" s="30"/>
    </row>
    <row r="4907" spans="1:8" ht="57.6" x14ac:dyDescent="0.3">
      <c r="A4907" s="22" t="s">
        <v>1123</v>
      </c>
      <c r="C4907" s="30"/>
      <c r="D4907" s="30"/>
      <c r="E4907" s="30"/>
      <c r="F4907" s="30"/>
    </row>
    <row r="4908" spans="1:8" x14ac:dyDescent="0.3">
      <c r="A4908" s="22" t="s">
        <v>57</v>
      </c>
      <c r="B4908" t="s">
        <v>66</v>
      </c>
      <c r="C4908" s="30" t="s">
        <v>58</v>
      </c>
      <c r="D4908" s="30" t="s">
        <v>59</v>
      </c>
      <c r="E4908" s="30" t="s">
        <v>60</v>
      </c>
      <c r="F4908" s="30" t="s">
        <v>61</v>
      </c>
      <c r="G4908" t="s">
        <v>62</v>
      </c>
      <c r="H4908" t="s">
        <v>63</v>
      </c>
    </row>
    <row r="4909" spans="1:8" x14ac:dyDescent="0.3">
      <c r="A4909" s="22" t="s">
        <v>64</v>
      </c>
      <c r="B4909" t="s">
        <v>67</v>
      </c>
      <c r="C4909" s="30">
        <v>62.333333333333343</v>
      </c>
      <c r="D4909" s="30">
        <v>70</v>
      </c>
      <c r="E4909" s="30">
        <v>5</v>
      </c>
      <c r="F4909" s="30">
        <v>100</v>
      </c>
      <c r="G4909">
        <v>15</v>
      </c>
      <c r="H4909">
        <v>19</v>
      </c>
    </row>
    <row r="4910" spans="1:8" x14ac:dyDescent="0.3">
      <c r="A4910" s="22" t="s">
        <v>64</v>
      </c>
      <c r="B4910" t="s">
        <v>68</v>
      </c>
      <c r="C4910" s="30">
        <v>47.5</v>
      </c>
      <c r="D4910" s="30">
        <v>45</v>
      </c>
      <c r="E4910" s="30">
        <v>25</v>
      </c>
      <c r="F4910" s="30">
        <v>70</v>
      </c>
      <c r="G4910">
        <v>4</v>
      </c>
      <c r="H4910">
        <v>19</v>
      </c>
    </row>
    <row r="4911" spans="1:8" x14ac:dyDescent="0.3">
      <c r="C4911" s="30"/>
      <c r="D4911" s="30"/>
      <c r="E4911" s="30"/>
      <c r="F4911" s="30"/>
    </row>
    <row r="4912" spans="1:8" ht="57.6" x14ac:dyDescent="0.3">
      <c r="A4912" s="22" t="s">
        <v>1124</v>
      </c>
      <c r="C4912" s="30"/>
      <c r="D4912" s="30"/>
      <c r="E4912" s="30"/>
      <c r="F4912" s="30"/>
    </row>
    <row r="4913" spans="1:8" x14ac:dyDescent="0.3">
      <c r="A4913" s="22" t="s">
        <v>57</v>
      </c>
      <c r="B4913" t="s">
        <v>66</v>
      </c>
      <c r="C4913" s="30" t="s">
        <v>58</v>
      </c>
      <c r="D4913" s="30" t="s">
        <v>59</v>
      </c>
      <c r="E4913" s="30" t="s">
        <v>60</v>
      </c>
      <c r="F4913" s="30" t="s">
        <v>61</v>
      </c>
      <c r="G4913" t="s">
        <v>62</v>
      </c>
      <c r="H4913" t="s">
        <v>63</v>
      </c>
    </row>
    <row r="4914" spans="1:8" x14ac:dyDescent="0.3">
      <c r="A4914" s="22" t="s">
        <v>64</v>
      </c>
      <c r="B4914" t="s">
        <v>67</v>
      </c>
      <c r="C4914" s="30">
        <v>61.111111111111107</v>
      </c>
      <c r="D4914" s="30">
        <v>60</v>
      </c>
      <c r="E4914" s="30">
        <v>5</v>
      </c>
      <c r="F4914" s="30">
        <v>100</v>
      </c>
      <c r="G4914">
        <v>18</v>
      </c>
      <c r="H4914">
        <v>19</v>
      </c>
    </row>
    <row r="4915" spans="1:8" x14ac:dyDescent="0.3">
      <c r="A4915" s="22" t="s">
        <v>64</v>
      </c>
      <c r="B4915" t="s">
        <v>68</v>
      </c>
      <c r="C4915" s="30">
        <v>25</v>
      </c>
      <c r="D4915" s="30">
        <v>25</v>
      </c>
      <c r="E4915" s="30">
        <v>25</v>
      </c>
      <c r="F4915" s="30">
        <v>25</v>
      </c>
      <c r="G4915">
        <v>1</v>
      </c>
      <c r="H4915">
        <v>19</v>
      </c>
    </row>
    <row r="4916" spans="1:8" x14ac:dyDescent="0.3">
      <c r="C4916" s="30"/>
      <c r="D4916" s="30"/>
      <c r="E4916" s="30"/>
      <c r="F4916" s="30"/>
    </row>
    <row r="4917" spans="1:8" ht="57.6" x14ac:dyDescent="0.3">
      <c r="A4917" s="22" t="s">
        <v>1125</v>
      </c>
      <c r="C4917" s="30"/>
      <c r="D4917" s="30"/>
      <c r="E4917" s="30"/>
      <c r="F4917" s="30"/>
    </row>
    <row r="4918" spans="1:8" x14ac:dyDescent="0.3">
      <c r="A4918" s="22" t="s">
        <v>57</v>
      </c>
      <c r="B4918" t="s">
        <v>66</v>
      </c>
      <c r="C4918" s="30" t="s">
        <v>58</v>
      </c>
      <c r="D4918" s="30" t="s">
        <v>59</v>
      </c>
      <c r="E4918" s="30" t="s">
        <v>60</v>
      </c>
      <c r="F4918" s="30" t="s">
        <v>61</v>
      </c>
      <c r="G4918" t="s">
        <v>62</v>
      </c>
      <c r="H4918" t="s">
        <v>63</v>
      </c>
    </row>
    <row r="4919" spans="1:8" x14ac:dyDescent="0.3">
      <c r="A4919" s="22" t="s">
        <v>64</v>
      </c>
      <c r="B4919" t="s">
        <v>67</v>
      </c>
      <c r="C4919" s="30">
        <v>59.210526315789473</v>
      </c>
      <c r="D4919" s="30">
        <v>70</v>
      </c>
      <c r="E4919" s="30">
        <v>5</v>
      </c>
      <c r="F4919" s="30">
        <v>100</v>
      </c>
      <c r="G4919">
        <v>19</v>
      </c>
      <c r="H4919">
        <v>19</v>
      </c>
    </row>
    <row r="4920" spans="1:8" x14ac:dyDescent="0.3">
      <c r="C4920" s="30"/>
      <c r="D4920" s="30"/>
      <c r="E4920" s="30"/>
      <c r="F4920" s="30"/>
    </row>
    <row r="4921" spans="1:8" ht="43.2" x14ac:dyDescent="0.3">
      <c r="A4921" s="22" t="s">
        <v>1126</v>
      </c>
      <c r="C4921" s="30"/>
      <c r="D4921" s="30"/>
      <c r="E4921" s="30"/>
      <c r="F4921" s="30"/>
    </row>
    <row r="4922" spans="1:8" x14ac:dyDescent="0.3">
      <c r="A4922" s="22" t="s">
        <v>57</v>
      </c>
      <c r="B4922" t="s">
        <v>66</v>
      </c>
      <c r="C4922" s="30" t="s">
        <v>58</v>
      </c>
      <c r="D4922" s="30" t="s">
        <v>59</v>
      </c>
      <c r="E4922" s="30" t="s">
        <v>60</v>
      </c>
      <c r="F4922" s="30" t="s">
        <v>61</v>
      </c>
      <c r="G4922" t="s">
        <v>62</v>
      </c>
      <c r="H4922" t="s">
        <v>63</v>
      </c>
    </row>
    <row r="4923" spans="1:8" x14ac:dyDescent="0.3">
      <c r="A4923" s="22" t="s">
        <v>64</v>
      </c>
      <c r="B4923" t="s">
        <v>67</v>
      </c>
      <c r="C4923" s="30">
        <v>66.5</v>
      </c>
      <c r="D4923" s="30">
        <v>60</v>
      </c>
      <c r="E4923" s="30">
        <v>30</v>
      </c>
      <c r="F4923" s="30">
        <v>100</v>
      </c>
      <c r="G4923">
        <v>10</v>
      </c>
      <c r="H4923">
        <v>19</v>
      </c>
    </row>
    <row r="4924" spans="1:8" x14ac:dyDescent="0.3">
      <c r="A4924" s="22" t="s">
        <v>64</v>
      </c>
      <c r="B4924" t="s">
        <v>68</v>
      </c>
      <c r="C4924" s="30">
        <v>51.111111111111107</v>
      </c>
      <c r="D4924" s="30">
        <v>70</v>
      </c>
      <c r="E4924" s="30">
        <v>5</v>
      </c>
      <c r="F4924" s="30">
        <v>100</v>
      </c>
      <c r="G4924">
        <v>9</v>
      </c>
      <c r="H4924">
        <v>19</v>
      </c>
    </row>
    <row r="4925" spans="1:8" x14ac:dyDescent="0.3">
      <c r="C4925" s="30"/>
      <c r="D4925" s="30"/>
      <c r="E4925" s="30"/>
      <c r="F4925" s="30"/>
    </row>
    <row r="4926" spans="1:8" ht="57.6" x14ac:dyDescent="0.3">
      <c r="A4926" s="22" t="s">
        <v>1127</v>
      </c>
      <c r="C4926" s="30"/>
      <c r="D4926" s="30"/>
      <c r="E4926" s="30"/>
      <c r="F4926" s="30"/>
    </row>
    <row r="4927" spans="1:8" x14ac:dyDescent="0.3">
      <c r="A4927" s="22" t="s">
        <v>57</v>
      </c>
      <c r="B4927" t="s">
        <v>66</v>
      </c>
      <c r="C4927" s="30" t="s">
        <v>58</v>
      </c>
      <c r="D4927" s="30" t="s">
        <v>59</v>
      </c>
      <c r="E4927" s="30" t="s">
        <v>60</v>
      </c>
      <c r="F4927" s="30" t="s">
        <v>61</v>
      </c>
      <c r="G4927" t="s">
        <v>62</v>
      </c>
      <c r="H4927" t="s">
        <v>63</v>
      </c>
    </row>
    <row r="4928" spans="1:8" x14ac:dyDescent="0.3">
      <c r="A4928" s="22" t="s">
        <v>64</v>
      </c>
      <c r="B4928" t="s">
        <v>67</v>
      </c>
      <c r="C4928" s="30">
        <v>59.705882352941167</v>
      </c>
      <c r="D4928" s="30">
        <v>70</v>
      </c>
      <c r="E4928" s="30">
        <v>5</v>
      </c>
      <c r="F4928" s="30">
        <v>100</v>
      </c>
      <c r="G4928">
        <v>17</v>
      </c>
      <c r="H4928">
        <v>19</v>
      </c>
    </row>
    <row r="4929" spans="1:8" x14ac:dyDescent="0.3">
      <c r="A4929" s="22" t="s">
        <v>64</v>
      </c>
      <c r="B4929" t="s">
        <v>68</v>
      </c>
      <c r="C4929" s="30">
        <v>55</v>
      </c>
      <c r="D4929" s="30">
        <v>50</v>
      </c>
      <c r="E4929" s="30">
        <v>50</v>
      </c>
      <c r="F4929" s="30">
        <v>60</v>
      </c>
      <c r="G4929">
        <v>2</v>
      </c>
      <c r="H4929">
        <v>19</v>
      </c>
    </row>
    <row r="4930" spans="1:8" x14ac:dyDescent="0.3">
      <c r="C4930" s="30"/>
      <c r="D4930" s="30"/>
      <c r="E4930" s="30"/>
      <c r="F4930" s="30"/>
    </row>
    <row r="4931" spans="1:8" ht="43.2" x14ac:dyDescent="0.3">
      <c r="A4931" s="27" t="s">
        <v>1128</v>
      </c>
      <c r="C4931" s="30"/>
      <c r="D4931" s="30"/>
      <c r="E4931" s="30"/>
      <c r="F4931" s="30"/>
    </row>
    <row r="4932" spans="1:8" x14ac:dyDescent="0.3">
      <c r="A4932" s="22" t="s">
        <v>57</v>
      </c>
      <c r="B4932" t="s">
        <v>66</v>
      </c>
      <c r="C4932" s="30" t="s">
        <v>58</v>
      </c>
      <c r="D4932" s="30" t="s">
        <v>59</v>
      </c>
      <c r="E4932" s="30" t="s">
        <v>60</v>
      </c>
      <c r="F4932" s="30" t="s">
        <v>61</v>
      </c>
      <c r="G4932" t="s">
        <v>62</v>
      </c>
      <c r="H4932" t="s">
        <v>63</v>
      </c>
    </row>
    <row r="4933" spans="1:8" x14ac:dyDescent="0.3">
      <c r="A4933" s="22" t="s">
        <v>64</v>
      </c>
      <c r="B4933" t="s">
        <v>81</v>
      </c>
      <c r="C4933" s="30">
        <v>68</v>
      </c>
      <c r="D4933" s="30">
        <v>90</v>
      </c>
      <c r="E4933" s="30">
        <v>30</v>
      </c>
      <c r="F4933" s="30">
        <v>100</v>
      </c>
      <c r="G4933">
        <v>5</v>
      </c>
      <c r="H4933">
        <v>19</v>
      </c>
    </row>
    <row r="4934" spans="1:8" x14ac:dyDescent="0.3">
      <c r="A4934" s="22" t="s">
        <v>64</v>
      </c>
      <c r="B4934" t="s">
        <v>82</v>
      </c>
      <c r="C4934" s="30">
        <v>58.333333333333343</v>
      </c>
      <c r="D4934" s="30">
        <v>80</v>
      </c>
      <c r="E4934" s="30">
        <v>45</v>
      </c>
      <c r="F4934" s="30">
        <v>80</v>
      </c>
      <c r="G4934">
        <v>3</v>
      </c>
      <c r="H4934">
        <v>19</v>
      </c>
    </row>
    <row r="4935" spans="1:8" x14ac:dyDescent="0.3">
      <c r="A4935" s="22" t="s">
        <v>64</v>
      </c>
      <c r="B4935" t="s">
        <v>83</v>
      </c>
      <c r="C4935" s="30">
        <v>70</v>
      </c>
      <c r="D4935" s="30">
        <v>60</v>
      </c>
      <c r="E4935" s="30">
        <v>50</v>
      </c>
      <c r="F4935" s="30">
        <v>100</v>
      </c>
      <c r="G4935">
        <v>6</v>
      </c>
      <c r="H4935">
        <v>19</v>
      </c>
    </row>
    <row r="4936" spans="1:8" x14ac:dyDescent="0.3">
      <c r="A4936" s="22" t="s">
        <v>64</v>
      </c>
      <c r="B4936" t="s">
        <v>84</v>
      </c>
      <c r="C4936" s="30">
        <v>38</v>
      </c>
      <c r="D4936" s="30">
        <v>70</v>
      </c>
      <c r="E4936" s="30">
        <v>5</v>
      </c>
      <c r="F4936" s="30">
        <v>75</v>
      </c>
      <c r="G4936">
        <v>5</v>
      </c>
      <c r="H4936">
        <v>19</v>
      </c>
    </row>
    <row r="4938" spans="1:8" ht="28.8" x14ac:dyDescent="0.3">
      <c r="A4938" s="27" t="s">
        <v>1129</v>
      </c>
    </row>
    <row r="4939" spans="1:8" x14ac:dyDescent="0.3">
      <c r="A4939" s="22" t="s">
        <v>57</v>
      </c>
      <c r="B4939" t="s">
        <v>58</v>
      </c>
      <c r="C4939" t="s">
        <v>59</v>
      </c>
      <c r="D4939" t="s">
        <v>60</v>
      </c>
      <c r="E4939" t="s">
        <v>61</v>
      </c>
      <c r="F4939" t="s">
        <v>62</v>
      </c>
      <c r="G4939" t="s">
        <v>63</v>
      </c>
    </row>
    <row r="4940" spans="1:8" x14ac:dyDescent="0.3">
      <c r="A4940" s="22" t="s">
        <v>64</v>
      </c>
      <c r="B4940" s="30">
        <v>25.484375</v>
      </c>
      <c r="C4940" s="30">
        <v>20</v>
      </c>
      <c r="D4940" s="30">
        <v>3</v>
      </c>
      <c r="E4940" s="30">
        <v>70</v>
      </c>
      <c r="F4940">
        <v>64</v>
      </c>
      <c r="G4940">
        <v>64</v>
      </c>
    </row>
    <row r="4942" spans="1:8" ht="57.6" x14ac:dyDescent="0.3">
      <c r="A4942" s="22" t="s">
        <v>1130</v>
      </c>
    </row>
    <row r="4943" spans="1:8" x14ac:dyDescent="0.3">
      <c r="A4943" s="22" t="s">
        <v>57</v>
      </c>
      <c r="B4943" t="s">
        <v>66</v>
      </c>
      <c r="C4943" t="s">
        <v>58</v>
      </c>
      <c r="D4943" t="s">
        <v>59</v>
      </c>
      <c r="E4943" t="s">
        <v>60</v>
      </c>
      <c r="F4943" t="s">
        <v>61</v>
      </c>
      <c r="G4943" t="s">
        <v>62</v>
      </c>
      <c r="H4943" t="s">
        <v>63</v>
      </c>
    </row>
    <row r="4944" spans="1:8" x14ac:dyDescent="0.3">
      <c r="A4944" s="22" t="s">
        <v>64</v>
      </c>
      <c r="B4944" t="s">
        <v>67</v>
      </c>
      <c r="C4944" s="30">
        <v>24.423728813559318</v>
      </c>
      <c r="D4944" s="30">
        <v>25</v>
      </c>
      <c r="E4944" s="30">
        <v>3</v>
      </c>
      <c r="F4944" s="30">
        <v>70</v>
      </c>
      <c r="G4944">
        <v>59</v>
      </c>
      <c r="H4944">
        <v>64</v>
      </c>
    </row>
    <row r="4945" spans="1:8" x14ac:dyDescent="0.3">
      <c r="A4945" s="22" t="s">
        <v>64</v>
      </c>
      <c r="B4945" t="s">
        <v>68</v>
      </c>
      <c r="C4945" s="30">
        <v>38</v>
      </c>
      <c r="D4945" s="30">
        <v>60</v>
      </c>
      <c r="E4945" s="30">
        <v>10</v>
      </c>
      <c r="F4945" s="30">
        <v>70</v>
      </c>
      <c r="G4945">
        <v>5</v>
      </c>
      <c r="H4945">
        <v>64</v>
      </c>
    </row>
    <row r="4946" spans="1:8" x14ac:dyDescent="0.3">
      <c r="C4946" s="30"/>
      <c r="D4946" s="30"/>
      <c r="E4946" s="30"/>
      <c r="F4946" s="30"/>
    </row>
    <row r="4947" spans="1:8" x14ac:dyDescent="0.3">
      <c r="A4947"/>
      <c r="C4947" s="30"/>
      <c r="D4947" s="30"/>
      <c r="E4947" s="30"/>
      <c r="F4947" s="30"/>
    </row>
    <row r="4948" spans="1:8" x14ac:dyDescent="0.3">
      <c r="A4948"/>
      <c r="C4948" s="30"/>
      <c r="D4948" s="30"/>
      <c r="E4948" s="30"/>
      <c r="F4948" s="30"/>
    </row>
    <row r="4949" spans="1:8" x14ac:dyDescent="0.3">
      <c r="A4949"/>
      <c r="C4949" s="30"/>
      <c r="D4949" s="30"/>
      <c r="E4949" s="30"/>
      <c r="F4949" s="30"/>
    </row>
    <row r="4950" spans="1:8" x14ac:dyDescent="0.3">
      <c r="C4950" s="30"/>
      <c r="D4950" s="30"/>
      <c r="E4950" s="30"/>
      <c r="F4950" s="30"/>
    </row>
    <row r="4951" spans="1:8" ht="57.6" x14ac:dyDescent="0.3">
      <c r="A4951" s="22" t="s">
        <v>1131</v>
      </c>
      <c r="C4951" s="30"/>
      <c r="D4951" s="30"/>
      <c r="E4951" s="30"/>
      <c r="F4951" s="30"/>
    </row>
    <row r="4952" spans="1:8" x14ac:dyDescent="0.3">
      <c r="A4952" s="22" t="s">
        <v>57</v>
      </c>
      <c r="B4952" t="s">
        <v>66</v>
      </c>
      <c r="C4952" s="30" t="s">
        <v>58</v>
      </c>
      <c r="D4952" s="30" t="s">
        <v>59</v>
      </c>
      <c r="E4952" s="30" t="s">
        <v>60</v>
      </c>
      <c r="F4952" s="30" t="s">
        <v>61</v>
      </c>
      <c r="G4952" t="s">
        <v>62</v>
      </c>
      <c r="H4952" t="s">
        <v>63</v>
      </c>
    </row>
    <row r="4953" spans="1:8" x14ac:dyDescent="0.3">
      <c r="A4953" s="22" t="s">
        <v>64</v>
      </c>
      <c r="B4953" t="s">
        <v>67</v>
      </c>
      <c r="C4953" s="30">
        <v>26</v>
      </c>
      <c r="D4953" s="30">
        <v>25</v>
      </c>
      <c r="E4953" s="30">
        <v>3</v>
      </c>
      <c r="F4953" s="30">
        <v>70</v>
      </c>
      <c r="G4953">
        <v>61</v>
      </c>
      <c r="H4953">
        <v>64</v>
      </c>
    </row>
    <row r="4954" spans="1:8" x14ac:dyDescent="0.3">
      <c r="A4954" s="22" t="s">
        <v>64</v>
      </c>
      <c r="B4954" t="s">
        <v>68</v>
      </c>
      <c r="C4954" s="30">
        <v>15</v>
      </c>
      <c r="D4954" s="30">
        <v>30</v>
      </c>
      <c r="E4954" s="30">
        <v>5</v>
      </c>
      <c r="F4954" s="30">
        <v>30</v>
      </c>
      <c r="G4954">
        <v>3</v>
      </c>
      <c r="H4954">
        <v>64</v>
      </c>
    </row>
    <row r="4955" spans="1:8" x14ac:dyDescent="0.3">
      <c r="C4955" s="30"/>
      <c r="D4955" s="30"/>
      <c r="E4955" s="30"/>
      <c r="F4955" s="30"/>
    </row>
    <row r="4956" spans="1:8" ht="43.2" x14ac:dyDescent="0.3">
      <c r="A4956" s="22" t="s">
        <v>1132</v>
      </c>
      <c r="C4956" s="30"/>
      <c r="D4956" s="30"/>
      <c r="E4956" s="30"/>
      <c r="F4956" s="30"/>
    </row>
    <row r="4957" spans="1:8" x14ac:dyDescent="0.3">
      <c r="A4957" s="22" t="s">
        <v>57</v>
      </c>
      <c r="B4957" t="s">
        <v>66</v>
      </c>
      <c r="C4957" s="30" t="s">
        <v>58</v>
      </c>
      <c r="D4957" s="30" t="s">
        <v>59</v>
      </c>
      <c r="E4957" s="30" t="s">
        <v>60</v>
      </c>
      <c r="F4957" s="30" t="s">
        <v>61</v>
      </c>
      <c r="G4957" t="s">
        <v>62</v>
      </c>
      <c r="H4957" t="s">
        <v>63</v>
      </c>
    </row>
    <row r="4958" spans="1:8" x14ac:dyDescent="0.3">
      <c r="A4958" s="22" t="s">
        <v>64</v>
      </c>
      <c r="B4958" t="s">
        <v>67</v>
      </c>
      <c r="C4958" s="30">
        <v>25.484375</v>
      </c>
      <c r="D4958" s="30">
        <v>20</v>
      </c>
      <c r="E4958" s="30">
        <v>3</v>
      </c>
      <c r="F4958" s="30">
        <v>70</v>
      </c>
      <c r="G4958">
        <v>64</v>
      </c>
      <c r="H4958">
        <v>64</v>
      </c>
    </row>
    <row r="4959" spans="1:8" x14ac:dyDescent="0.3">
      <c r="C4959" s="30"/>
      <c r="D4959" s="30"/>
      <c r="E4959" s="30"/>
      <c r="F4959" s="30"/>
    </row>
    <row r="4960" spans="1:8" ht="57.6" x14ac:dyDescent="0.3">
      <c r="A4960" s="22" t="s">
        <v>1133</v>
      </c>
      <c r="C4960" s="30"/>
      <c r="D4960" s="30"/>
      <c r="E4960" s="30"/>
      <c r="F4960" s="30"/>
    </row>
    <row r="4961" spans="1:8" x14ac:dyDescent="0.3">
      <c r="A4961" s="22" t="s">
        <v>57</v>
      </c>
      <c r="B4961" t="s">
        <v>66</v>
      </c>
      <c r="C4961" s="30" t="s">
        <v>58</v>
      </c>
      <c r="D4961" s="30" t="s">
        <v>59</v>
      </c>
      <c r="E4961" s="30" t="s">
        <v>60</v>
      </c>
      <c r="F4961" s="30" t="s">
        <v>61</v>
      </c>
      <c r="G4961" t="s">
        <v>62</v>
      </c>
      <c r="H4961" t="s">
        <v>63</v>
      </c>
    </row>
    <row r="4962" spans="1:8" x14ac:dyDescent="0.3">
      <c r="A4962" s="22" t="s">
        <v>64</v>
      </c>
      <c r="B4962" t="s">
        <v>67</v>
      </c>
      <c r="C4962" s="30">
        <v>25.271186440677969</v>
      </c>
      <c r="D4962" s="30">
        <v>25</v>
      </c>
      <c r="E4962" s="30">
        <v>3</v>
      </c>
      <c r="F4962" s="30">
        <v>70</v>
      </c>
      <c r="G4962">
        <v>59</v>
      </c>
      <c r="H4962">
        <v>64</v>
      </c>
    </row>
    <row r="4963" spans="1:8" x14ac:dyDescent="0.3">
      <c r="A4963" s="22" t="s">
        <v>64</v>
      </c>
      <c r="B4963" t="s">
        <v>68</v>
      </c>
      <c r="C4963" s="30">
        <v>28</v>
      </c>
      <c r="D4963" s="30">
        <v>30</v>
      </c>
      <c r="E4963" s="30">
        <v>10</v>
      </c>
      <c r="F4963" s="30">
        <v>50</v>
      </c>
      <c r="G4963">
        <v>5</v>
      </c>
      <c r="H4963">
        <v>64</v>
      </c>
    </row>
    <row r="4964" spans="1:8" x14ac:dyDescent="0.3">
      <c r="C4964" s="30"/>
      <c r="D4964" s="30"/>
      <c r="E4964" s="30"/>
      <c r="F4964" s="30"/>
    </row>
    <row r="4965" spans="1:8" ht="57.6" x14ac:dyDescent="0.3">
      <c r="A4965" s="22" t="s">
        <v>1134</v>
      </c>
      <c r="C4965" s="30"/>
      <c r="D4965" s="30"/>
      <c r="E4965" s="30"/>
      <c r="F4965" s="30"/>
    </row>
    <row r="4966" spans="1:8" x14ac:dyDescent="0.3">
      <c r="A4966" s="22" t="s">
        <v>57</v>
      </c>
      <c r="B4966" t="s">
        <v>66</v>
      </c>
      <c r="C4966" s="30" t="s">
        <v>58</v>
      </c>
      <c r="D4966" s="30" t="s">
        <v>59</v>
      </c>
      <c r="E4966" s="30" t="s">
        <v>60</v>
      </c>
      <c r="F4966" s="30" t="s">
        <v>61</v>
      </c>
      <c r="G4966" t="s">
        <v>62</v>
      </c>
      <c r="H4966" t="s">
        <v>63</v>
      </c>
    </row>
    <row r="4967" spans="1:8" x14ac:dyDescent="0.3">
      <c r="A4967" s="22" t="s">
        <v>64</v>
      </c>
      <c r="B4967" t="s">
        <v>67</v>
      </c>
      <c r="C4967" s="30">
        <v>33.333333333333343</v>
      </c>
      <c r="D4967" s="30">
        <v>60</v>
      </c>
      <c r="E4967" s="30">
        <v>20</v>
      </c>
      <c r="F4967" s="30">
        <v>60</v>
      </c>
      <c r="G4967">
        <v>3</v>
      </c>
      <c r="H4967">
        <v>64</v>
      </c>
    </row>
    <row r="4968" spans="1:8" x14ac:dyDescent="0.3">
      <c r="A4968" s="22" t="s">
        <v>64</v>
      </c>
      <c r="B4968" t="s">
        <v>68</v>
      </c>
      <c r="C4968" s="30">
        <v>25.0983606557377</v>
      </c>
      <c r="D4968" s="30">
        <v>25</v>
      </c>
      <c r="E4968" s="30">
        <v>3</v>
      </c>
      <c r="F4968" s="30">
        <v>70</v>
      </c>
      <c r="G4968">
        <v>61</v>
      </c>
      <c r="H4968">
        <v>64</v>
      </c>
    </row>
    <row r="4969" spans="1:8" x14ac:dyDescent="0.3">
      <c r="C4969" s="30"/>
      <c r="D4969" s="30"/>
      <c r="E4969" s="30"/>
      <c r="F4969" s="30"/>
    </row>
    <row r="4970" spans="1:8" ht="57.6" x14ac:dyDescent="0.3">
      <c r="A4970" s="22" t="s">
        <v>1135</v>
      </c>
      <c r="C4970" s="30"/>
      <c r="D4970" s="30"/>
      <c r="E4970" s="30"/>
      <c r="F4970" s="30"/>
    </row>
    <row r="4971" spans="1:8" x14ac:dyDescent="0.3">
      <c r="A4971" s="22" t="s">
        <v>57</v>
      </c>
      <c r="B4971" t="s">
        <v>66</v>
      </c>
      <c r="C4971" s="30" t="s">
        <v>58</v>
      </c>
      <c r="D4971" s="30" t="s">
        <v>59</v>
      </c>
      <c r="E4971" s="30" t="s">
        <v>60</v>
      </c>
      <c r="F4971" s="30" t="s">
        <v>61</v>
      </c>
      <c r="G4971" t="s">
        <v>62</v>
      </c>
      <c r="H4971" t="s">
        <v>63</v>
      </c>
    </row>
    <row r="4972" spans="1:8" x14ac:dyDescent="0.3">
      <c r="A4972" s="22" t="s">
        <v>64</v>
      </c>
      <c r="B4972" t="s">
        <v>67</v>
      </c>
      <c r="C4972" s="30">
        <v>25.2</v>
      </c>
      <c r="D4972" s="30">
        <v>25</v>
      </c>
      <c r="E4972" s="30">
        <v>3</v>
      </c>
      <c r="F4972" s="30">
        <v>70</v>
      </c>
      <c r="G4972">
        <v>55</v>
      </c>
      <c r="H4972">
        <v>64</v>
      </c>
    </row>
    <row r="4973" spans="1:8" x14ac:dyDescent="0.3">
      <c r="A4973" s="22" t="s">
        <v>64</v>
      </c>
      <c r="B4973" t="s">
        <v>68</v>
      </c>
      <c r="C4973" s="30">
        <v>27.222222222222221</v>
      </c>
      <c r="D4973" s="30">
        <v>25</v>
      </c>
      <c r="E4973" s="30">
        <v>10</v>
      </c>
      <c r="F4973" s="30">
        <v>70</v>
      </c>
      <c r="G4973">
        <v>9</v>
      </c>
      <c r="H4973">
        <v>64</v>
      </c>
    </row>
    <row r="4974" spans="1:8" x14ac:dyDescent="0.3">
      <c r="C4974" s="30"/>
      <c r="D4974" s="30"/>
      <c r="E4974" s="30"/>
      <c r="F4974" s="30"/>
    </row>
    <row r="4975" spans="1:8" ht="43.2" x14ac:dyDescent="0.3">
      <c r="A4975" s="22" t="s">
        <v>1136</v>
      </c>
      <c r="C4975" s="30"/>
      <c r="D4975" s="30"/>
      <c r="E4975" s="30"/>
      <c r="F4975" s="30"/>
    </row>
    <row r="4976" spans="1:8" x14ac:dyDescent="0.3">
      <c r="A4976" s="22" t="s">
        <v>57</v>
      </c>
      <c r="B4976" t="s">
        <v>66</v>
      </c>
      <c r="C4976" s="30" t="s">
        <v>58</v>
      </c>
      <c r="D4976" s="30" t="s">
        <v>59</v>
      </c>
      <c r="E4976" s="30" t="s">
        <v>60</v>
      </c>
      <c r="F4976" s="30" t="s">
        <v>61</v>
      </c>
      <c r="G4976" t="s">
        <v>62</v>
      </c>
      <c r="H4976" t="s">
        <v>63</v>
      </c>
    </row>
    <row r="4977" spans="1:8" x14ac:dyDescent="0.3">
      <c r="A4977" s="22" t="s">
        <v>64</v>
      </c>
      <c r="B4977" t="s">
        <v>67</v>
      </c>
      <c r="C4977" s="30">
        <v>25.333333333333329</v>
      </c>
      <c r="D4977" s="30">
        <v>25</v>
      </c>
      <c r="E4977" s="30">
        <v>3</v>
      </c>
      <c r="F4977" s="30">
        <v>70</v>
      </c>
      <c r="G4977">
        <v>48</v>
      </c>
      <c r="H4977">
        <v>64</v>
      </c>
    </row>
    <row r="4978" spans="1:8" x14ac:dyDescent="0.3">
      <c r="A4978" s="22" t="s">
        <v>64</v>
      </c>
      <c r="B4978" t="s">
        <v>68</v>
      </c>
      <c r="C4978" s="30">
        <v>25.9375</v>
      </c>
      <c r="D4978" s="30">
        <v>20</v>
      </c>
      <c r="E4978" s="30">
        <v>5</v>
      </c>
      <c r="F4978" s="30">
        <v>60</v>
      </c>
      <c r="G4978">
        <v>16</v>
      </c>
      <c r="H4978">
        <v>64</v>
      </c>
    </row>
    <row r="4979" spans="1:8" x14ac:dyDescent="0.3">
      <c r="C4979" s="30"/>
      <c r="D4979" s="30"/>
      <c r="E4979" s="30"/>
      <c r="F4979" s="30"/>
    </row>
    <row r="4980" spans="1:8" ht="57.6" x14ac:dyDescent="0.3">
      <c r="A4980" s="22" t="s">
        <v>1137</v>
      </c>
      <c r="C4980" s="30"/>
      <c r="D4980" s="30"/>
      <c r="E4980" s="30"/>
      <c r="F4980" s="30"/>
    </row>
    <row r="4981" spans="1:8" x14ac:dyDescent="0.3">
      <c r="A4981" s="22" t="s">
        <v>57</v>
      </c>
      <c r="B4981" t="s">
        <v>66</v>
      </c>
      <c r="C4981" s="30" t="s">
        <v>58</v>
      </c>
      <c r="D4981" s="30" t="s">
        <v>59</v>
      </c>
      <c r="E4981" s="30" t="s">
        <v>60</v>
      </c>
      <c r="F4981" s="30" t="s">
        <v>61</v>
      </c>
      <c r="G4981" t="s">
        <v>62</v>
      </c>
      <c r="H4981" t="s">
        <v>63</v>
      </c>
    </row>
    <row r="4982" spans="1:8" x14ac:dyDescent="0.3">
      <c r="A4982" s="22" t="s">
        <v>64</v>
      </c>
      <c r="B4982" t="s">
        <v>67</v>
      </c>
      <c r="C4982" s="30">
        <v>26.095238095238091</v>
      </c>
      <c r="D4982" s="30">
        <v>25</v>
      </c>
      <c r="E4982" s="30">
        <v>3</v>
      </c>
      <c r="F4982" s="30">
        <v>70</v>
      </c>
      <c r="G4982">
        <v>42</v>
      </c>
      <c r="H4982">
        <v>64</v>
      </c>
    </row>
    <row r="4983" spans="1:8" x14ac:dyDescent="0.3">
      <c r="A4983" s="22" t="s">
        <v>64</v>
      </c>
      <c r="B4983" t="s">
        <v>68</v>
      </c>
      <c r="C4983" s="30">
        <v>24.31818181818182</v>
      </c>
      <c r="D4983" s="30">
        <v>20</v>
      </c>
      <c r="E4983" s="30">
        <v>5</v>
      </c>
      <c r="F4983" s="30">
        <v>50</v>
      </c>
      <c r="G4983">
        <v>22</v>
      </c>
      <c r="H4983">
        <v>64</v>
      </c>
    </row>
    <row r="4984" spans="1:8" x14ac:dyDescent="0.3">
      <c r="C4984" s="30"/>
      <c r="D4984" s="30"/>
      <c r="E4984" s="30"/>
      <c r="F4984" s="30"/>
    </row>
    <row r="4985" spans="1:8" ht="57.6" x14ac:dyDescent="0.3">
      <c r="A4985" s="22" t="s">
        <v>1138</v>
      </c>
      <c r="C4985" s="30"/>
      <c r="D4985" s="30"/>
      <c r="E4985" s="30"/>
      <c r="F4985" s="30"/>
    </row>
    <row r="4986" spans="1:8" x14ac:dyDescent="0.3">
      <c r="A4986" s="22" t="s">
        <v>57</v>
      </c>
      <c r="B4986" t="s">
        <v>66</v>
      </c>
      <c r="C4986" s="30" t="s">
        <v>58</v>
      </c>
      <c r="D4986" s="30" t="s">
        <v>59</v>
      </c>
      <c r="E4986" s="30" t="s">
        <v>60</v>
      </c>
      <c r="F4986" s="30" t="s">
        <v>61</v>
      </c>
      <c r="G4986" t="s">
        <v>62</v>
      </c>
      <c r="H4986" t="s">
        <v>63</v>
      </c>
    </row>
    <row r="4987" spans="1:8" x14ac:dyDescent="0.3">
      <c r="A4987" s="22" t="s">
        <v>64</v>
      </c>
      <c r="B4987" t="s">
        <v>67</v>
      </c>
      <c r="C4987" s="30">
        <v>25.773584905660378</v>
      </c>
      <c r="D4987" s="30">
        <v>25</v>
      </c>
      <c r="E4987" s="30">
        <v>3</v>
      </c>
      <c r="F4987" s="30">
        <v>70</v>
      </c>
      <c r="G4987">
        <v>53</v>
      </c>
      <c r="H4987">
        <v>64</v>
      </c>
    </row>
    <row r="4988" spans="1:8" x14ac:dyDescent="0.3">
      <c r="A4988" s="22" t="s">
        <v>64</v>
      </c>
      <c r="B4988" t="s">
        <v>68</v>
      </c>
      <c r="C4988" s="30">
        <v>24.09090909090909</v>
      </c>
      <c r="D4988" s="30">
        <v>20</v>
      </c>
      <c r="E4988" s="30">
        <v>10</v>
      </c>
      <c r="F4988" s="30">
        <v>60</v>
      </c>
      <c r="G4988">
        <v>11</v>
      </c>
      <c r="H4988">
        <v>64</v>
      </c>
    </row>
    <row r="4989" spans="1:8" x14ac:dyDescent="0.3">
      <c r="C4989" s="30"/>
      <c r="D4989" s="30"/>
      <c r="E4989" s="30"/>
      <c r="F4989" s="30"/>
    </row>
    <row r="4990" spans="1:8" ht="57.6" x14ac:dyDescent="0.3">
      <c r="A4990" s="22" t="s">
        <v>1139</v>
      </c>
      <c r="C4990" s="30"/>
      <c r="D4990" s="30"/>
      <c r="E4990" s="30"/>
      <c r="F4990" s="30"/>
    </row>
    <row r="4991" spans="1:8" x14ac:dyDescent="0.3">
      <c r="A4991" s="22" t="s">
        <v>57</v>
      </c>
      <c r="B4991" t="s">
        <v>66</v>
      </c>
      <c r="C4991" s="30" t="s">
        <v>58</v>
      </c>
      <c r="D4991" s="30" t="s">
        <v>59</v>
      </c>
      <c r="E4991" s="30" t="s">
        <v>60</v>
      </c>
      <c r="F4991" s="30" t="s">
        <v>61</v>
      </c>
      <c r="G4991" t="s">
        <v>62</v>
      </c>
      <c r="H4991" t="s">
        <v>63</v>
      </c>
    </row>
    <row r="4992" spans="1:8" x14ac:dyDescent="0.3">
      <c r="A4992" s="22" t="s">
        <v>64</v>
      </c>
      <c r="B4992" t="s">
        <v>67</v>
      </c>
      <c r="C4992" s="30">
        <v>25.484375</v>
      </c>
      <c r="D4992" s="30">
        <v>20</v>
      </c>
      <c r="E4992" s="30">
        <v>3</v>
      </c>
      <c r="F4992" s="30">
        <v>70</v>
      </c>
      <c r="G4992">
        <v>64</v>
      </c>
      <c r="H4992">
        <v>64</v>
      </c>
    </row>
    <row r="4993" spans="1:8" x14ac:dyDescent="0.3">
      <c r="C4993" s="30"/>
      <c r="D4993" s="30"/>
      <c r="E4993" s="30"/>
      <c r="F4993" s="30"/>
    </row>
    <row r="4994" spans="1:8" ht="43.2" x14ac:dyDescent="0.3">
      <c r="A4994" s="22" t="s">
        <v>1140</v>
      </c>
      <c r="C4994" s="30"/>
      <c r="D4994" s="30"/>
      <c r="E4994" s="30"/>
      <c r="F4994" s="30"/>
    </row>
    <row r="4995" spans="1:8" x14ac:dyDescent="0.3">
      <c r="A4995" s="22" t="s">
        <v>57</v>
      </c>
      <c r="B4995" t="s">
        <v>66</v>
      </c>
      <c r="C4995" s="30" t="s">
        <v>58</v>
      </c>
      <c r="D4995" s="30" t="s">
        <v>59</v>
      </c>
      <c r="E4995" s="30" t="s">
        <v>60</v>
      </c>
      <c r="F4995" s="30" t="s">
        <v>61</v>
      </c>
      <c r="G4995" t="s">
        <v>62</v>
      </c>
      <c r="H4995" t="s">
        <v>63</v>
      </c>
    </row>
    <row r="4996" spans="1:8" x14ac:dyDescent="0.3">
      <c r="A4996" s="22" t="s">
        <v>64</v>
      </c>
      <c r="B4996" t="s">
        <v>67</v>
      </c>
      <c r="C4996" s="30">
        <v>23.5</v>
      </c>
      <c r="D4996" s="30">
        <v>20</v>
      </c>
      <c r="E4996" s="30">
        <v>3</v>
      </c>
      <c r="F4996" s="30">
        <v>70</v>
      </c>
      <c r="G4996">
        <v>36</v>
      </c>
      <c r="H4996">
        <v>64</v>
      </c>
    </row>
    <row r="4997" spans="1:8" x14ac:dyDescent="0.3">
      <c r="A4997" s="22" t="s">
        <v>64</v>
      </c>
      <c r="B4997" t="s">
        <v>68</v>
      </c>
      <c r="C4997" s="30">
        <v>28.035714285714281</v>
      </c>
      <c r="D4997" s="30">
        <v>25</v>
      </c>
      <c r="E4997" s="30">
        <v>5</v>
      </c>
      <c r="F4997" s="30">
        <v>70</v>
      </c>
      <c r="G4997">
        <v>28</v>
      </c>
      <c r="H4997">
        <v>64</v>
      </c>
    </row>
    <row r="4998" spans="1:8" x14ac:dyDescent="0.3">
      <c r="C4998" s="30"/>
      <c r="D4998" s="30"/>
      <c r="E4998" s="30"/>
      <c r="F4998" s="30"/>
    </row>
    <row r="4999" spans="1:8" ht="57.6" x14ac:dyDescent="0.3">
      <c r="A4999" s="22" t="s">
        <v>1141</v>
      </c>
      <c r="C4999" s="30"/>
      <c r="D4999" s="30"/>
      <c r="E4999" s="30"/>
      <c r="F4999" s="30"/>
    </row>
    <row r="5000" spans="1:8" x14ac:dyDescent="0.3">
      <c r="A5000" s="22" t="s">
        <v>57</v>
      </c>
      <c r="B5000" t="s">
        <v>66</v>
      </c>
      <c r="C5000" s="30" t="s">
        <v>58</v>
      </c>
      <c r="D5000" s="30" t="s">
        <v>59</v>
      </c>
      <c r="E5000" s="30" t="s">
        <v>60</v>
      </c>
      <c r="F5000" s="30" t="s">
        <v>61</v>
      </c>
      <c r="G5000" t="s">
        <v>62</v>
      </c>
      <c r="H5000" t="s">
        <v>63</v>
      </c>
    </row>
    <row r="5001" spans="1:8" x14ac:dyDescent="0.3">
      <c r="A5001" s="22" t="s">
        <v>64</v>
      </c>
      <c r="B5001" t="s">
        <v>67</v>
      </c>
      <c r="C5001" s="30">
        <v>25.39622641509434</v>
      </c>
      <c r="D5001" s="30">
        <v>25</v>
      </c>
      <c r="E5001" s="30">
        <v>3</v>
      </c>
      <c r="F5001" s="30">
        <v>70</v>
      </c>
      <c r="G5001">
        <v>53</v>
      </c>
      <c r="H5001">
        <v>64</v>
      </c>
    </row>
    <row r="5002" spans="1:8" x14ac:dyDescent="0.3">
      <c r="A5002" s="22" t="s">
        <v>64</v>
      </c>
      <c r="B5002" t="s">
        <v>68</v>
      </c>
      <c r="C5002" s="30">
        <v>25.90909090909091</v>
      </c>
      <c r="D5002" s="30">
        <v>25</v>
      </c>
      <c r="E5002" s="30">
        <v>10</v>
      </c>
      <c r="F5002" s="30">
        <v>70</v>
      </c>
      <c r="G5002">
        <v>11</v>
      </c>
      <c r="H5002">
        <v>64</v>
      </c>
    </row>
    <row r="5003" spans="1:8" x14ac:dyDescent="0.3">
      <c r="C5003" s="30"/>
      <c r="D5003" s="30"/>
      <c r="E5003" s="30"/>
      <c r="F5003" s="30"/>
    </row>
    <row r="5004" spans="1:8" ht="43.2" x14ac:dyDescent="0.3">
      <c r="A5004" s="27" t="s">
        <v>1142</v>
      </c>
      <c r="C5004" s="30"/>
      <c r="D5004" s="30"/>
      <c r="E5004" s="30"/>
      <c r="F5004" s="30"/>
    </row>
    <row r="5005" spans="1:8" x14ac:dyDescent="0.3">
      <c r="A5005" s="22" t="s">
        <v>57</v>
      </c>
      <c r="B5005" t="s">
        <v>66</v>
      </c>
      <c r="C5005" s="30" t="s">
        <v>58</v>
      </c>
      <c r="D5005" s="30" t="s">
        <v>59</v>
      </c>
      <c r="E5005" s="30" t="s">
        <v>60</v>
      </c>
      <c r="F5005" s="30" t="s">
        <v>61</v>
      </c>
      <c r="G5005" t="s">
        <v>62</v>
      </c>
      <c r="H5005" t="s">
        <v>63</v>
      </c>
    </row>
    <row r="5006" spans="1:8" x14ac:dyDescent="0.3">
      <c r="A5006" s="22" t="s">
        <v>64</v>
      </c>
      <c r="B5006" t="s">
        <v>81</v>
      </c>
      <c r="C5006" s="30">
        <v>22</v>
      </c>
      <c r="D5006" s="30">
        <v>15</v>
      </c>
      <c r="E5006" s="30">
        <v>5</v>
      </c>
      <c r="F5006" s="30">
        <v>50</v>
      </c>
      <c r="G5006">
        <v>14</v>
      </c>
      <c r="H5006">
        <v>64</v>
      </c>
    </row>
    <row r="5007" spans="1:8" x14ac:dyDescent="0.3">
      <c r="A5007" s="22" t="s">
        <v>64</v>
      </c>
      <c r="B5007" t="s">
        <v>82</v>
      </c>
      <c r="C5007" s="30">
        <v>21.666666666666671</v>
      </c>
      <c r="D5007" s="30">
        <v>25</v>
      </c>
      <c r="E5007" s="30">
        <v>5</v>
      </c>
      <c r="F5007" s="30">
        <v>30</v>
      </c>
      <c r="G5007">
        <v>15</v>
      </c>
      <c r="H5007">
        <v>64</v>
      </c>
    </row>
    <row r="5008" spans="1:8" x14ac:dyDescent="0.3">
      <c r="A5008" s="22" t="s">
        <v>64</v>
      </c>
      <c r="B5008" t="s">
        <v>83</v>
      </c>
      <c r="C5008" s="30">
        <v>25.928571428571431</v>
      </c>
      <c r="D5008" s="30">
        <v>20</v>
      </c>
      <c r="E5008" s="30">
        <v>3</v>
      </c>
      <c r="F5008" s="30">
        <v>60</v>
      </c>
      <c r="G5008">
        <v>14</v>
      </c>
      <c r="H5008">
        <v>64</v>
      </c>
    </row>
    <row r="5009" spans="1:8" x14ac:dyDescent="0.3">
      <c r="A5009" s="22" t="s">
        <v>64</v>
      </c>
      <c r="B5009" t="s">
        <v>84</v>
      </c>
      <c r="C5009" s="30">
        <v>30.238095238095241</v>
      </c>
      <c r="D5009" s="30">
        <v>30</v>
      </c>
      <c r="E5009" s="30">
        <v>10</v>
      </c>
      <c r="F5009" s="30">
        <v>70</v>
      </c>
      <c r="G5009">
        <v>21</v>
      </c>
      <c r="H5009">
        <v>64</v>
      </c>
    </row>
    <row r="5011" spans="1:8" ht="28.8" x14ac:dyDescent="0.3">
      <c r="A5011" s="27" t="s">
        <v>1143</v>
      </c>
    </row>
    <row r="5012" spans="1:8" x14ac:dyDescent="0.3">
      <c r="A5012" s="22" t="s">
        <v>57</v>
      </c>
      <c r="B5012" t="s">
        <v>58</v>
      </c>
      <c r="C5012" t="s">
        <v>59</v>
      </c>
      <c r="D5012" t="s">
        <v>60</v>
      </c>
      <c r="E5012" t="s">
        <v>61</v>
      </c>
      <c r="F5012" t="s">
        <v>62</v>
      </c>
      <c r="G5012" t="s">
        <v>63</v>
      </c>
    </row>
    <row r="5013" spans="1:8" x14ac:dyDescent="0.3">
      <c r="A5013" s="22" t="s">
        <v>64</v>
      </c>
      <c r="B5013" s="30">
        <v>12.61904761904762</v>
      </c>
      <c r="C5013" s="30">
        <v>10</v>
      </c>
      <c r="D5013" s="30">
        <v>1</v>
      </c>
      <c r="E5013" s="30">
        <v>30</v>
      </c>
      <c r="F5013">
        <v>21</v>
      </c>
      <c r="G5013">
        <v>21</v>
      </c>
    </row>
    <row r="5015" spans="1:8" ht="57.6" x14ac:dyDescent="0.3">
      <c r="A5015" s="22" t="s">
        <v>1144</v>
      </c>
      <c r="C5015" s="30"/>
      <c r="D5015" s="30"/>
      <c r="E5015" s="30"/>
      <c r="F5015" s="30"/>
    </row>
    <row r="5016" spans="1:8" x14ac:dyDescent="0.3">
      <c r="A5016" s="22" t="s">
        <v>57</v>
      </c>
      <c r="B5016" t="s">
        <v>66</v>
      </c>
      <c r="C5016" s="30" t="s">
        <v>58</v>
      </c>
      <c r="D5016" s="30" t="s">
        <v>59</v>
      </c>
      <c r="E5016" s="30" t="s">
        <v>60</v>
      </c>
      <c r="F5016" s="30" t="s">
        <v>61</v>
      </c>
      <c r="G5016" t="s">
        <v>62</v>
      </c>
      <c r="H5016" t="s">
        <v>63</v>
      </c>
    </row>
    <row r="5017" spans="1:8" x14ac:dyDescent="0.3">
      <c r="A5017" s="22" t="s">
        <v>64</v>
      </c>
      <c r="B5017" t="s">
        <v>67</v>
      </c>
      <c r="C5017" s="30">
        <v>12.61904761904762</v>
      </c>
      <c r="D5017" s="30">
        <v>10</v>
      </c>
      <c r="E5017" s="30">
        <v>1</v>
      </c>
      <c r="F5017" s="30">
        <v>30</v>
      </c>
      <c r="G5017">
        <v>21</v>
      </c>
      <c r="H5017">
        <v>21</v>
      </c>
    </row>
    <row r="5018" spans="1:8" x14ac:dyDescent="0.3">
      <c r="C5018" s="30"/>
      <c r="D5018" s="30"/>
      <c r="E5018" s="30"/>
      <c r="F5018" s="30"/>
    </row>
    <row r="5019" spans="1:8" x14ac:dyDescent="0.3">
      <c r="A5019"/>
      <c r="C5019" s="30"/>
      <c r="D5019" s="30"/>
      <c r="E5019" s="30"/>
      <c r="F5019" s="30"/>
    </row>
    <row r="5020" spans="1:8" x14ac:dyDescent="0.3">
      <c r="A5020"/>
      <c r="C5020" s="30"/>
      <c r="D5020" s="30"/>
      <c r="E5020" s="30"/>
      <c r="F5020" s="30"/>
    </row>
    <row r="5021" spans="1:8" x14ac:dyDescent="0.3">
      <c r="A5021"/>
      <c r="C5021" s="30"/>
      <c r="D5021" s="30"/>
      <c r="E5021" s="30"/>
      <c r="F5021" s="30"/>
    </row>
    <row r="5022" spans="1:8" x14ac:dyDescent="0.3">
      <c r="A5022"/>
      <c r="C5022" s="30"/>
      <c r="D5022" s="30"/>
      <c r="E5022" s="30"/>
      <c r="F5022" s="30"/>
    </row>
    <row r="5023" spans="1:8" ht="57.6" x14ac:dyDescent="0.3">
      <c r="A5023" s="22" t="s">
        <v>1145</v>
      </c>
      <c r="C5023" s="30"/>
      <c r="D5023" s="30"/>
      <c r="E5023" s="30"/>
      <c r="F5023" s="30"/>
    </row>
    <row r="5024" spans="1:8" x14ac:dyDescent="0.3">
      <c r="A5024" s="22" t="s">
        <v>57</v>
      </c>
      <c r="B5024" t="s">
        <v>66</v>
      </c>
      <c r="C5024" s="30" t="s">
        <v>58</v>
      </c>
      <c r="D5024" s="30" t="s">
        <v>59</v>
      </c>
      <c r="E5024" s="30" t="s">
        <v>60</v>
      </c>
      <c r="F5024" s="30" t="s">
        <v>61</v>
      </c>
      <c r="G5024" t="s">
        <v>62</v>
      </c>
      <c r="H5024" t="s">
        <v>63</v>
      </c>
    </row>
    <row r="5025" spans="1:8" x14ac:dyDescent="0.3">
      <c r="A5025" s="22" t="s">
        <v>64</v>
      </c>
      <c r="B5025" t="s">
        <v>67</v>
      </c>
      <c r="C5025" s="30">
        <v>12.61904761904762</v>
      </c>
      <c r="D5025" s="30">
        <v>10</v>
      </c>
      <c r="E5025" s="30">
        <v>1</v>
      </c>
      <c r="F5025" s="30">
        <v>30</v>
      </c>
      <c r="G5025">
        <v>21</v>
      </c>
      <c r="H5025">
        <v>21</v>
      </c>
    </row>
    <row r="5026" spans="1:8" x14ac:dyDescent="0.3">
      <c r="C5026" s="30"/>
      <c r="D5026" s="30"/>
      <c r="E5026" s="30"/>
      <c r="F5026" s="30"/>
    </row>
    <row r="5027" spans="1:8" ht="57.6" x14ac:dyDescent="0.3">
      <c r="A5027" s="22" t="s">
        <v>1146</v>
      </c>
      <c r="C5027" s="30"/>
      <c r="D5027" s="30"/>
      <c r="E5027" s="30"/>
      <c r="F5027" s="30"/>
    </row>
    <row r="5028" spans="1:8" x14ac:dyDescent="0.3">
      <c r="A5028" s="22" t="s">
        <v>57</v>
      </c>
      <c r="B5028" t="s">
        <v>66</v>
      </c>
      <c r="C5028" s="30" t="s">
        <v>58</v>
      </c>
      <c r="D5028" s="30" t="s">
        <v>59</v>
      </c>
      <c r="E5028" s="30" t="s">
        <v>60</v>
      </c>
      <c r="F5028" s="30" t="s">
        <v>61</v>
      </c>
      <c r="G5028" t="s">
        <v>62</v>
      </c>
      <c r="H5028" t="s">
        <v>63</v>
      </c>
    </row>
    <row r="5029" spans="1:8" x14ac:dyDescent="0.3">
      <c r="A5029" s="22" t="s">
        <v>64</v>
      </c>
      <c r="B5029" t="s">
        <v>67</v>
      </c>
      <c r="C5029" s="30">
        <v>12.61904761904762</v>
      </c>
      <c r="D5029" s="30">
        <v>10</v>
      </c>
      <c r="E5029" s="30">
        <v>1</v>
      </c>
      <c r="F5029" s="30">
        <v>30</v>
      </c>
      <c r="G5029">
        <v>21</v>
      </c>
      <c r="H5029">
        <v>21</v>
      </c>
    </row>
    <row r="5030" spans="1:8" x14ac:dyDescent="0.3">
      <c r="C5030" s="30"/>
      <c r="D5030" s="30"/>
      <c r="E5030" s="30"/>
      <c r="F5030" s="30"/>
    </row>
    <row r="5031" spans="1:8" ht="57.6" x14ac:dyDescent="0.3">
      <c r="A5031" s="22" t="s">
        <v>1147</v>
      </c>
      <c r="C5031" s="30"/>
      <c r="D5031" s="30"/>
      <c r="E5031" s="30"/>
      <c r="F5031" s="30"/>
    </row>
    <row r="5032" spans="1:8" x14ac:dyDescent="0.3">
      <c r="A5032" s="22" t="s">
        <v>57</v>
      </c>
      <c r="B5032" t="s">
        <v>66</v>
      </c>
      <c r="C5032" s="30" t="s">
        <v>58</v>
      </c>
      <c r="D5032" s="30" t="s">
        <v>59</v>
      </c>
      <c r="E5032" s="30" t="s">
        <v>60</v>
      </c>
      <c r="F5032" s="30" t="s">
        <v>61</v>
      </c>
      <c r="G5032" t="s">
        <v>62</v>
      </c>
      <c r="H5032" t="s">
        <v>63</v>
      </c>
    </row>
    <row r="5033" spans="1:8" x14ac:dyDescent="0.3">
      <c r="A5033" s="22" t="s">
        <v>64</v>
      </c>
      <c r="B5033" t="s">
        <v>67</v>
      </c>
      <c r="C5033" s="30">
        <v>12.75</v>
      </c>
      <c r="D5033" s="30">
        <v>10</v>
      </c>
      <c r="E5033" s="30">
        <v>1</v>
      </c>
      <c r="F5033" s="30">
        <v>30</v>
      </c>
      <c r="G5033">
        <v>20</v>
      </c>
      <c r="H5033">
        <v>21</v>
      </c>
    </row>
    <row r="5034" spans="1:8" x14ac:dyDescent="0.3">
      <c r="A5034" s="22" t="s">
        <v>64</v>
      </c>
      <c r="B5034" t="s">
        <v>68</v>
      </c>
      <c r="C5034" s="30">
        <v>10</v>
      </c>
      <c r="D5034" s="30">
        <v>10</v>
      </c>
      <c r="E5034" s="30">
        <v>10</v>
      </c>
      <c r="F5034" s="30">
        <v>10</v>
      </c>
      <c r="G5034">
        <v>1</v>
      </c>
      <c r="H5034">
        <v>21</v>
      </c>
    </row>
    <row r="5035" spans="1:8" x14ac:dyDescent="0.3">
      <c r="C5035" s="30"/>
      <c r="D5035" s="30"/>
      <c r="E5035" s="30"/>
      <c r="F5035" s="30"/>
    </row>
    <row r="5036" spans="1:8" ht="57.6" x14ac:dyDescent="0.3">
      <c r="A5036" s="22" t="s">
        <v>1148</v>
      </c>
      <c r="C5036" s="30"/>
      <c r="D5036" s="30"/>
      <c r="E5036" s="30"/>
      <c r="F5036" s="30"/>
    </row>
    <row r="5037" spans="1:8" x14ac:dyDescent="0.3">
      <c r="A5037" s="22" t="s">
        <v>57</v>
      </c>
      <c r="B5037" t="s">
        <v>66</v>
      </c>
      <c r="C5037" s="30" t="s">
        <v>58</v>
      </c>
      <c r="D5037" s="30" t="s">
        <v>59</v>
      </c>
      <c r="E5037" s="30" t="s">
        <v>60</v>
      </c>
      <c r="F5037" s="30" t="s">
        <v>61</v>
      </c>
      <c r="G5037" t="s">
        <v>62</v>
      </c>
      <c r="H5037" t="s">
        <v>63</v>
      </c>
    </row>
    <row r="5038" spans="1:8" x14ac:dyDescent="0.3">
      <c r="A5038" s="22" t="s">
        <v>64</v>
      </c>
      <c r="B5038" t="s">
        <v>67</v>
      </c>
      <c r="C5038" s="30">
        <v>11.66666666666667</v>
      </c>
      <c r="D5038" s="30">
        <v>15</v>
      </c>
      <c r="E5038" s="30">
        <v>10</v>
      </c>
      <c r="F5038" s="30">
        <v>15</v>
      </c>
      <c r="G5038">
        <v>3</v>
      </c>
      <c r="H5038">
        <v>21</v>
      </c>
    </row>
    <row r="5039" spans="1:8" x14ac:dyDescent="0.3">
      <c r="A5039" s="22" t="s">
        <v>64</v>
      </c>
      <c r="B5039" t="s">
        <v>68</v>
      </c>
      <c r="C5039" s="30">
        <v>12.77777777777778</v>
      </c>
      <c r="D5039" s="30">
        <v>10</v>
      </c>
      <c r="E5039" s="30">
        <v>1</v>
      </c>
      <c r="F5039" s="30">
        <v>30</v>
      </c>
      <c r="G5039">
        <v>18</v>
      </c>
      <c r="H5039">
        <v>21</v>
      </c>
    </row>
    <row r="5040" spans="1:8" x14ac:dyDescent="0.3">
      <c r="C5040" s="30"/>
      <c r="D5040" s="30"/>
      <c r="E5040" s="30"/>
      <c r="F5040" s="30"/>
    </row>
    <row r="5041" spans="1:8" ht="57.6" x14ac:dyDescent="0.3">
      <c r="A5041" s="22" t="s">
        <v>1149</v>
      </c>
      <c r="C5041" s="30"/>
      <c r="D5041" s="30"/>
      <c r="E5041" s="30"/>
      <c r="F5041" s="30"/>
    </row>
    <row r="5042" spans="1:8" x14ac:dyDescent="0.3">
      <c r="A5042" s="22" t="s">
        <v>57</v>
      </c>
      <c r="B5042" t="s">
        <v>66</v>
      </c>
      <c r="C5042" s="30" t="s">
        <v>58</v>
      </c>
      <c r="D5042" s="30" t="s">
        <v>59</v>
      </c>
      <c r="E5042" s="30" t="s">
        <v>60</v>
      </c>
      <c r="F5042" s="30" t="s">
        <v>61</v>
      </c>
      <c r="G5042" t="s">
        <v>62</v>
      </c>
      <c r="H5042" t="s">
        <v>63</v>
      </c>
    </row>
    <row r="5043" spans="1:8" x14ac:dyDescent="0.3">
      <c r="A5043" s="22" t="s">
        <v>64</v>
      </c>
      <c r="B5043" t="s">
        <v>67</v>
      </c>
      <c r="C5043" s="30">
        <v>12.72222222222222</v>
      </c>
      <c r="D5043" s="30">
        <v>10</v>
      </c>
      <c r="E5043" s="30">
        <v>1</v>
      </c>
      <c r="F5043" s="30">
        <v>30</v>
      </c>
      <c r="G5043">
        <v>18</v>
      </c>
      <c r="H5043">
        <v>21</v>
      </c>
    </row>
    <row r="5044" spans="1:8" x14ac:dyDescent="0.3">
      <c r="A5044" s="22" t="s">
        <v>64</v>
      </c>
      <c r="B5044" t="s">
        <v>68</v>
      </c>
      <c r="C5044" s="30">
        <v>12</v>
      </c>
      <c r="D5044" s="30">
        <v>20</v>
      </c>
      <c r="E5044" s="30">
        <v>6</v>
      </c>
      <c r="F5044" s="30">
        <v>20</v>
      </c>
      <c r="G5044">
        <v>3</v>
      </c>
      <c r="H5044">
        <v>21</v>
      </c>
    </row>
    <row r="5045" spans="1:8" x14ac:dyDescent="0.3">
      <c r="C5045" s="30"/>
      <c r="D5045" s="30"/>
      <c r="E5045" s="30"/>
      <c r="F5045" s="30"/>
    </row>
    <row r="5046" spans="1:8" ht="57.6" x14ac:dyDescent="0.3">
      <c r="A5046" s="22" t="s">
        <v>1150</v>
      </c>
      <c r="C5046" s="30"/>
      <c r="D5046" s="30"/>
      <c r="E5046" s="30"/>
      <c r="F5046" s="30"/>
    </row>
    <row r="5047" spans="1:8" x14ac:dyDescent="0.3">
      <c r="A5047" s="22" t="s">
        <v>57</v>
      </c>
      <c r="B5047" t="s">
        <v>66</v>
      </c>
      <c r="C5047" s="30" t="s">
        <v>58</v>
      </c>
      <c r="D5047" s="30" t="s">
        <v>59</v>
      </c>
      <c r="E5047" s="30" t="s">
        <v>60</v>
      </c>
      <c r="F5047" s="30" t="s">
        <v>61</v>
      </c>
      <c r="G5047" t="s">
        <v>62</v>
      </c>
      <c r="H5047" t="s">
        <v>63</v>
      </c>
    </row>
    <row r="5048" spans="1:8" x14ac:dyDescent="0.3">
      <c r="A5048" s="22" t="s">
        <v>64</v>
      </c>
      <c r="B5048" t="s">
        <v>67</v>
      </c>
      <c r="C5048" s="30">
        <v>13.266666666666669</v>
      </c>
      <c r="D5048" s="30">
        <v>10</v>
      </c>
      <c r="E5048" s="30">
        <v>5</v>
      </c>
      <c r="F5048" s="30">
        <v>30</v>
      </c>
      <c r="G5048">
        <v>15</v>
      </c>
      <c r="H5048">
        <v>21</v>
      </c>
    </row>
    <row r="5049" spans="1:8" x14ac:dyDescent="0.3">
      <c r="A5049" s="22" t="s">
        <v>64</v>
      </c>
      <c r="B5049" t="s">
        <v>68</v>
      </c>
      <c r="C5049" s="30">
        <v>11</v>
      </c>
      <c r="D5049" s="30">
        <v>10</v>
      </c>
      <c r="E5049" s="30">
        <v>1</v>
      </c>
      <c r="F5049" s="30">
        <v>20</v>
      </c>
      <c r="G5049">
        <v>6</v>
      </c>
      <c r="H5049">
        <v>21</v>
      </c>
    </row>
    <row r="5050" spans="1:8" x14ac:dyDescent="0.3">
      <c r="C5050" s="30"/>
      <c r="D5050" s="30"/>
      <c r="E5050" s="30"/>
      <c r="F5050" s="30"/>
    </row>
    <row r="5051" spans="1:8" ht="57.6" x14ac:dyDescent="0.3">
      <c r="A5051" s="22" t="s">
        <v>1151</v>
      </c>
      <c r="C5051" s="30"/>
      <c r="D5051" s="30"/>
      <c r="E5051" s="30"/>
      <c r="F5051" s="30"/>
    </row>
    <row r="5052" spans="1:8" x14ac:dyDescent="0.3">
      <c r="A5052" s="22" t="s">
        <v>57</v>
      </c>
      <c r="B5052" t="s">
        <v>66</v>
      </c>
      <c r="C5052" s="30" t="s">
        <v>58</v>
      </c>
      <c r="D5052" s="30" t="s">
        <v>59</v>
      </c>
      <c r="E5052" s="30" t="s">
        <v>60</v>
      </c>
      <c r="F5052" s="30" t="s">
        <v>61</v>
      </c>
      <c r="G5052" t="s">
        <v>62</v>
      </c>
      <c r="H5052" t="s">
        <v>63</v>
      </c>
    </row>
    <row r="5053" spans="1:8" x14ac:dyDescent="0.3">
      <c r="A5053" s="22" t="s">
        <v>64</v>
      </c>
      <c r="B5053" t="s">
        <v>67</v>
      </c>
      <c r="C5053" s="30">
        <v>13.571428571428569</v>
      </c>
      <c r="D5053" s="30">
        <v>10</v>
      </c>
      <c r="E5053" s="30">
        <v>1</v>
      </c>
      <c r="F5053" s="30">
        <v>30</v>
      </c>
      <c r="G5053">
        <v>14</v>
      </c>
      <c r="H5053">
        <v>21</v>
      </c>
    </row>
    <row r="5054" spans="1:8" x14ac:dyDescent="0.3">
      <c r="A5054" s="22" t="s">
        <v>64</v>
      </c>
      <c r="B5054" t="s">
        <v>68</v>
      </c>
      <c r="C5054" s="30">
        <v>10.71428571428571</v>
      </c>
      <c r="D5054" s="30">
        <v>10</v>
      </c>
      <c r="E5054" s="30">
        <v>10</v>
      </c>
      <c r="F5054" s="30">
        <v>15</v>
      </c>
      <c r="G5054">
        <v>7</v>
      </c>
      <c r="H5054">
        <v>21</v>
      </c>
    </row>
    <row r="5055" spans="1:8" x14ac:dyDescent="0.3">
      <c r="C5055" s="30"/>
      <c r="D5055" s="30"/>
      <c r="E5055" s="30"/>
      <c r="F5055" s="30"/>
    </row>
    <row r="5056" spans="1:8" ht="72" x14ac:dyDescent="0.3">
      <c r="A5056" s="22" t="s">
        <v>1152</v>
      </c>
      <c r="C5056" s="30"/>
      <c r="D5056" s="30"/>
      <c r="E5056" s="30"/>
      <c r="F5056" s="30"/>
    </row>
    <row r="5057" spans="1:8" x14ac:dyDescent="0.3">
      <c r="A5057" s="22" t="s">
        <v>57</v>
      </c>
      <c r="B5057" t="s">
        <v>66</v>
      </c>
      <c r="C5057" s="30" t="s">
        <v>58</v>
      </c>
      <c r="D5057" s="30" t="s">
        <v>59</v>
      </c>
      <c r="E5057" s="30" t="s">
        <v>60</v>
      </c>
      <c r="F5057" s="30" t="s">
        <v>61</v>
      </c>
      <c r="G5057" t="s">
        <v>62</v>
      </c>
      <c r="H5057" t="s">
        <v>63</v>
      </c>
    </row>
    <row r="5058" spans="1:8" x14ac:dyDescent="0.3">
      <c r="A5058" s="22" t="s">
        <v>64</v>
      </c>
      <c r="B5058" t="s">
        <v>67</v>
      </c>
      <c r="C5058" s="30">
        <v>13.6875</v>
      </c>
      <c r="D5058" s="30">
        <v>10</v>
      </c>
      <c r="E5058" s="30">
        <v>6</v>
      </c>
      <c r="F5058" s="30">
        <v>30</v>
      </c>
      <c r="G5058">
        <v>16</v>
      </c>
      <c r="H5058">
        <v>21</v>
      </c>
    </row>
    <row r="5059" spans="1:8" x14ac:dyDescent="0.3">
      <c r="A5059" s="22" t="s">
        <v>64</v>
      </c>
      <c r="B5059" t="s">
        <v>68</v>
      </c>
      <c r="C5059" s="30">
        <v>9.1999999999999993</v>
      </c>
      <c r="D5059" s="30">
        <v>15</v>
      </c>
      <c r="E5059" s="30">
        <v>1</v>
      </c>
      <c r="F5059" s="30">
        <v>15</v>
      </c>
      <c r="G5059">
        <v>5</v>
      </c>
      <c r="H5059">
        <v>21</v>
      </c>
    </row>
    <row r="5060" spans="1:8" x14ac:dyDescent="0.3">
      <c r="C5060" s="30"/>
      <c r="D5060" s="30"/>
      <c r="E5060" s="30"/>
      <c r="F5060" s="30"/>
    </row>
    <row r="5061" spans="1:8" ht="72" x14ac:dyDescent="0.3">
      <c r="A5061" s="22" t="s">
        <v>1153</v>
      </c>
      <c r="C5061" s="30"/>
      <c r="D5061" s="30"/>
      <c r="E5061" s="30"/>
      <c r="F5061" s="30"/>
    </row>
    <row r="5062" spans="1:8" x14ac:dyDescent="0.3">
      <c r="A5062" s="22" t="s">
        <v>57</v>
      </c>
      <c r="B5062" t="s">
        <v>66</v>
      </c>
      <c r="C5062" s="30" t="s">
        <v>58</v>
      </c>
      <c r="D5062" s="30" t="s">
        <v>59</v>
      </c>
      <c r="E5062" s="30" t="s">
        <v>60</v>
      </c>
      <c r="F5062" s="30" t="s">
        <v>61</v>
      </c>
      <c r="G5062" t="s">
        <v>62</v>
      </c>
      <c r="H5062" t="s">
        <v>63</v>
      </c>
    </row>
    <row r="5063" spans="1:8" x14ac:dyDescent="0.3">
      <c r="A5063" s="22" t="s">
        <v>64</v>
      </c>
      <c r="B5063" t="s">
        <v>67</v>
      </c>
      <c r="C5063" s="30">
        <v>12.61904761904762</v>
      </c>
      <c r="D5063" s="30">
        <v>10</v>
      </c>
      <c r="E5063" s="30">
        <v>1</v>
      </c>
      <c r="F5063" s="30">
        <v>30</v>
      </c>
      <c r="G5063">
        <v>21</v>
      </c>
      <c r="H5063">
        <v>21</v>
      </c>
    </row>
    <row r="5064" spans="1:8" x14ac:dyDescent="0.3">
      <c r="C5064" s="30"/>
      <c r="D5064" s="30"/>
      <c r="E5064" s="30"/>
      <c r="F5064" s="30"/>
    </row>
    <row r="5065" spans="1:8" ht="57.6" x14ac:dyDescent="0.3">
      <c r="A5065" s="22" t="s">
        <v>1154</v>
      </c>
      <c r="C5065" s="30"/>
      <c r="D5065" s="30"/>
      <c r="E5065" s="30"/>
      <c r="F5065" s="30"/>
    </row>
    <row r="5066" spans="1:8" x14ac:dyDescent="0.3">
      <c r="A5066" s="22" t="s">
        <v>57</v>
      </c>
      <c r="B5066" t="s">
        <v>66</v>
      </c>
      <c r="C5066" s="30" t="s">
        <v>58</v>
      </c>
      <c r="D5066" s="30" t="s">
        <v>59</v>
      </c>
      <c r="E5066" s="30" t="s">
        <v>60</v>
      </c>
      <c r="F5066" s="30" t="s">
        <v>61</v>
      </c>
      <c r="G5066" t="s">
        <v>62</v>
      </c>
      <c r="H5066" t="s">
        <v>63</v>
      </c>
    </row>
    <row r="5067" spans="1:8" x14ac:dyDescent="0.3">
      <c r="A5067" s="22" t="s">
        <v>64</v>
      </c>
      <c r="B5067" t="s">
        <v>67</v>
      </c>
      <c r="C5067" s="30">
        <v>11.8</v>
      </c>
      <c r="D5067" s="30">
        <v>10</v>
      </c>
      <c r="E5067" s="30">
        <v>8</v>
      </c>
      <c r="F5067" s="30">
        <v>20</v>
      </c>
      <c r="G5067">
        <v>10</v>
      </c>
      <c r="H5067">
        <v>21</v>
      </c>
    </row>
    <row r="5068" spans="1:8" x14ac:dyDescent="0.3">
      <c r="A5068" s="22" t="s">
        <v>64</v>
      </c>
      <c r="B5068" t="s">
        <v>68</v>
      </c>
      <c r="C5068" s="30">
        <v>13.36363636363636</v>
      </c>
      <c r="D5068" s="30">
        <v>15</v>
      </c>
      <c r="E5068" s="30">
        <v>1</v>
      </c>
      <c r="F5068" s="30">
        <v>30</v>
      </c>
      <c r="G5068">
        <v>11</v>
      </c>
      <c r="H5068">
        <v>21</v>
      </c>
    </row>
    <row r="5069" spans="1:8" x14ac:dyDescent="0.3">
      <c r="C5069" s="30"/>
      <c r="D5069" s="30"/>
      <c r="E5069" s="30"/>
      <c r="F5069" s="30"/>
    </row>
    <row r="5070" spans="1:8" ht="57.6" x14ac:dyDescent="0.3">
      <c r="A5070" s="22" t="s">
        <v>1155</v>
      </c>
      <c r="C5070" s="30"/>
      <c r="D5070" s="30"/>
      <c r="E5070" s="30"/>
      <c r="F5070" s="30"/>
    </row>
    <row r="5071" spans="1:8" x14ac:dyDescent="0.3">
      <c r="A5071" s="22" t="s">
        <v>57</v>
      </c>
      <c r="B5071" t="s">
        <v>66</v>
      </c>
      <c r="C5071" s="30" t="s">
        <v>58</v>
      </c>
      <c r="D5071" s="30" t="s">
        <v>59</v>
      </c>
      <c r="E5071" s="30" t="s">
        <v>60</v>
      </c>
      <c r="F5071" s="30" t="s">
        <v>61</v>
      </c>
      <c r="G5071" t="s">
        <v>62</v>
      </c>
      <c r="H5071" t="s">
        <v>63</v>
      </c>
    </row>
    <row r="5072" spans="1:8" x14ac:dyDescent="0.3">
      <c r="A5072" s="22" t="s">
        <v>64</v>
      </c>
      <c r="B5072" t="s">
        <v>67</v>
      </c>
      <c r="C5072" s="30">
        <v>13</v>
      </c>
      <c r="D5072" s="30">
        <v>10</v>
      </c>
      <c r="E5072" s="30">
        <v>1</v>
      </c>
      <c r="F5072" s="30">
        <v>30</v>
      </c>
      <c r="G5072">
        <v>18</v>
      </c>
      <c r="H5072">
        <v>21</v>
      </c>
    </row>
    <row r="5073" spans="1:8" x14ac:dyDescent="0.3">
      <c r="A5073" s="22" t="s">
        <v>64</v>
      </c>
      <c r="B5073" t="s">
        <v>68</v>
      </c>
      <c r="C5073" s="30">
        <v>10.33333333333333</v>
      </c>
      <c r="D5073" s="30">
        <v>15</v>
      </c>
      <c r="E5073" s="30">
        <v>6</v>
      </c>
      <c r="F5073" s="30">
        <v>15</v>
      </c>
      <c r="G5073">
        <v>3</v>
      </c>
      <c r="H5073">
        <v>21</v>
      </c>
    </row>
    <row r="5074" spans="1:8" x14ac:dyDescent="0.3">
      <c r="C5074" s="30"/>
      <c r="D5074" s="30"/>
      <c r="E5074" s="30"/>
      <c r="F5074" s="30"/>
    </row>
    <row r="5075" spans="1:8" ht="43.2" x14ac:dyDescent="0.3">
      <c r="A5075" s="27" t="s">
        <v>1156</v>
      </c>
      <c r="C5075" s="30"/>
      <c r="D5075" s="30"/>
      <c r="E5075" s="30"/>
      <c r="F5075" s="30"/>
    </row>
    <row r="5076" spans="1:8" x14ac:dyDescent="0.3">
      <c r="A5076" s="22" t="s">
        <v>57</v>
      </c>
      <c r="B5076" t="s">
        <v>66</v>
      </c>
      <c r="C5076" s="30" t="s">
        <v>58</v>
      </c>
      <c r="D5076" s="30" t="s">
        <v>59</v>
      </c>
      <c r="E5076" s="30" t="s">
        <v>60</v>
      </c>
      <c r="F5076" s="30" t="s">
        <v>61</v>
      </c>
      <c r="G5076" t="s">
        <v>62</v>
      </c>
      <c r="H5076" t="s">
        <v>63</v>
      </c>
    </row>
    <row r="5077" spans="1:8" x14ac:dyDescent="0.3">
      <c r="A5077" s="22" t="s">
        <v>64</v>
      </c>
      <c r="B5077" t="s">
        <v>81</v>
      </c>
      <c r="C5077" s="30">
        <v>12</v>
      </c>
      <c r="D5077" s="30">
        <v>10</v>
      </c>
      <c r="E5077" s="30">
        <v>8</v>
      </c>
      <c r="F5077" s="30">
        <v>20</v>
      </c>
      <c r="G5077">
        <v>4</v>
      </c>
      <c r="H5077">
        <v>21</v>
      </c>
    </row>
    <row r="5078" spans="1:8" x14ac:dyDescent="0.3">
      <c r="A5078" s="22" t="s">
        <v>64</v>
      </c>
      <c r="B5078" t="s">
        <v>82</v>
      </c>
      <c r="C5078" s="30">
        <v>14.375</v>
      </c>
      <c r="D5078" s="30">
        <v>10</v>
      </c>
      <c r="E5078" s="30">
        <v>10</v>
      </c>
      <c r="F5078" s="30">
        <v>20</v>
      </c>
      <c r="G5078">
        <v>8</v>
      </c>
      <c r="H5078">
        <v>21</v>
      </c>
    </row>
    <row r="5079" spans="1:8" x14ac:dyDescent="0.3">
      <c r="A5079" s="22" t="s">
        <v>64</v>
      </c>
      <c r="B5079" t="s">
        <v>83</v>
      </c>
      <c r="C5079" s="30">
        <v>7.75</v>
      </c>
      <c r="D5079" s="30">
        <v>5</v>
      </c>
      <c r="E5079" s="30">
        <v>1</v>
      </c>
      <c r="F5079" s="30">
        <v>15</v>
      </c>
      <c r="G5079">
        <v>4</v>
      </c>
      <c r="H5079">
        <v>21</v>
      </c>
    </row>
    <row r="5080" spans="1:8" x14ac:dyDescent="0.3">
      <c r="A5080" s="22" t="s">
        <v>64</v>
      </c>
      <c r="B5080" t="s">
        <v>84</v>
      </c>
      <c r="C5080" s="30">
        <v>14.2</v>
      </c>
      <c r="D5080" s="30">
        <v>15</v>
      </c>
      <c r="E5080" s="30">
        <v>6</v>
      </c>
      <c r="F5080" s="30">
        <v>30</v>
      </c>
      <c r="G5080">
        <v>5</v>
      </c>
      <c r="H5080">
        <v>21</v>
      </c>
    </row>
    <row r="5082" spans="1:8" ht="28.8" x14ac:dyDescent="0.3">
      <c r="A5082" s="27" t="s">
        <v>1157</v>
      </c>
    </row>
    <row r="5083" spans="1:8" x14ac:dyDescent="0.3">
      <c r="A5083" s="22" t="s">
        <v>57</v>
      </c>
      <c r="B5083" t="s">
        <v>58</v>
      </c>
      <c r="C5083" t="s">
        <v>59</v>
      </c>
      <c r="D5083" t="s">
        <v>60</v>
      </c>
      <c r="E5083" t="s">
        <v>61</v>
      </c>
      <c r="F5083" t="s">
        <v>62</v>
      </c>
      <c r="G5083" t="s">
        <v>63</v>
      </c>
    </row>
    <row r="5084" spans="1:8" x14ac:dyDescent="0.3">
      <c r="A5084" s="22" t="s">
        <v>64</v>
      </c>
      <c r="B5084" s="30">
        <v>9</v>
      </c>
      <c r="C5084" s="30">
        <v>10</v>
      </c>
      <c r="D5084" s="30">
        <v>1</v>
      </c>
      <c r="E5084" s="30">
        <v>20</v>
      </c>
      <c r="F5084">
        <v>21</v>
      </c>
      <c r="G5084">
        <v>21</v>
      </c>
    </row>
    <row r="5086" spans="1:8" ht="57.6" x14ac:dyDescent="0.3">
      <c r="A5086" s="22" t="s">
        <v>1158</v>
      </c>
    </row>
    <row r="5087" spans="1:8" x14ac:dyDescent="0.3">
      <c r="A5087" s="22" t="s">
        <v>57</v>
      </c>
      <c r="B5087" t="s">
        <v>66</v>
      </c>
      <c r="C5087" t="s">
        <v>58</v>
      </c>
      <c r="D5087" t="s">
        <v>59</v>
      </c>
      <c r="E5087" t="s">
        <v>60</v>
      </c>
      <c r="F5087" t="s">
        <v>61</v>
      </c>
      <c r="G5087" t="s">
        <v>62</v>
      </c>
      <c r="H5087" t="s">
        <v>63</v>
      </c>
    </row>
    <row r="5088" spans="1:8" x14ac:dyDescent="0.3">
      <c r="A5088" s="22" t="s">
        <v>64</v>
      </c>
      <c r="B5088" t="s">
        <v>67</v>
      </c>
      <c r="C5088" s="30">
        <v>8.9499999999999993</v>
      </c>
      <c r="D5088" s="30">
        <v>10</v>
      </c>
      <c r="E5088" s="30">
        <v>1</v>
      </c>
      <c r="F5088" s="30">
        <v>20</v>
      </c>
      <c r="G5088">
        <v>20</v>
      </c>
      <c r="H5088">
        <v>21</v>
      </c>
    </row>
    <row r="5089" spans="1:8" x14ac:dyDescent="0.3">
      <c r="A5089" s="22" t="s">
        <v>64</v>
      </c>
      <c r="B5089" t="s">
        <v>68</v>
      </c>
      <c r="C5089" s="30">
        <v>10</v>
      </c>
      <c r="D5089" s="30">
        <v>10</v>
      </c>
      <c r="E5089" s="30">
        <v>10</v>
      </c>
      <c r="F5089" s="30">
        <v>10</v>
      </c>
      <c r="G5089">
        <v>1</v>
      </c>
      <c r="H5089">
        <v>21</v>
      </c>
    </row>
    <row r="5090" spans="1:8" x14ac:dyDescent="0.3">
      <c r="C5090" s="30"/>
      <c r="D5090" s="30"/>
      <c r="E5090" s="30"/>
      <c r="F5090" s="30"/>
    </row>
    <row r="5091" spans="1:8" x14ac:dyDescent="0.3">
      <c r="A5091"/>
      <c r="C5091" s="30"/>
      <c r="D5091" s="30"/>
      <c r="E5091" s="30"/>
      <c r="F5091" s="30"/>
    </row>
    <row r="5092" spans="1:8" x14ac:dyDescent="0.3">
      <c r="A5092"/>
      <c r="C5092" s="30"/>
      <c r="D5092" s="30"/>
      <c r="E5092" s="30"/>
      <c r="F5092" s="30"/>
    </row>
    <row r="5093" spans="1:8" x14ac:dyDescent="0.3">
      <c r="A5093"/>
      <c r="C5093" s="30"/>
      <c r="D5093" s="30"/>
      <c r="E5093" s="30"/>
      <c r="F5093" s="30"/>
    </row>
    <row r="5094" spans="1:8" x14ac:dyDescent="0.3">
      <c r="C5094" s="30"/>
      <c r="D5094" s="30"/>
      <c r="E5094" s="30"/>
      <c r="F5094" s="30"/>
    </row>
    <row r="5095" spans="1:8" ht="57.6" x14ac:dyDescent="0.3">
      <c r="A5095" s="22" t="s">
        <v>1159</v>
      </c>
      <c r="C5095" s="30"/>
      <c r="D5095" s="30"/>
      <c r="E5095" s="30"/>
      <c r="F5095" s="30"/>
    </row>
    <row r="5096" spans="1:8" x14ac:dyDescent="0.3">
      <c r="A5096" s="22" t="s">
        <v>57</v>
      </c>
      <c r="B5096" t="s">
        <v>66</v>
      </c>
      <c r="C5096" s="30" t="s">
        <v>58</v>
      </c>
      <c r="D5096" s="30" t="s">
        <v>59</v>
      </c>
      <c r="E5096" s="30" t="s">
        <v>60</v>
      </c>
      <c r="F5096" s="30" t="s">
        <v>61</v>
      </c>
      <c r="G5096" t="s">
        <v>62</v>
      </c>
      <c r="H5096" t="s">
        <v>63</v>
      </c>
    </row>
    <row r="5097" spans="1:8" x14ac:dyDescent="0.3">
      <c r="A5097" s="22" t="s">
        <v>64</v>
      </c>
      <c r="B5097" t="s">
        <v>67</v>
      </c>
      <c r="C5097" s="30">
        <v>9</v>
      </c>
      <c r="D5097" s="30">
        <v>10</v>
      </c>
      <c r="E5097" s="30">
        <v>1</v>
      </c>
      <c r="F5097" s="30">
        <v>20</v>
      </c>
      <c r="G5097">
        <v>21</v>
      </c>
      <c r="H5097">
        <v>21</v>
      </c>
    </row>
    <row r="5098" spans="1:8" x14ac:dyDescent="0.3">
      <c r="C5098" s="30"/>
      <c r="D5098" s="30"/>
      <c r="E5098" s="30"/>
      <c r="F5098" s="30"/>
    </row>
    <row r="5099" spans="1:8" ht="57.6" x14ac:dyDescent="0.3">
      <c r="A5099" s="22" t="s">
        <v>1160</v>
      </c>
      <c r="C5099" s="30"/>
      <c r="D5099" s="30"/>
      <c r="E5099" s="30"/>
      <c r="F5099" s="30"/>
    </row>
    <row r="5100" spans="1:8" x14ac:dyDescent="0.3">
      <c r="A5100" s="22" t="s">
        <v>57</v>
      </c>
      <c r="B5100" t="s">
        <v>66</v>
      </c>
      <c r="C5100" s="30" t="s">
        <v>58</v>
      </c>
      <c r="D5100" s="30" t="s">
        <v>59</v>
      </c>
      <c r="E5100" s="30" t="s">
        <v>60</v>
      </c>
      <c r="F5100" s="30" t="s">
        <v>61</v>
      </c>
      <c r="G5100" t="s">
        <v>62</v>
      </c>
      <c r="H5100" t="s">
        <v>63</v>
      </c>
    </row>
    <row r="5101" spans="1:8" x14ac:dyDescent="0.3">
      <c r="A5101" s="22" t="s">
        <v>64</v>
      </c>
      <c r="B5101" t="s">
        <v>67</v>
      </c>
      <c r="C5101" s="30">
        <v>9</v>
      </c>
      <c r="D5101" s="30">
        <v>10</v>
      </c>
      <c r="E5101" s="30">
        <v>1</v>
      </c>
      <c r="F5101" s="30">
        <v>20</v>
      </c>
      <c r="G5101">
        <v>21</v>
      </c>
      <c r="H5101">
        <v>21</v>
      </c>
    </row>
    <row r="5102" spans="1:8" x14ac:dyDescent="0.3">
      <c r="C5102" s="30"/>
      <c r="D5102" s="30"/>
      <c r="E5102" s="30"/>
      <c r="F5102" s="30"/>
    </row>
    <row r="5103" spans="1:8" ht="57.6" x14ac:dyDescent="0.3">
      <c r="A5103" s="22" t="s">
        <v>1161</v>
      </c>
      <c r="C5103" s="30"/>
      <c r="D5103" s="30"/>
      <c r="E5103" s="30"/>
      <c r="F5103" s="30"/>
    </row>
    <row r="5104" spans="1:8" x14ac:dyDescent="0.3">
      <c r="A5104" s="22" t="s">
        <v>57</v>
      </c>
      <c r="B5104" t="s">
        <v>66</v>
      </c>
      <c r="C5104" s="30" t="s">
        <v>58</v>
      </c>
      <c r="D5104" s="30" t="s">
        <v>59</v>
      </c>
      <c r="E5104" s="30" t="s">
        <v>60</v>
      </c>
      <c r="F5104" s="30" t="s">
        <v>61</v>
      </c>
      <c r="G5104" t="s">
        <v>62</v>
      </c>
      <c r="H5104" t="s">
        <v>63</v>
      </c>
    </row>
    <row r="5105" spans="1:8" x14ac:dyDescent="0.3">
      <c r="A5105" s="22" t="s">
        <v>64</v>
      </c>
      <c r="B5105" t="s">
        <v>67</v>
      </c>
      <c r="C5105" s="30">
        <v>9.35</v>
      </c>
      <c r="D5105" s="30">
        <v>10</v>
      </c>
      <c r="E5105" s="30">
        <v>1</v>
      </c>
      <c r="F5105" s="30">
        <v>20</v>
      </c>
      <c r="G5105">
        <v>20</v>
      </c>
      <c r="H5105">
        <v>21</v>
      </c>
    </row>
    <row r="5106" spans="1:8" x14ac:dyDescent="0.3">
      <c r="A5106" s="22" t="s">
        <v>64</v>
      </c>
      <c r="B5106" t="s">
        <v>68</v>
      </c>
      <c r="C5106" s="30">
        <v>2</v>
      </c>
      <c r="D5106" s="30">
        <v>2</v>
      </c>
      <c r="E5106" s="30">
        <v>2</v>
      </c>
      <c r="F5106" s="30">
        <v>2</v>
      </c>
      <c r="G5106">
        <v>1</v>
      </c>
      <c r="H5106">
        <v>21</v>
      </c>
    </row>
    <row r="5107" spans="1:8" x14ac:dyDescent="0.3">
      <c r="C5107" s="30"/>
      <c r="D5107" s="30"/>
      <c r="E5107" s="30"/>
      <c r="F5107" s="30"/>
    </row>
    <row r="5108" spans="1:8" ht="57.6" x14ac:dyDescent="0.3">
      <c r="A5108" s="22" t="s">
        <v>1162</v>
      </c>
      <c r="C5108" s="30"/>
      <c r="D5108" s="30"/>
      <c r="E5108" s="30"/>
      <c r="F5108" s="30"/>
    </row>
    <row r="5109" spans="1:8" x14ac:dyDescent="0.3">
      <c r="A5109" s="22" t="s">
        <v>57</v>
      </c>
      <c r="B5109" t="s">
        <v>66</v>
      </c>
      <c r="C5109" s="30" t="s">
        <v>58</v>
      </c>
      <c r="D5109" s="30" t="s">
        <v>59</v>
      </c>
      <c r="E5109" s="30" t="s">
        <v>60</v>
      </c>
      <c r="F5109" s="30" t="s">
        <v>61</v>
      </c>
      <c r="G5109" t="s">
        <v>62</v>
      </c>
      <c r="H5109" t="s">
        <v>63</v>
      </c>
    </row>
    <row r="5110" spans="1:8" x14ac:dyDescent="0.3">
      <c r="A5110" s="22" t="s">
        <v>64</v>
      </c>
      <c r="B5110" t="s">
        <v>67</v>
      </c>
      <c r="C5110" s="30">
        <v>5</v>
      </c>
      <c r="D5110" s="30">
        <v>5</v>
      </c>
      <c r="E5110" s="30">
        <v>5</v>
      </c>
      <c r="F5110" s="30">
        <v>5</v>
      </c>
      <c r="G5110">
        <v>1</v>
      </c>
      <c r="H5110">
        <v>21</v>
      </c>
    </row>
    <row r="5111" spans="1:8" x14ac:dyDescent="0.3">
      <c r="A5111" s="22" t="s">
        <v>64</v>
      </c>
      <c r="B5111" t="s">
        <v>68</v>
      </c>
      <c r="C5111" s="30">
        <v>9.1999999999999993</v>
      </c>
      <c r="D5111" s="30">
        <v>10</v>
      </c>
      <c r="E5111" s="30">
        <v>1</v>
      </c>
      <c r="F5111" s="30">
        <v>20</v>
      </c>
      <c r="G5111">
        <v>20</v>
      </c>
      <c r="H5111">
        <v>21</v>
      </c>
    </row>
    <row r="5112" spans="1:8" x14ac:dyDescent="0.3">
      <c r="C5112" s="30"/>
      <c r="D5112" s="30"/>
      <c r="E5112" s="30"/>
      <c r="F5112" s="30"/>
    </row>
    <row r="5113" spans="1:8" ht="57.6" x14ac:dyDescent="0.3">
      <c r="A5113" s="22" t="s">
        <v>1163</v>
      </c>
      <c r="C5113" s="30"/>
      <c r="D5113" s="30"/>
      <c r="E5113" s="30"/>
      <c r="F5113" s="30"/>
    </row>
    <row r="5114" spans="1:8" x14ac:dyDescent="0.3">
      <c r="A5114" s="22" t="s">
        <v>57</v>
      </c>
      <c r="B5114" t="s">
        <v>66</v>
      </c>
      <c r="C5114" s="30" t="s">
        <v>58</v>
      </c>
      <c r="D5114" s="30" t="s">
        <v>59</v>
      </c>
      <c r="E5114" s="30" t="s">
        <v>60</v>
      </c>
      <c r="F5114" s="30" t="s">
        <v>61</v>
      </c>
      <c r="G5114" t="s">
        <v>62</v>
      </c>
      <c r="H5114" t="s">
        <v>63</v>
      </c>
    </row>
    <row r="5115" spans="1:8" x14ac:dyDescent="0.3">
      <c r="A5115" s="22" t="s">
        <v>64</v>
      </c>
      <c r="B5115" t="s">
        <v>67</v>
      </c>
      <c r="C5115" s="30">
        <v>8.9499999999999993</v>
      </c>
      <c r="D5115" s="30">
        <v>10</v>
      </c>
      <c r="E5115" s="30">
        <v>1</v>
      </c>
      <c r="F5115" s="30">
        <v>20</v>
      </c>
      <c r="G5115">
        <v>20</v>
      </c>
      <c r="H5115">
        <v>21</v>
      </c>
    </row>
    <row r="5116" spans="1:8" x14ac:dyDescent="0.3">
      <c r="A5116" s="22" t="s">
        <v>64</v>
      </c>
      <c r="B5116" t="s">
        <v>68</v>
      </c>
      <c r="C5116" s="30">
        <v>10</v>
      </c>
      <c r="D5116" s="30">
        <v>10</v>
      </c>
      <c r="E5116" s="30">
        <v>10</v>
      </c>
      <c r="F5116" s="30">
        <v>10</v>
      </c>
      <c r="G5116">
        <v>1</v>
      </c>
      <c r="H5116">
        <v>21</v>
      </c>
    </row>
    <row r="5117" spans="1:8" x14ac:dyDescent="0.3">
      <c r="C5117" s="30"/>
      <c r="D5117" s="30"/>
      <c r="E5117" s="30"/>
      <c r="F5117" s="30"/>
    </row>
    <row r="5118" spans="1:8" ht="57.6" x14ac:dyDescent="0.3">
      <c r="A5118" s="22" t="s">
        <v>1164</v>
      </c>
      <c r="C5118" s="30"/>
      <c r="D5118" s="30"/>
      <c r="E5118" s="30"/>
      <c r="F5118" s="30"/>
    </row>
    <row r="5119" spans="1:8" x14ac:dyDescent="0.3">
      <c r="A5119" s="22" t="s">
        <v>57</v>
      </c>
      <c r="B5119" t="s">
        <v>66</v>
      </c>
      <c r="C5119" s="30" t="s">
        <v>58</v>
      </c>
      <c r="D5119" s="30" t="s">
        <v>59</v>
      </c>
      <c r="E5119" s="30" t="s">
        <v>60</v>
      </c>
      <c r="F5119" s="30" t="s">
        <v>61</v>
      </c>
      <c r="G5119" t="s">
        <v>62</v>
      </c>
      <c r="H5119" t="s">
        <v>63</v>
      </c>
    </row>
    <row r="5120" spans="1:8" x14ac:dyDescent="0.3">
      <c r="A5120" s="22" t="s">
        <v>64</v>
      </c>
      <c r="B5120" t="s">
        <v>67</v>
      </c>
      <c r="C5120" s="30">
        <v>8.8666666666666671</v>
      </c>
      <c r="D5120" s="30">
        <v>10</v>
      </c>
      <c r="E5120" s="30">
        <v>2</v>
      </c>
      <c r="F5120" s="30">
        <v>15</v>
      </c>
      <c r="G5120">
        <v>15</v>
      </c>
      <c r="H5120">
        <v>21</v>
      </c>
    </row>
    <row r="5121" spans="1:8" x14ac:dyDescent="0.3">
      <c r="A5121" s="22" t="s">
        <v>64</v>
      </c>
      <c r="B5121" t="s">
        <v>68</v>
      </c>
      <c r="C5121" s="30">
        <v>9.3333333333333339</v>
      </c>
      <c r="D5121" s="30">
        <v>10</v>
      </c>
      <c r="E5121" s="30">
        <v>1</v>
      </c>
      <c r="F5121" s="30">
        <v>20</v>
      </c>
      <c r="G5121">
        <v>6</v>
      </c>
      <c r="H5121">
        <v>21</v>
      </c>
    </row>
    <row r="5122" spans="1:8" x14ac:dyDescent="0.3">
      <c r="C5122" s="30"/>
      <c r="D5122" s="30"/>
      <c r="E5122" s="30"/>
      <c r="F5122" s="30"/>
    </row>
    <row r="5123" spans="1:8" ht="57.6" x14ac:dyDescent="0.3">
      <c r="A5123" s="22" t="s">
        <v>1165</v>
      </c>
      <c r="C5123" s="30"/>
      <c r="D5123" s="30"/>
      <c r="E5123" s="30"/>
      <c r="F5123" s="30"/>
    </row>
    <row r="5124" spans="1:8" x14ac:dyDescent="0.3">
      <c r="A5124" s="22" t="s">
        <v>57</v>
      </c>
      <c r="B5124" t="s">
        <v>66</v>
      </c>
      <c r="C5124" s="30" t="s">
        <v>58</v>
      </c>
      <c r="D5124" s="30" t="s">
        <v>59</v>
      </c>
      <c r="E5124" s="30" t="s">
        <v>60</v>
      </c>
      <c r="F5124" s="30" t="s">
        <v>61</v>
      </c>
      <c r="G5124" t="s">
        <v>62</v>
      </c>
      <c r="H5124" t="s">
        <v>63</v>
      </c>
    </row>
    <row r="5125" spans="1:8" x14ac:dyDescent="0.3">
      <c r="A5125" s="22" t="s">
        <v>64</v>
      </c>
      <c r="B5125" t="s">
        <v>67</v>
      </c>
      <c r="C5125" s="30">
        <v>8.5</v>
      </c>
      <c r="D5125" s="30">
        <v>10</v>
      </c>
      <c r="E5125" s="30">
        <v>1</v>
      </c>
      <c r="F5125" s="30">
        <v>15</v>
      </c>
      <c r="G5125">
        <v>14</v>
      </c>
      <c r="H5125">
        <v>21</v>
      </c>
    </row>
    <row r="5126" spans="1:8" x14ac:dyDescent="0.3">
      <c r="A5126" s="22" t="s">
        <v>64</v>
      </c>
      <c r="B5126" t="s">
        <v>68</v>
      </c>
      <c r="C5126" s="30">
        <v>10</v>
      </c>
      <c r="D5126" s="30">
        <v>10</v>
      </c>
      <c r="E5126" s="30">
        <v>5</v>
      </c>
      <c r="F5126" s="30">
        <v>20</v>
      </c>
      <c r="G5126">
        <v>7</v>
      </c>
      <c r="H5126">
        <v>21</v>
      </c>
    </row>
    <row r="5127" spans="1:8" x14ac:dyDescent="0.3">
      <c r="C5127" s="30"/>
      <c r="D5127" s="30"/>
      <c r="E5127" s="30"/>
      <c r="F5127" s="30"/>
    </row>
    <row r="5128" spans="1:8" ht="72" x14ac:dyDescent="0.3">
      <c r="A5128" s="22" t="s">
        <v>1166</v>
      </c>
      <c r="C5128" s="30"/>
      <c r="D5128" s="30"/>
      <c r="E5128" s="30"/>
      <c r="F5128" s="30"/>
    </row>
    <row r="5129" spans="1:8" x14ac:dyDescent="0.3">
      <c r="A5129" s="22" t="s">
        <v>57</v>
      </c>
      <c r="B5129" t="s">
        <v>66</v>
      </c>
      <c r="C5129" s="30" t="s">
        <v>58</v>
      </c>
      <c r="D5129" s="30" t="s">
        <v>59</v>
      </c>
      <c r="E5129" s="30" t="s">
        <v>60</v>
      </c>
      <c r="F5129" s="30" t="s">
        <v>61</v>
      </c>
      <c r="G5129" t="s">
        <v>62</v>
      </c>
      <c r="H5129" t="s">
        <v>63</v>
      </c>
    </row>
    <row r="5130" spans="1:8" x14ac:dyDescent="0.3">
      <c r="A5130" s="22" t="s">
        <v>64</v>
      </c>
      <c r="B5130" t="s">
        <v>67</v>
      </c>
      <c r="C5130" s="30">
        <v>9.764705882352942</v>
      </c>
      <c r="D5130" s="30">
        <v>10</v>
      </c>
      <c r="E5130" s="30">
        <v>3</v>
      </c>
      <c r="F5130" s="30">
        <v>20</v>
      </c>
      <c r="G5130">
        <v>17</v>
      </c>
      <c r="H5130">
        <v>21</v>
      </c>
    </row>
    <row r="5131" spans="1:8" x14ac:dyDescent="0.3">
      <c r="A5131" s="22" t="s">
        <v>64</v>
      </c>
      <c r="B5131" t="s">
        <v>68</v>
      </c>
      <c r="C5131" s="30">
        <v>5.75</v>
      </c>
      <c r="D5131" s="30">
        <v>2</v>
      </c>
      <c r="E5131" s="30">
        <v>1</v>
      </c>
      <c r="F5131" s="30">
        <v>15</v>
      </c>
      <c r="G5131">
        <v>4</v>
      </c>
      <c r="H5131">
        <v>21</v>
      </c>
    </row>
    <row r="5132" spans="1:8" x14ac:dyDescent="0.3">
      <c r="C5132" s="30"/>
      <c r="D5132" s="30"/>
      <c r="E5132" s="30"/>
      <c r="F5132" s="30"/>
    </row>
    <row r="5133" spans="1:8" ht="72" x14ac:dyDescent="0.3">
      <c r="A5133" s="22" t="s">
        <v>1167</v>
      </c>
      <c r="C5133" s="30"/>
      <c r="D5133" s="30"/>
      <c r="E5133" s="30"/>
      <c r="F5133" s="30"/>
    </row>
    <row r="5134" spans="1:8" x14ac:dyDescent="0.3">
      <c r="A5134" s="22" t="s">
        <v>57</v>
      </c>
      <c r="B5134" t="s">
        <v>66</v>
      </c>
      <c r="C5134" s="30" t="s">
        <v>58</v>
      </c>
      <c r="D5134" s="30" t="s">
        <v>59</v>
      </c>
      <c r="E5134" s="30" t="s">
        <v>60</v>
      </c>
      <c r="F5134" s="30" t="s">
        <v>61</v>
      </c>
      <c r="G5134" t="s">
        <v>62</v>
      </c>
      <c r="H5134" t="s">
        <v>63</v>
      </c>
    </row>
    <row r="5135" spans="1:8" x14ac:dyDescent="0.3">
      <c r="A5135" s="22" t="s">
        <v>64</v>
      </c>
      <c r="B5135" t="s">
        <v>67</v>
      </c>
      <c r="C5135" s="30">
        <v>9</v>
      </c>
      <c r="D5135" s="30">
        <v>10</v>
      </c>
      <c r="E5135" s="30">
        <v>1</v>
      </c>
      <c r="F5135" s="30">
        <v>20</v>
      </c>
      <c r="G5135">
        <v>21</v>
      </c>
      <c r="H5135">
        <v>21</v>
      </c>
    </row>
    <row r="5136" spans="1:8" x14ac:dyDescent="0.3">
      <c r="C5136" s="30"/>
      <c r="D5136" s="30"/>
      <c r="E5136" s="30"/>
      <c r="F5136" s="30"/>
    </row>
    <row r="5137" spans="1:8" ht="57.6" x14ac:dyDescent="0.3">
      <c r="A5137" s="22" t="s">
        <v>1168</v>
      </c>
      <c r="C5137" s="30"/>
      <c r="D5137" s="30"/>
      <c r="E5137" s="30"/>
      <c r="F5137" s="30"/>
    </row>
    <row r="5138" spans="1:8" x14ac:dyDescent="0.3">
      <c r="A5138" s="22" t="s">
        <v>57</v>
      </c>
      <c r="B5138" t="s">
        <v>66</v>
      </c>
      <c r="C5138" s="30" t="s">
        <v>58</v>
      </c>
      <c r="D5138" s="30" t="s">
        <v>59</v>
      </c>
      <c r="E5138" s="30" t="s">
        <v>60</v>
      </c>
      <c r="F5138" s="30" t="s">
        <v>61</v>
      </c>
      <c r="G5138" t="s">
        <v>62</v>
      </c>
      <c r="H5138" t="s">
        <v>63</v>
      </c>
    </row>
    <row r="5139" spans="1:8" x14ac:dyDescent="0.3">
      <c r="A5139" s="22" t="s">
        <v>64</v>
      </c>
      <c r="B5139" t="s">
        <v>67</v>
      </c>
      <c r="C5139" s="30">
        <v>10.071428571428569</v>
      </c>
      <c r="D5139" s="30">
        <v>10</v>
      </c>
      <c r="E5139" s="30">
        <v>3</v>
      </c>
      <c r="F5139" s="30">
        <v>20</v>
      </c>
      <c r="G5139">
        <v>14</v>
      </c>
      <c r="H5139">
        <v>21</v>
      </c>
    </row>
    <row r="5140" spans="1:8" x14ac:dyDescent="0.3">
      <c r="A5140" s="22" t="s">
        <v>64</v>
      </c>
      <c r="B5140" t="s">
        <v>68</v>
      </c>
      <c r="C5140" s="30">
        <v>6.8571428571428568</v>
      </c>
      <c r="D5140" s="30">
        <v>10</v>
      </c>
      <c r="E5140" s="30">
        <v>1</v>
      </c>
      <c r="F5140" s="30">
        <v>15</v>
      </c>
      <c r="G5140">
        <v>7</v>
      </c>
      <c r="H5140">
        <v>21</v>
      </c>
    </row>
    <row r="5141" spans="1:8" x14ac:dyDescent="0.3">
      <c r="C5141" s="30"/>
      <c r="D5141" s="30"/>
      <c r="E5141" s="30"/>
      <c r="F5141" s="30"/>
    </row>
    <row r="5142" spans="1:8" ht="57.6" x14ac:dyDescent="0.3">
      <c r="A5142" s="22" t="s">
        <v>1169</v>
      </c>
      <c r="C5142" s="30"/>
      <c r="D5142" s="30"/>
      <c r="E5142" s="30"/>
      <c r="F5142" s="30"/>
    </row>
    <row r="5143" spans="1:8" x14ac:dyDescent="0.3">
      <c r="A5143" s="22" t="s">
        <v>57</v>
      </c>
      <c r="B5143" t="s">
        <v>66</v>
      </c>
      <c r="C5143" s="30" t="s">
        <v>58</v>
      </c>
      <c r="D5143" s="30" t="s">
        <v>59</v>
      </c>
      <c r="E5143" s="30" t="s">
        <v>60</v>
      </c>
      <c r="F5143" s="30" t="s">
        <v>61</v>
      </c>
      <c r="G5143" t="s">
        <v>62</v>
      </c>
      <c r="H5143" t="s">
        <v>63</v>
      </c>
    </row>
    <row r="5144" spans="1:8" x14ac:dyDescent="0.3">
      <c r="A5144" s="22" t="s">
        <v>64</v>
      </c>
      <c r="B5144" t="s">
        <v>67</v>
      </c>
      <c r="C5144" s="30">
        <v>8.6315789473684212</v>
      </c>
      <c r="D5144" s="30">
        <v>10</v>
      </c>
      <c r="E5144" s="30">
        <v>1</v>
      </c>
      <c r="F5144" s="30">
        <v>20</v>
      </c>
      <c r="G5144">
        <v>19</v>
      </c>
      <c r="H5144">
        <v>21</v>
      </c>
    </row>
    <row r="5145" spans="1:8" x14ac:dyDescent="0.3">
      <c r="A5145" s="22" t="s">
        <v>64</v>
      </c>
      <c r="B5145" t="s">
        <v>68</v>
      </c>
      <c r="C5145" s="30">
        <v>12.5</v>
      </c>
      <c r="D5145" s="30">
        <v>10</v>
      </c>
      <c r="E5145" s="30">
        <v>10</v>
      </c>
      <c r="F5145" s="30">
        <v>15</v>
      </c>
      <c r="G5145">
        <v>2</v>
      </c>
      <c r="H5145">
        <v>21</v>
      </c>
    </row>
    <row r="5146" spans="1:8" x14ac:dyDescent="0.3">
      <c r="C5146" s="30"/>
      <c r="D5146" s="30"/>
      <c r="E5146" s="30"/>
      <c r="F5146" s="30"/>
    </row>
    <row r="5147" spans="1:8" ht="43.2" x14ac:dyDescent="0.3">
      <c r="A5147" s="27" t="s">
        <v>1170</v>
      </c>
      <c r="C5147" s="30"/>
      <c r="D5147" s="30"/>
      <c r="E5147" s="30"/>
      <c r="F5147" s="30"/>
    </row>
    <row r="5148" spans="1:8" x14ac:dyDescent="0.3">
      <c r="A5148" s="22" t="s">
        <v>57</v>
      </c>
      <c r="B5148" t="s">
        <v>66</v>
      </c>
      <c r="C5148" s="30" t="s">
        <v>58</v>
      </c>
      <c r="D5148" s="30" t="s">
        <v>59</v>
      </c>
      <c r="E5148" s="30" t="s">
        <v>60</v>
      </c>
      <c r="F5148" s="30" t="s">
        <v>61</v>
      </c>
      <c r="G5148" t="s">
        <v>62</v>
      </c>
      <c r="H5148" t="s">
        <v>63</v>
      </c>
    </row>
    <row r="5149" spans="1:8" x14ac:dyDescent="0.3">
      <c r="A5149" s="22" t="s">
        <v>64</v>
      </c>
      <c r="B5149" t="s">
        <v>81</v>
      </c>
      <c r="C5149" s="30">
        <v>10.428571428571431</v>
      </c>
      <c r="D5149" s="30">
        <v>10</v>
      </c>
      <c r="E5149" s="30">
        <v>5</v>
      </c>
      <c r="F5149" s="30">
        <v>20</v>
      </c>
      <c r="G5149">
        <v>7</v>
      </c>
      <c r="H5149">
        <v>21</v>
      </c>
    </row>
    <row r="5150" spans="1:8" x14ac:dyDescent="0.3">
      <c r="A5150" s="22" t="s">
        <v>64</v>
      </c>
      <c r="B5150" t="s">
        <v>82</v>
      </c>
      <c r="C5150" s="30">
        <v>10</v>
      </c>
      <c r="D5150" s="30">
        <v>10</v>
      </c>
      <c r="E5150" s="30">
        <v>10</v>
      </c>
      <c r="F5150" s="30">
        <v>10</v>
      </c>
      <c r="G5150">
        <v>6</v>
      </c>
      <c r="H5150">
        <v>21</v>
      </c>
    </row>
    <row r="5151" spans="1:8" x14ac:dyDescent="0.3">
      <c r="A5151" s="22" t="s">
        <v>64</v>
      </c>
      <c r="B5151" t="s">
        <v>83</v>
      </c>
      <c r="C5151" s="30">
        <v>4.75</v>
      </c>
      <c r="D5151" s="30">
        <v>3</v>
      </c>
      <c r="E5151" s="30">
        <v>1</v>
      </c>
      <c r="F5151" s="30">
        <v>10</v>
      </c>
      <c r="G5151">
        <v>4</v>
      </c>
      <c r="H5151">
        <v>21</v>
      </c>
    </row>
    <row r="5152" spans="1:8" x14ac:dyDescent="0.3">
      <c r="A5152" s="22" t="s">
        <v>64</v>
      </c>
      <c r="B5152" t="s">
        <v>84</v>
      </c>
      <c r="C5152" s="30">
        <v>9.25</v>
      </c>
      <c r="D5152" s="30">
        <v>10</v>
      </c>
      <c r="E5152" s="30">
        <v>2</v>
      </c>
      <c r="F5152" s="30">
        <v>15</v>
      </c>
      <c r="G5152">
        <v>4</v>
      </c>
      <c r="H5152">
        <v>21</v>
      </c>
    </row>
    <row r="5154" spans="1:8" ht="28.8" x14ac:dyDescent="0.3">
      <c r="A5154" s="27" t="s">
        <v>1171</v>
      </c>
    </row>
    <row r="5155" spans="1:8" x14ac:dyDescent="0.3">
      <c r="A5155" s="22" t="s">
        <v>57</v>
      </c>
      <c r="B5155" s="30" t="s">
        <v>58</v>
      </c>
      <c r="C5155" s="30" t="s">
        <v>59</v>
      </c>
      <c r="D5155" s="30" t="s">
        <v>60</v>
      </c>
      <c r="E5155" s="30" t="s">
        <v>61</v>
      </c>
      <c r="F5155" t="s">
        <v>62</v>
      </c>
      <c r="G5155" t="s">
        <v>63</v>
      </c>
    </row>
    <row r="5156" spans="1:8" x14ac:dyDescent="0.3">
      <c r="A5156" s="22" t="s">
        <v>64</v>
      </c>
      <c r="B5156" s="30">
        <v>16</v>
      </c>
      <c r="C5156" s="30">
        <v>10</v>
      </c>
      <c r="D5156" s="30">
        <v>1</v>
      </c>
      <c r="E5156" s="30">
        <v>50</v>
      </c>
      <c r="F5156">
        <v>13</v>
      </c>
      <c r="G5156">
        <v>13</v>
      </c>
    </row>
    <row r="5158" spans="1:8" ht="57.6" x14ac:dyDescent="0.3">
      <c r="A5158" s="22" t="s">
        <v>1172</v>
      </c>
      <c r="C5158" s="30"/>
      <c r="D5158" s="30"/>
      <c r="E5158" s="30"/>
      <c r="F5158" s="30"/>
    </row>
    <row r="5159" spans="1:8" x14ac:dyDescent="0.3">
      <c r="A5159" s="22" t="s">
        <v>57</v>
      </c>
      <c r="B5159" t="s">
        <v>66</v>
      </c>
      <c r="C5159" s="30" t="s">
        <v>58</v>
      </c>
      <c r="D5159" s="30" t="s">
        <v>59</v>
      </c>
      <c r="E5159" s="30" t="s">
        <v>60</v>
      </c>
      <c r="F5159" s="30" t="s">
        <v>61</v>
      </c>
      <c r="G5159" t="s">
        <v>62</v>
      </c>
      <c r="H5159" t="s">
        <v>63</v>
      </c>
    </row>
    <row r="5160" spans="1:8" x14ac:dyDescent="0.3">
      <c r="A5160" s="22" t="s">
        <v>64</v>
      </c>
      <c r="B5160" t="s">
        <v>67</v>
      </c>
      <c r="C5160" s="30">
        <v>16</v>
      </c>
      <c r="D5160" s="30">
        <v>10</v>
      </c>
      <c r="E5160" s="30">
        <v>1</v>
      </c>
      <c r="F5160" s="30">
        <v>50</v>
      </c>
      <c r="G5160">
        <v>13</v>
      </c>
      <c r="H5160">
        <v>13</v>
      </c>
    </row>
    <row r="5161" spans="1:8" x14ac:dyDescent="0.3">
      <c r="C5161" s="30"/>
      <c r="D5161" s="30"/>
      <c r="E5161" s="30"/>
      <c r="F5161" s="30"/>
    </row>
    <row r="5162" spans="1:8" x14ac:dyDescent="0.3">
      <c r="A5162"/>
      <c r="C5162" s="30"/>
      <c r="D5162" s="30"/>
      <c r="E5162" s="30"/>
      <c r="F5162" s="30"/>
    </row>
    <row r="5163" spans="1:8" x14ac:dyDescent="0.3">
      <c r="A5163"/>
      <c r="C5163" s="30"/>
      <c r="D5163" s="30"/>
      <c r="E5163" s="30"/>
      <c r="F5163" s="30"/>
    </row>
    <row r="5164" spans="1:8" x14ac:dyDescent="0.3">
      <c r="A5164"/>
      <c r="C5164" s="30"/>
      <c r="D5164" s="30"/>
      <c r="E5164" s="30"/>
      <c r="F5164" s="30"/>
    </row>
    <row r="5165" spans="1:8" x14ac:dyDescent="0.3">
      <c r="C5165" s="30"/>
      <c r="D5165" s="30"/>
      <c r="E5165" s="30"/>
      <c r="F5165" s="30"/>
    </row>
    <row r="5166" spans="1:8" ht="57.6" x14ac:dyDescent="0.3">
      <c r="A5166" s="22" t="s">
        <v>1173</v>
      </c>
      <c r="C5166" s="30"/>
      <c r="D5166" s="30"/>
      <c r="E5166" s="30"/>
      <c r="F5166" s="30"/>
    </row>
    <row r="5167" spans="1:8" x14ac:dyDescent="0.3">
      <c r="A5167" s="22" t="s">
        <v>57</v>
      </c>
      <c r="B5167" t="s">
        <v>66</v>
      </c>
      <c r="C5167" s="30" t="s">
        <v>58</v>
      </c>
      <c r="D5167" s="30" t="s">
        <v>59</v>
      </c>
      <c r="E5167" s="30" t="s">
        <v>60</v>
      </c>
      <c r="F5167" s="30" t="s">
        <v>61</v>
      </c>
      <c r="G5167" t="s">
        <v>62</v>
      </c>
      <c r="H5167" t="s">
        <v>63</v>
      </c>
    </row>
    <row r="5168" spans="1:8" x14ac:dyDescent="0.3">
      <c r="A5168" s="22" t="s">
        <v>64</v>
      </c>
      <c r="B5168" t="s">
        <v>67</v>
      </c>
      <c r="C5168" s="30">
        <v>16.5</v>
      </c>
      <c r="D5168" s="30">
        <v>6</v>
      </c>
      <c r="E5168" s="30">
        <v>1</v>
      </c>
      <c r="F5168" s="30">
        <v>50</v>
      </c>
      <c r="G5168">
        <v>12</v>
      </c>
      <c r="H5168">
        <v>13</v>
      </c>
    </row>
    <row r="5169" spans="1:8" x14ac:dyDescent="0.3">
      <c r="A5169" s="22" t="s">
        <v>64</v>
      </c>
      <c r="B5169" t="s">
        <v>68</v>
      </c>
      <c r="C5169" s="30">
        <v>10</v>
      </c>
      <c r="D5169" s="30">
        <v>10</v>
      </c>
      <c r="E5169" s="30">
        <v>10</v>
      </c>
      <c r="F5169" s="30">
        <v>10</v>
      </c>
      <c r="G5169">
        <v>1</v>
      </c>
      <c r="H5169">
        <v>13</v>
      </c>
    </row>
    <row r="5170" spans="1:8" x14ac:dyDescent="0.3">
      <c r="C5170" s="30"/>
      <c r="D5170" s="30"/>
      <c r="E5170" s="30"/>
      <c r="F5170" s="30"/>
    </row>
    <row r="5171" spans="1:8" ht="57.6" x14ac:dyDescent="0.3">
      <c r="A5171" s="22" t="s">
        <v>1174</v>
      </c>
      <c r="C5171" s="30"/>
      <c r="D5171" s="30"/>
      <c r="E5171" s="30"/>
      <c r="F5171" s="30"/>
    </row>
    <row r="5172" spans="1:8" x14ac:dyDescent="0.3">
      <c r="A5172" s="22" t="s">
        <v>57</v>
      </c>
      <c r="B5172" t="s">
        <v>66</v>
      </c>
      <c r="C5172" s="30" t="s">
        <v>58</v>
      </c>
      <c r="D5172" s="30" t="s">
        <v>59</v>
      </c>
      <c r="E5172" s="30" t="s">
        <v>60</v>
      </c>
      <c r="F5172" s="30" t="s">
        <v>61</v>
      </c>
      <c r="G5172" t="s">
        <v>62</v>
      </c>
      <c r="H5172" t="s">
        <v>63</v>
      </c>
    </row>
    <row r="5173" spans="1:8" x14ac:dyDescent="0.3">
      <c r="A5173" s="22" t="s">
        <v>64</v>
      </c>
      <c r="B5173" t="s">
        <v>67</v>
      </c>
      <c r="C5173" s="30">
        <v>16</v>
      </c>
      <c r="D5173" s="30">
        <v>10</v>
      </c>
      <c r="E5173" s="30">
        <v>1</v>
      </c>
      <c r="F5173" s="30">
        <v>50</v>
      </c>
      <c r="G5173">
        <v>13</v>
      </c>
      <c r="H5173">
        <v>13</v>
      </c>
    </row>
    <row r="5174" spans="1:8" x14ac:dyDescent="0.3">
      <c r="C5174" s="30"/>
      <c r="D5174" s="30"/>
      <c r="E5174" s="30"/>
      <c r="F5174" s="30"/>
    </row>
    <row r="5175" spans="1:8" ht="57.6" x14ac:dyDescent="0.3">
      <c r="A5175" s="22" t="s">
        <v>1175</v>
      </c>
      <c r="C5175" s="30"/>
      <c r="D5175" s="30"/>
      <c r="E5175" s="30"/>
      <c r="F5175" s="30"/>
    </row>
    <row r="5176" spans="1:8" x14ac:dyDescent="0.3">
      <c r="A5176" s="22" t="s">
        <v>57</v>
      </c>
      <c r="B5176" t="s">
        <v>66</v>
      </c>
      <c r="C5176" s="30" t="s">
        <v>58</v>
      </c>
      <c r="D5176" s="30" t="s">
        <v>59</v>
      </c>
      <c r="E5176" s="30" t="s">
        <v>60</v>
      </c>
      <c r="F5176" s="30" t="s">
        <v>61</v>
      </c>
      <c r="G5176" t="s">
        <v>62</v>
      </c>
      <c r="H5176" t="s">
        <v>63</v>
      </c>
    </row>
    <row r="5177" spans="1:8" x14ac:dyDescent="0.3">
      <c r="A5177" s="22" t="s">
        <v>64</v>
      </c>
      <c r="B5177" t="s">
        <v>67</v>
      </c>
      <c r="C5177" s="30">
        <v>13.6</v>
      </c>
      <c r="D5177" s="30">
        <v>6</v>
      </c>
      <c r="E5177" s="30">
        <v>1</v>
      </c>
      <c r="F5177" s="30">
        <v>50</v>
      </c>
      <c r="G5177">
        <v>10</v>
      </c>
      <c r="H5177">
        <v>13</v>
      </c>
    </row>
    <row r="5178" spans="1:8" x14ac:dyDescent="0.3">
      <c r="A5178" s="22" t="s">
        <v>64</v>
      </c>
      <c r="B5178" t="s">
        <v>68</v>
      </c>
      <c r="C5178" s="30">
        <v>24</v>
      </c>
      <c r="D5178" s="30">
        <v>50</v>
      </c>
      <c r="E5178" s="30">
        <v>2</v>
      </c>
      <c r="F5178" s="30">
        <v>50</v>
      </c>
      <c r="G5178">
        <v>3</v>
      </c>
      <c r="H5178">
        <v>13</v>
      </c>
    </row>
    <row r="5179" spans="1:8" x14ac:dyDescent="0.3">
      <c r="C5179" s="30"/>
      <c r="D5179" s="30"/>
      <c r="E5179" s="30"/>
      <c r="F5179" s="30"/>
    </row>
    <row r="5180" spans="1:8" ht="57.6" x14ac:dyDescent="0.3">
      <c r="A5180" s="22" t="s">
        <v>1176</v>
      </c>
      <c r="C5180" s="30"/>
      <c r="D5180" s="30"/>
      <c r="E5180" s="30"/>
      <c r="F5180" s="30"/>
    </row>
    <row r="5181" spans="1:8" x14ac:dyDescent="0.3">
      <c r="A5181" s="22" t="s">
        <v>57</v>
      </c>
      <c r="B5181" t="s">
        <v>66</v>
      </c>
      <c r="C5181" s="30" t="s">
        <v>58</v>
      </c>
      <c r="D5181" s="30" t="s">
        <v>59</v>
      </c>
      <c r="E5181" s="30" t="s">
        <v>60</v>
      </c>
      <c r="F5181" s="30" t="s">
        <v>61</v>
      </c>
      <c r="G5181" t="s">
        <v>62</v>
      </c>
      <c r="H5181" t="s">
        <v>63</v>
      </c>
    </row>
    <row r="5182" spans="1:8" x14ac:dyDescent="0.3">
      <c r="A5182" s="22" t="s">
        <v>64</v>
      </c>
      <c r="B5182" t="s">
        <v>68</v>
      </c>
      <c r="C5182" s="30">
        <v>16</v>
      </c>
      <c r="D5182" s="30">
        <v>10</v>
      </c>
      <c r="E5182" s="30">
        <v>1</v>
      </c>
      <c r="F5182" s="30">
        <v>50</v>
      </c>
      <c r="G5182">
        <v>13</v>
      </c>
      <c r="H5182">
        <v>13</v>
      </c>
    </row>
    <row r="5183" spans="1:8" x14ac:dyDescent="0.3">
      <c r="C5183" s="30"/>
      <c r="D5183" s="30"/>
      <c r="E5183" s="30"/>
      <c r="F5183" s="30"/>
    </row>
    <row r="5184" spans="1:8" ht="57.6" x14ac:dyDescent="0.3">
      <c r="A5184" s="22" t="s">
        <v>1177</v>
      </c>
      <c r="C5184" s="30"/>
      <c r="D5184" s="30"/>
      <c r="E5184" s="30"/>
      <c r="F5184" s="30"/>
    </row>
    <row r="5185" spans="1:8" x14ac:dyDescent="0.3">
      <c r="A5185" s="22" t="s">
        <v>57</v>
      </c>
      <c r="B5185" t="s">
        <v>66</v>
      </c>
      <c r="C5185" s="30" t="s">
        <v>58</v>
      </c>
      <c r="D5185" s="30" t="s">
        <v>59</v>
      </c>
      <c r="E5185" s="30" t="s">
        <v>60</v>
      </c>
      <c r="F5185" s="30" t="s">
        <v>61</v>
      </c>
      <c r="G5185" t="s">
        <v>62</v>
      </c>
      <c r="H5185" t="s">
        <v>63</v>
      </c>
    </row>
    <row r="5186" spans="1:8" x14ac:dyDescent="0.3">
      <c r="A5186" s="22" t="s">
        <v>64</v>
      </c>
      <c r="B5186" t="s">
        <v>67</v>
      </c>
      <c r="C5186" s="30">
        <v>16.833333333333329</v>
      </c>
      <c r="D5186" s="30">
        <v>8</v>
      </c>
      <c r="E5186" s="30">
        <v>1</v>
      </c>
      <c r="F5186" s="30">
        <v>50</v>
      </c>
      <c r="G5186">
        <v>12</v>
      </c>
      <c r="H5186">
        <v>13</v>
      </c>
    </row>
    <row r="5187" spans="1:8" x14ac:dyDescent="0.3">
      <c r="A5187" s="22" t="s">
        <v>64</v>
      </c>
      <c r="B5187" t="s">
        <v>68</v>
      </c>
      <c r="C5187" s="30">
        <v>6</v>
      </c>
      <c r="D5187" s="30">
        <v>6</v>
      </c>
      <c r="E5187" s="30">
        <v>6</v>
      </c>
      <c r="F5187" s="30">
        <v>6</v>
      </c>
      <c r="G5187">
        <v>1</v>
      </c>
      <c r="H5187">
        <v>13</v>
      </c>
    </row>
    <row r="5188" spans="1:8" x14ac:dyDescent="0.3">
      <c r="C5188" s="30"/>
      <c r="D5188" s="30"/>
      <c r="E5188" s="30"/>
      <c r="F5188" s="30"/>
    </row>
    <row r="5189" spans="1:8" ht="57.6" x14ac:dyDescent="0.3">
      <c r="A5189" s="22" t="s">
        <v>1178</v>
      </c>
      <c r="C5189" s="30"/>
      <c r="D5189" s="30"/>
      <c r="E5189" s="30"/>
      <c r="F5189" s="30"/>
    </row>
    <row r="5190" spans="1:8" x14ac:dyDescent="0.3">
      <c r="A5190" s="22" t="s">
        <v>57</v>
      </c>
      <c r="B5190" t="s">
        <v>66</v>
      </c>
      <c r="C5190" s="30" t="s">
        <v>58</v>
      </c>
      <c r="D5190" s="30" t="s">
        <v>59</v>
      </c>
      <c r="E5190" s="30" t="s">
        <v>60</v>
      </c>
      <c r="F5190" s="30" t="s">
        <v>61</v>
      </c>
      <c r="G5190" t="s">
        <v>62</v>
      </c>
      <c r="H5190" t="s">
        <v>63</v>
      </c>
    </row>
    <row r="5191" spans="1:8" x14ac:dyDescent="0.3">
      <c r="A5191" s="22" t="s">
        <v>64</v>
      </c>
      <c r="B5191" t="s">
        <v>67</v>
      </c>
      <c r="C5191" s="30">
        <v>14.27272727272727</v>
      </c>
      <c r="D5191" s="30">
        <v>10</v>
      </c>
      <c r="E5191" s="30">
        <v>1</v>
      </c>
      <c r="F5191" s="30">
        <v>50</v>
      </c>
      <c r="G5191">
        <v>11</v>
      </c>
      <c r="H5191">
        <v>13</v>
      </c>
    </row>
    <row r="5192" spans="1:8" x14ac:dyDescent="0.3">
      <c r="A5192" s="22" t="s">
        <v>64</v>
      </c>
      <c r="B5192" t="s">
        <v>68</v>
      </c>
      <c r="C5192" s="30">
        <v>25.5</v>
      </c>
      <c r="D5192" s="30">
        <v>1</v>
      </c>
      <c r="E5192" s="30">
        <v>1</v>
      </c>
      <c r="F5192" s="30">
        <v>50</v>
      </c>
      <c r="G5192">
        <v>2</v>
      </c>
      <c r="H5192">
        <v>13</v>
      </c>
    </row>
    <row r="5193" spans="1:8" x14ac:dyDescent="0.3">
      <c r="C5193" s="30"/>
      <c r="D5193" s="30"/>
      <c r="E5193" s="30"/>
      <c r="F5193" s="30"/>
    </row>
    <row r="5194" spans="1:8" ht="57.6" x14ac:dyDescent="0.3">
      <c r="A5194" s="22" t="s">
        <v>1179</v>
      </c>
      <c r="C5194" s="30"/>
      <c r="D5194" s="30"/>
      <c r="E5194" s="30"/>
      <c r="F5194" s="30"/>
    </row>
    <row r="5195" spans="1:8" x14ac:dyDescent="0.3">
      <c r="A5195" s="22" t="s">
        <v>57</v>
      </c>
      <c r="B5195" t="s">
        <v>66</v>
      </c>
      <c r="C5195" s="30" t="s">
        <v>58</v>
      </c>
      <c r="D5195" s="30" t="s">
        <v>59</v>
      </c>
      <c r="E5195" s="30" t="s">
        <v>60</v>
      </c>
      <c r="F5195" s="30" t="s">
        <v>61</v>
      </c>
      <c r="G5195" t="s">
        <v>62</v>
      </c>
      <c r="H5195" t="s">
        <v>63</v>
      </c>
    </row>
    <row r="5196" spans="1:8" x14ac:dyDescent="0.3">
      <c r="A5196" s="22" t="s">
        <v>64</v>
      </c>
      <c r="B5196" t="s">
        <v>67</v>
      </c>
      <c r="C5196" s="30">
        <v>14.7</v>
      </c>
      <c r="D5196" s="30">
        <v>6</v>
      </c>
      <c r="E5196" s="30">
        <v>1</v>
      </c>
      <c r="F5196" s="30">
        <v>50</v>
      </c>
      <c r="G5196">
        <v>10</v>
      </c>
      <c r="H5196">
        <v>13</v>
      </c>
    </row>
    <row r="5197" spans="1:8" x14ac:dyDescent="0.3">
      <c r="A5197" s="22" t="s">
        <v>64</v>
      </c>
      <c r="B5197" t="s">
        <v>68</v>
      </c>
      <c r="C5197" s="30">
        <v>20.333333333333329</v>
      </c>
      <c r="D5197" s="30">
        <v>50</v>
      </c>
      <c r="E5197" s="30">
        <v>1</v>
      </c>
      <c r="F5197" s="30">
        <v>50</v>
      </c>
      <c r="G5197">
        <v>3</v>
      </c>
      <c r="H5197">
        <v>13</v>
      </c>
    </row>
    <row r="5198" spans="1:8" x14ac:dyDescent="0.3">
      <c r="C5198" s="30"/>
      <c r="D5198" s="30"/>
      <c r="E5198" s="30"/>
      <c r="F5198" s="30"/>
    </row>
    <row r="5199" spans="1:8" ht="72" x14ac:dyDescent="0.3">
      <c r="A5199" s="22" t="s">
        <v>1180</v>
      </c>
      <c r="C5199" s="30"/>
      <c r="D5199" s="30"/>
      <c r="E5199" s="30"/>
      <c r="F5199" s="30"/>
    </row>
    <row r="5200" spans="1:8" x14ac:dyDescent="0.3">
      <c r="A5200" s="22" t="s">
        <v>57</v>
      </c>
      <c r="B5200" t="s">
        <v>66</v>
      </c>
      <c r="C5200" s="30" t="s">
        <v>58</v>
      </c>
      <c r="D5200" s="30" t="s">
        <v>59</v>
      </c>
      <c r="E5200" s="30" t="s">
        <v>60</v>
      </c>
      <c r="F5200" s="30" t="s">
        <v>61</v>
      </c>
      <c r="G5200" t="s">
        <v>62</v>
      </c>
      <c r="H5200" t="s">
        <v>63</v>
      </c>
    </row>
    <row r="5201" spans="1:8" x14ac:dyDescent="0.3">
      <c r="A5201" s="22" t="s">
        <v>64</v>
      </c>
      <c r="B5201" t="s">
        <v>67</v>
      </c>
      <c r="C5201" s="30">
        <v>15.5</v>
      </c>
      <c r="D5201" s="30">
        <v>8</v>
      </c>
      <c r="E5201" s="30">
        <v>1</v>
      </c>
      <c r="F5201" s="30">
        <v>50</v>
      </c>
      <c r="G5201">
        <v>10</v>
      </c>
      <c r="H5201">
        <v>13</v>
      </c>
    </row>
    <row r="5202" spans="1:8" x14ac:dyDescent="0.3">
      <c r="A5202" s="22" t="s">
        <v>64</v>
      </c>
      <c r="B5202" t="s">
        <v>68</v>
      </c>
      <c r="C5202" s="30">
        <v>17.666666666666671</v>
      </c>
      <c r="D5202" s="30">
        <v>50</v>
      </c>
      <c r="E5202" s="30">
        <v>1</v>
      </c>
      <c r="F5202" s="30">
        <v>50</v>
      </c>
      <c r="G5202">
        <v>3</v>
      </c>
      <c r="H5202">
        <v>13</v>
      </c>
    </row>
    <row r="5203" spans="1:8" x14ac:dyDescent="0.3">
      <c r="C5203" s="30"/>
      <c r="D5203" s="30"/>
      <c r="E5203" s="30"/>
      <c r="F5203" s="30"/>
    </row>
    <row r="5204" spans="1:8" ht="72" x14ac:dyDescent="0.3">
      <c r="A5204" s="22" t="s">
        <v>1181</v>
      </c>
      <c r="C5204" s="30"/>
      <c r="D5204" s="30"/>
      <c r="E5204" s="30"/>
      <c r="F5204" s="30"/>
    </row>
    <row r="5205" spans="1:8" x14ac:dyDescent="0.3">
      <c r="A5205" s="22" t="s">
        <v>57</v>
      </c>
      <c r="B5205" t="s">
        <v>66</v>
      </c>
      <c r="C5205" s="30" t="s">
        <v>58</v>
      </c>
      <c r="D5205" s="30" t="s">
        <v>59</v>
      </c>
      <c r="E5205" s="30" t="s">
        <v>60</v>
      </c>
      <c r="F5205" s="30" t="s">
        <v>61</v>
      </c>
      <c r="G5205" t="s">
        <v>62</v>
      </c>
      <c r="H5205" t="s">
        <v>63</v>
      </c>
    </row>
    <row r="5206" spans="1:8" x14ac:dyDescent="0.3">
      <c r="A5206" s="22" t="s">
        <v>64</v>
      </c>
      <c r="B5206" t="s">
        <v>67</v>
      </c>
      <c r="C5206" s="30">
        <v>16</v>
      </c>
      <c r="D5206" s="30">
        <v>10</v>
      </c>
      <c r="E5206" s="30">
        <v>1</v>
      </c>
      <c r="F5206" s="30">
        <v>50</v>
      </c>
      <c r="G5206">
        <v>13</v>
      </c>
      <c r="H5206">
        <v>13</v>
      </c>
    </row>
    <row r="5207" spans="1:8" x14ac:dyDescent="0.3">
      <c r="C5207" s="30"/>
      <c r="D5207" s="30"/>
      <c r="E5207" s="30"/>
      <c r="F5207" s="30"/>
    </row>
    <row r="5208" spans="1:8" ht="57.6" x14ac:dyDescent="0.3">
      <c r="A5208" s="22" t="s">
        <v>1182</v>
      </c>
      <c r="C5208" s="30"/>
      <c r="D5208" s="30"/>
      <c r="E5208" s="30"/>
      <c r="F5208" s="30"/>
    </row>
    <row r="5209" spans="1:8" x14ac:dyDescent="0.3">
      <c r="A5209" s="22" t="s">
        <v>57</v>
      </c>
      <c r="B5209" t="s">
        <v>66</v>
      </c>
      <c r="C5209" s="30" t="s">
        <v>58</v>
      </c>
      <c r="D5209" s="30" t="s">
        <v>59</v>
      </c>
      <c r="E5209" s="30" t="s">
        <v>60</v>
      </c>
      <c r="F5209" s="30" t="s">
        <v>61</v>
      </c>
      <c r="G5209" t="s">
        <v>62</v>
      </c>
      <c r="H5209" t="s">
        <v>63</v>
      </c>
    </row>
    <row r="5210" spans="1:8" x14ac:dyDescent="0.3">
      <c r="A5210" s="22" t="s">
        <v>64</v>
      </c>
      <c r="B5210" t="s">
        <v>67</v>
      </c>
      <c r="C5210" s="30">
        <v>12.71428571428571</v>
      </c>
      <c r="D5210" s="30">
        <v>10</v>
      </c>
      <c r="E5210" s="30">
        <v>1</v>
      </c>
      <c r="F5210" s="30">
        <v>50</v>
      </c>
      <c r="G5210">
        <v>7</v>
      </c>
      <c r="H5210">
        <v>13</v>
      </c>
    </row>
    <row r="5211" spans="1:8" x14ac:dyDescent="0.3">
      <c r="A5211" s="22" t="s">
        <v>64</v>
      </c>
      <c r="B5211" t="s">
        <v>68</v>
      </c>
      <c r="C5211" s="30">
        <v>19.833333333333329</v>
      </c>
      <c r="D5211" s="30">
        <v>6</v>
      </c>
      <c r="E5211" s="30">
        <v>1</v>
      </c>
      <c r="F5211" s="30">
        <v>50</v>
      </c>
      <c r="G5211">
        <v>6</v>
      </c>
      <c r="H5211">
        <v>13</v>
      </c>
    </row>
    <row r="5212" spans="1:8" x14ac:dyDescent="0.3">
      <c r="C5212" s="30"/>
      <c r="D5212" s="30"/>
      <c r="E5212" s="30"/>
      <c r="F5212" s="30"/>
    </row>
    <row r="5213" spans="1:8" ht="57.6" x14ac:dyDescent="0.3">
      <c r="A5213" s="22" t="s">
        <v>1183</v>
      </c>
      <c r="C5213" s="30"/>
      <c r="D5213" s="30"/>
      <c r="E5213" s="30"/>
      <c r="F5213" s="30"/>
    </row>
    <row r="5214" spans="1:8" x14ac:dyDescent="0.3">
      <c r="A5214" s="22" t="s">
        <v>57</v>
      </c>
      <c r="B5214" t="s">
        <v>66</v>
      </c>
      <c r="C5214" s="30" t="s">
        <v>58</v>
      </c>
      <c r="D5214" s="30" t="s">
        <v>59</v>
      </c>
      <c r="E5214" s="30" t="s">
        <v>60</v>
      </c>
      <c r="F5214" s="30" t="s">
        <v>61</v>
      </c>
      <c r="G5214" t="s">
        <v>62</v>
      </c>
      <c r="H5214" t="s">
        <v>63</v>
      </c>
    </row>
    <row r="5215" spans="1:8" x14ac:dyDescent="0.3">
      <c r="A5215" s="22" t="s">
        <v>64</v>
      </c>
      <c r="B5215" t="s">
        <v>67</v>
      </c>
      <c r="C5215" s="30">
        <v>15.1</v>
      </c>
      <c r="D5215" s="30">
        <v>8</v>
      </c>
      <c r="E5215" s="30">
        <v>1</v>
      </c>
      <c r="F5215" s="30">
        <v>50</v>
      </c>
      <c r="G5215">
        <v>10</v>
      </c>
      <c r="H5215">
        <v>13</v>
      </c>
    </row>
    <row r="5216" spans="1:8" x14ac:dyDescent="0.3">
      <c r="A5216" s="22" t="s">
        <v>64</v>
      </c>
      <c r="B5216" t="s">
        <v>68</v>
      </c>
      <c r="C5216" s="30">
        <v>19</v>
      </c>
      <c r="D5216" s="30">
        <v>50</v>
      </c>
      <c r="E5216" s="30">
        <v>1</v>
      </c>
      <c r="F5216" s="30">
        <v>50</v>
      </c>
      <c r="G5216">
        <v>3</v>
      </c>
      <c r="H5216">
        <v>13</v>
      </c>
    </row>
    <row r="5217" spans="1:8" x14ac:dyDescent="0.3">
      <c r="C5217" s="30"/>
      <c r="D5217" s="30"/>
      <c r="E5217" s="30"/>
      <c r="F5217" s="30"/>
    </row>
    <row r="5218" spans="1:8" ht="43.2" x14ac:dyDescent="0.3">
      <c r="A5218" s="27" t="s">
        <v>1184</v>
      </c>
      <c r="C5218" s="30"/>
      <c r="D5218" s="30"/>
      <c r="E5218" s="30"/>
      <c r="F5218" s="30"/>
    </row>
    <row r="5219" spans="1:8" x14ac:dyDescent="0.3">
      <c r="A5219" s="22" t="s">
        <v>57</v>
      </c>
      <c r="B5219" t="s">
        <v>66</v>
      </c>
      <c r="C5219" s="30" t="s">
        <v>58</v>
      </c>
      <c r="D5219" s="30" t="s">
        <v>59</v>
      </c>
      <c r="E5219" s="30" t="s">
        <v>60</v>
      </c>
      <c r="F5219" s="30" t="s">
        <v>61</v>
      </c>
      <c r="G5219" t="s">
        <v>62</v>
      </c>
      <c r="H5219" t="s">
        <v>63</v>
      </c>
    </row>
    <row r="5220" spans="1:8" x14ac:dyDescent="0.3">
      <c r="A5220" s="22" t="s">
        <v>64</v>
      </c>
      <c r="B5220" t="s">
        <v>81</v>
      </c>
      <c r="C5220" s="30">
        <v>22.6</v>
      </c>
      <c r="D5220" s="30">
        <v>40</v>
      </c>
      <c r="E5220" s="30">
        <v>5</v>
      </c>
      <c r="F5220" s="30">
        <v>50</v>
      </c>
      <c r="G5220">
        <v>5</v>
      </c>
      <c r="H5220">
        <v>13</v>
      </c>
    </row>
    <row r="5221" spans="1:8" x14ac:dyDescent="0.3">
      <c r="A5221" s="22" t="s">
        <v>64</v>
      </c>
      <c r="B5221" t="s">
        <v>82</v>
      </c>
      <c r="C5221" s="30">
        <v>3</v>
      </c>
      <c r="D5221" s="30">
        <v>1</v>
      </c>
      <c r="E5221" s="30">
        <v>1</v>
      </c>
      <c r="F5221" s="30">
        <v>5</v>
      </c>
      <c r="G5221">
        <v>2</v>
      </c>
      <c r="H5221">
        <v>13</v>
      </c>
    </row>
    <row r="5222" spans="1:8" x14ac:dyDescent="0.3">
      <c r="A5222" s="22" t="s">
        <v>64</v>
      </c>
      <c r="B5222" t="s">
        <v>83</v>
      </c>
      <c r="C5222" s="30">
        <v>10.33333333333333</v>
      </c>
      <c r="D5222" s="30">
        <v>20</v>
      </c>
      <c r="E5222" s="30">
        <v>1</v>
      </c>
      <c r="F5222" s="30">
        <v>20</v>
      </c>
      <c r="G5222">
        <v>3</v>
      </c>
      <c r="H5222">
        <v>13</v>
      </c>
    </row>
    <row r="5223" spans="1:8" x14ac:dyDescent="0.3">
      <c r="A5223" s="22" t="s">
        <v>64</v>
      </c>
      <c r="B5223" t="s">
        <v>84</v>
      </c>
      <c r="C5223" s="30">
        <v>19.333333333333329</v>
      </c>
      <c r="D5223" s="30">
        <v>50</v>
      </c>
      <c r="E5223" s="30">
        <v>2</v>
      </c>
      <c r="F5223" s="30">
        <v>50</v>
      </c>
      <c r="G5223">
        <v>3</v>
      </c>
      <c r="H5223">
        <v>13</v>
      </c>
    </row>
    <row r="5225" spans="1:8" ht="43.2" x14ac:dyDescent="0.3">
      <c r="A5225" s="27" t="s">
        <v>1185</v>
      </c>
    </row>
    <row r="5226" spans="1:8" x14ac:dyDescent="0.3">
      <c r="A5226" s="22" t="s">
        <v>57</v>
      </c>
      <c r="B5226" t="s">
        <v>58</v>
      </c>
      <c r="C5226" t="s">
        <v>59</v>
      </c>
      <c r="D5226" t="s">
        <v>60</v>
      </c>
      <c r="E5226" t="s">
        <v>61</v>
      </c>
      <c r="F5226" t="s">
        <v>62</v>
      </c>
      <c r="G5226" t="s">
        <v>63</v>
      </c>
    </row>
    <row r="5227" spans="1:8" x14ac:dyDescent="0.3">
      <c r="A5227" s="22" t="s">
        <v>64</v>
      </c>
      <c r="B5227" s="30">
        <v>21.68181818181818</v>
      </c>
      <c r="C5227" s="30">
        <v>20</v>
      </c>
      <c r="D5227" s="30">
        <v>1</v>
      </c>
      <c r="E5227" s="30">
        <v>70</v>
      </c>
      <c r="F5227">
        <v>44</v>
      </c>
      <c r="G5227">
        <v>44</v>
      </c>
    </row>
    <row r="5229" spans="1:8" ht="57.6" x14ac:dyDescent="0.3">
      <c r="A5229" s="22" t="s">
        <v>1186</v>
      </c>
    </row>
    <row r="5230" spans="1:8" x14ac:dyDescent="0.3">
      <c r="A5230" s="22" t="s">
        <v>57</v>
      </c>
      <c r="B5230" t="s">
        <v>66</v>
      </c>
      <c r="C5230" t="s">
        <v>58</v>
      </c>
      <c r="D5230" t="s">
        <v>59</v>
      </c>
      <c r="E5230" t="s">
        <v>60</v>
      </c>
      <c r="F5230" t="s">
        <v>61</v>
      </c>
      <c r="G5230" t="s">
        <v>62</v>
      </c>
      <c r="H5230" t="s">
        <v>63</v>
      </c>
    </row>
    <row r="5231" spans="1:8" x14ac:dyDescent="0.3">
      <c r="A5231" s="22" t="s">
        <v>64</v>
      </c>
      <c r="B5231" t="s">
        <v>67</v>
      </c>
      <c r="C5231" s="30">
        <v>21.128205128205131</v>
      </c>
      <c r="D5231" s="30">
        <v>20</v>
      </c>
      <c r="E5231" s="30">
        <v>1</v>
      </c>
      <c r="F5231" s="30">
        <v>70</v>
      </c>
      <c r="G5231">
        <v>39</v>
      </c>
      <c r="H5231">
        <v>44</v>
      </c>
    </row>
    <row r="5232" spans="1:8" x14ac:dyDescent="0.3">
      <c r="A5232" s="22" t="s">
        <v>64</v>
      </c>
      <c r="B5232" t="s">
        <v>68</v>
      </c>
      <c r="C5232" s="30">
        <v>26</v>
      </c>
      <c r="D5232" s="30">
        <v>30</v>
      </c>
      <c r="E5232" s="30">
        <v>10</v>
      </c>
      <c r="F5232" s="30">
        <v>50</v>
      </c>
      <c r="G5232">
        <v>5</v>
      </c>
      <c r="H5232">
        <v>44</v>
      </c>
    </row>
    <row r="5233" spans="1:8" x14ac:dyDescent="0.3">
      <c r="C5233" s="30"/>
      <c r="D5233" s="30"/>
      <c r="E5233" s="30"/>
      <c r="F5233" s="30"/>
    </row>
    <row r="5234" spans="1:8" x14ac:dyDescent="0.3">
      <c r="A5234"/>
      <c r="C5234" s="30"/>
      <c r="D5234" s="30"/>
      <c r="E5234" s="30"/>
      <c r="F5234" s="30"/>
    </row>
    <row r="5235" spans="1:8" x14ac:dyDescent="0.3">
      <c r="A5235"/>
      <c r="C5235" s="30"/>
      <c r="D5235" s="30"/>
      <c r="E5235" s="30"/>
      <c r="F5235" s="30"/>
    </row>
    <row r="5236" spans="1:8" x14ac:dyDescent="0.3">
      <c r="A5236"/>
      <c r="C5236" s="30"/>
      <c r="D5236" s="30"/>
      <c r="E5236" s="30"/>
      <c r="F5236" s="30"/>
    </row>
    <row r="5237" spans="1:8" x14ac:dyDescent="0.3">
      <c r="A5237"/>
      <c r="C5237" s="30"/>
      <c r="D5237" s="30"/>
      <c r="E5237" s="30"/>
      <c r="F5237" s="30"/>
    </row>
    <row r="5238" spans="1:8" ht="57.6" x14ac:dyDescent="0.3">
      <c r="A5238" s="22" t="s">
        <v>1187</v>
      </c>
      <c r="C5238" s="30"/>
      <c r="D5238" s="30"/>
      <c r="E5238" s="30"/>
      <c r="F5238" s="30"/>
    </row>
    <row r="5239" spans="1:8" x14ac:dyDescent="0.3">
      <c r="A5239" s="22" t="s">
        <v>57</v>
      </c>
      <c r="B5239" t="s">
        <v>66</v>
      </c>
      <c r="C5239" s="30" t="s">
        <v>58</v>
      </c>
      <c r="D5239" s="30" t="s">
        <v>59</v>
      </c>
      <c r="E5239" s="30" t="s">
        <v>60</v>
      </c>
      <c r="F5239" s="30" t="s">
        <v>61</v>
      </c>
      <c r="G5239" t="s">
        <v>62</v>
      </c>
      <c r="H5239" t="s">
        <v>63</v>
      </c>
    </row>
    <row r="5240" spans="1:8" x14ac:dyDescent="0.3">
      <c r="A5240" s="22" t="s">
        <v>64</v>
      </c>
      <c r="B5240" t="s">
        <v>67</v>
      </c>
      <c r="C5240" s="30">
        <v>21.31707317073171</v>
      </c>
      <c r="D5240" s="30">
        <v>20</v>
      </c>
      <c r="E5240" s="30">
        <v>1</v>
      </c>
      <c r="F5240" s="30">
        <v>70</v>
      </c>
      <c r="G5240">
        <v>41</v>
      </c>
      <c r="H5240">
        <v>44</v>
      </c>
    </row>
    <row r="5241" spans="1:8" x14ac:dyDescent="0.3">
      <c r="A5241" s="22" t="s">
        <v>64</v>
      </c>
      <c r="B5241" t="s">
        <v>68</v>
      </c>
      <c r="C5241" s="30">
        <v>26.666666666666671</v>
      </c>
      <c r="D5241" s="30">
        <v>50</v>
      </c>
      <c r="E5241" s="30">
        <v>10</v>
      </c>
      <c r="F5241" s="30">
        <v>50</v>
      </c>
      <c r="G5241">
        <v>3</v>
      </c>
      <c r="H5241">
        <v>44</v>
      </c>
    </row>
    <row r="5242" spans="1:8" x14ac:dyDescent="0.3">
      <c r="C5242" s="30"/>
      <c r="D5242" s="30"/>
      <c r="E5242" s="30"/>
      <c r="F5242" s="30"/>
    </row>
    <row r="5243" spans="1:8" ht="57.6" x14ac:dyDescent="0.3">
      <c r="A5243" s="22" t="s">
        <v>1188</v>
      </c>
      <c r="C5243" s="30"/>
      <c r="D5243" s="30"/>
      <c r="E5243" s="30"/>
      <c r="F5243" s="30"/>
    </row>
    <row r="5244" spans="1:8" x14ac:dyDescent="0.3">
      <c r="A5244" s="22" t="s">
        <v>57</v>
      </c>
      <c r="B5244" t="s">
        <v>66</v>
      </c>
      <c r="C5244" s="30" t="s">
        <v>58</v>
      </c>
      <c r="D5244" s="30" t="s">
        <v>59</v>
      </c>
      <c r="E5244" s="30" t="s">
        <v>60</v>
      </c>
      <c r="F5244" s="30" t="s">
        <v>61</v>
      </c>
      <c r="G5244" t="s">
        <v>62</v>
      </c>
      <c r="H5244" t="s">
        <v>63</v>
      </c>
    </row>
    <row r="5245" spans="1:8" x14ac:dyDescent="0.3">
      <c r="A5245" s="22" t="s">
        <v>64</v>
      </c>
      <c r="B5245" t="s">
        <v>67</v>
      </c>
      <c r="C5245" s="30">
        <v>21.68181818181818</v>
      </c>
      <c r="D5245" s="30">
        <v>20</v>
      </c>
      <c r="E5245" s="30">
        <v>1</v>
      </c>
      <c r="F5245" s="30">
        <v>70</v>
      </c>
      <c r="G5245">
        <v>44</v>
      </c>
      <c r="H5245">
        <v>44</v>
      </c>
    </row>
    <row r="5246" spans="1:8" x14ac:dyDescent="0.3">
      <c r="C5246" s="30"/>
      <c r="D5246" s="30"/>
      <c r="E5246" s="30"/>
      <c r="F5246" s="30"/>
    </row>
    <row r="5247" spans="1:8" ht="57.6" x14ac:dyDescent="0.3">
      <c r="A5247" s="22" t="s">
        <v>1189</v>
      </c>
      <c r="C5247" s="30"/>
      <c r="D5247" s="30"/>
      <c r="E5247" s="30"/>
      <c r="F5247" s="30"/>
    </row>
    <row r="5248" spans="1:8" x14ac:dyDescent="0.3">
      <c r="A5248" s="22" t="s">
        <v>57</v>
      </c>
      <c r="B5248" t="s">
        <v>66</v>
      </c>
      <c r="C5248" s="30" t="s">
        <v>58</v>
      </c>
      <c r="D5248" s="30" t="s">
        <v>59</v>
      </c>
      <c r="E5248" s="30" t="s">
        <v>60</v>
      </c>
      <c r="F5248" s="30" t="s">
        <v>61</v>
      </c>
      <c r="G5248" t="s">
        <v>62</v>
      </c>
      <c r="H5248" t="s">
        <v>63</v>
      </c>
    </row>
    <row r="5249" spans="1:8" x14ac:dyDescent="0.3">
      <c r="A5249" s="22" t="s">
        <v>64</v>
      </c>
      <c r="B5249" t="s">
        <v>67</v>
      </c>
      <c r="C5249" s="30">
        <v>21.488372093023251</v>
      </c>
      <c r="D5249" s="30">
        <v>20</v>
      </c>
      <c r="E5249" s="30">
        <v>1</v>
      </c>
      <c r="F5249" s="30">
        <v>70</v>
      </c>
      <c r="G5249">
        <v>43</v>
      </c>
      <c r="H5249">
        <v>44</v>
      </c>
    </row>
    <row r="5250" spans="1:8" x14ac:dyDescent="0.3">
      <c r="A5250" s="22" t="s">
        <v>64</v>
      </c>
      <c r="B5250" t="s">
        <v>68</v>
      </c>
      <c r="C5250" s="30">
        <v>30</v>
      </c>
      <c r="D5250" s="30">
        <v>30</v>
      </c>
      <c r="E5250" s="30">
        <v>30</v>
      </c>
      <c r="F5250" s="30">
        <v>30</v>
      </c>
      <c r="G5250">
        <v>1</v>
      </c>
      <c r="H5250">
        <v>44</v>
      </c>
    </row>
    <row r="5251" spans="1:8" x14ac:dyDescent="0.3">
      <c r="C5251" s="30"/>
      <c r="D5251" s="30"/>
      <c r="E5251" s="30"/>
      <c r="F5251" s="30"/>
    </row>
    <row r="5252" spans="1:8" ht="57.6" x14ac:dyDescent="0.3">
      <c r="A5252" s="22" t="s">
        <v>1190</v>
      </c>
      <c r="C5252" s="30"/>
      <c r="D5252" s="30"/>
      <c r="E5252" s="30"/>
      <c r="F5252" s="30"/>
    </row>
    <row r="5253" spans="1:8" x14ac:dyDescent="0.3">
      <c r="A5253" s="22" t="s">
        <v>57</v>
      </c>
      <c r="B5253" t="s">
        <v>66</v>
      </c>
      <c r="C5253" s="30" t="s">
        <v>58</v>
      </c>
      <c r="D5253" s="30" t="s">
        <v>59</v>
      </c>
      <c r="E5253" s="30" t="s">
        <v>60</v>
      </c>
      <c r="F5253" s="30" t="s">
        <v>61</v>
      </c>
      <c r="G5253" t="s">
        <v>62</v>
      </c>
      <c r="H5253" t="s">
        <v>63</v>
      </c>
    </row>
    <row r="5254" spans="1:8" x14ac:dyDescent="0.3">
      <c r="A5254" s="22" t="s">
        <v>64</v>
      </c>
      <c r="B5254" t="s">
        <v>67</v>
      </c>
      <c r="C5254" s="30">
        <v>27.5</v>
      </c>
      <c r="D5254" s="30">
        <v>25</v>
      </c>
      <c r="E5254" s="30">
        <v>25</v>
      </c>
      <c r="F5254" s="30">
        <v>30</v>
      </c>
      <c r="G5254">
        <v>2</v>
      </c>
      <c r="H5254">
        <v>44</v>
      </c>
    </row>
    <row r="5255" spans="1:8" x14ac:dyDescent="0.3">
      <c r="A5255" s="22" t="s">
        <v>64</v>
      </c>
      <c r="B5255" t="s">
        <v>68</v>
      </c>
      <c r="C5255" s="30">
        <v>21.404761904761909</v>
      </c>
      <c r="D5255" s="30">
        <v>15</v>
      </c>
      <c r="E5255" s="30">
        <v>1</v>
      </c>
      <c r="F5255" s="30">
        <v>70</v>
      </c>
      <c r="G5255">
        <v>42</v>
      </c>
      <c r="H5255">
        <v>44</v>
      </c>
    </row>
    <row r="5256" spans="1:8" x14ac:dyDescent="0.3">
      <c r="C5256" s="30"/>
      <c r="D5256" s="30"/>
      <c r="E5256" s="30"/>
      <c r="F5256" s="30"/>
    </row>
    <row r="5257" spans="1:8" ht="57.6" x14ac:dyDescent="0.3">
      <c r="A5257" s="22" t="s">
        <v>1191</v>
      </c>
      <c r="C5257" s="30"/>
      <c r="D5257" s="30"/>
      <c r="E5257" s="30"/>
      <c r="F5257" s="30"/>
    </row>
    <row r="5258" spans="1:8" x14ac:dyDescent="0.3">
      <c r="A5258" s="22" t="s">
        <v>57</v>
      </c>
      <c r="B5258" t="s">
        <v>66</v>
      </c>
      <c r="C5258" s="30" t="s">
        <v>58</v>
      </c>
      <c r="D5258" s="30" t="s">
        <v>59</v>
      </c>
      <c r="E5258" s="30" t="s">
        <v>60</v>
      </c>
      <c r="F5258" s="30" t="s">
        <v>61</v>
      </c>
      <c r="G5258" t="s">
        <v>62</v>
      </c>
      <c r="H5258" t="s">
        <v>63</v>
      </c>
    </row>
    <row r="5259" spans="1:8" x14ac:dyDescent="0.3">
      <c r="A5259" s="22" t="s">
        <v>64</v>
      </c>
      <c r="B5259" t="s">
        <v>67</v>
      </c>
      <c r="C5259" s="30">
        <v>19.945945945945951</v>
      </c>
      <c r="D5259" s="30">
        <v>20</v>
      </c>
      <c r="E5259" s="30">
        <v>1</v>
      </c>
      <c r="F5259" s="30">
        <v>50</v>
      </c>
      <c r="G5259">
        <v>37</v>
      </c>
      <c r="H5259">
        <v>44</v>
      </c>
    </row>
    <row r="5260" spans="1:8" x14ac:dyDescent="0.3">
      <c r="A5260" s="22" t="s">
        <v>64</v>
      </c>
      <c r="B5260" t="s">
        <v>68</v>
      </c>
      <c r="C5260" s="30">
        <v>30.857142857142861</v>
      </c>
      <c r="D5260" s="30">
        <v>40</v>
      </c>
      <c r="E5260" s="30">
        <v>6</v>
      </c>
      <c r="F5260" s="30">
        <v>70</v>
      </c>
      <c r="G5260">
        <v>7</v>
      </c>
      <c r="H5260">
        <v>44</v>
      </c>
    </row>
    <row r="5261" spans="1:8" x14ac:dyDescent="0.3">
      <c r="C5261" s="30"/>
      <c r="D5261" s="30"/>
      <c r="E5261" s="30"/>
      <c r="F5261" s="30"/>
    </row>
    <row r="5262" spans="1:8" ht="57.6" x14ac:dyDescent="0.3">
      <c r="A5262" s="22" t="s">
        <v>1192</v>
      </c>
      <c r="C5262" s="30"/>
      <c r="D5262" s="30"/>
      <c r="E5262" s="30"/>
      <c r="F5262" s="30"/>
    </row>
    <row r="5263" spans="1:8" x14ac:dyDescent="0.3">
      <c r="A5263" s="22" t="s">
        <v>57</v>
      </c>
      <c r="B5263" t="s">
        <v>66</v>
      </c>
      <c r="C5263" s="30" t="s">
        <v>58</v>
      </c>
      <c r="D5263" s="30" t="s">
        <v>59</v>
      </c>
      <c r="E5263" s="30" t="s">
        <v>60</v>
      </c>
      <c r="F5263" s="30" t="s">
        <v>61</v>
      </c>
      <c r="G5263" t="s">
        <v>62</v>
      </c>
      <c r="H5263" t="s">
        <v>63</v>
      </c>
    </row>
    <row r="5264" spans="1:8" x14ac:dyDescent="0.3">
      <c r="A5264" s="22" t="s">
        <v>64</v>
      </c>
      <c r="B5264" t="s">
        <v>67</v>
      </c>
      <c r="C5264" s="30">
        <v>20.84375</v>
      </c>
      <c r="D5264" s="30">
        <v>15</v>
      </c>
      <c r="E5264" s="30">
        <v>1</v>
      </c>
      <c r="F5264" s="30">
        <v>70</v>
      </c>
      <c r="G5264">
        <v>32</v>
      </c>
      <c r="H5264">
        <v>44</v>
      </c>
    </row>
    <row r="5265" spans="1:8" x14ac:dyDescent="0.3">
      <c r="A5265" s="22" t="s">
        <v>64</v>
      </c>
      <c r="B5265" t="s">
        <v>68</v>
      </c>
      <c r="C5265" s="30">
        <v>23.916666666666671</v>
      </c>
      <c r="D5265" s="30">
        <v>20</v>
      </c>
      <c r="E5265" s="30">
        <v>2</v>
      </c>
      <c r="F5265" s="30">
        <v>50</v>
      </c>
      <c r="G5265">
        <v>12</v>
      </c>
      <c r="H5265">
        <v>44</v>
      </c>
    </row>
    <row r="5266" spans="1:8" x14ac:dyDescent="0.3">
      <c r="C5266" s="30"/>
      <c r="D5266" s="30"/>
      <c r="E5266" s="30"/>
      <c r="F5266" s="30"/>
    </row>
    <row r="5267" spans="1:8" ht="57.6" x14ac:dyDescent="0.3">
      <c r="A5267" s="22" t="s">
        <v>1193</v>
      </c>
      <c r="C5267" s="30"/>
      <c r="D5267" s="30"/>
      <c r="E5267" s="30"/>
      <c r="F5267" s="30"/>
    </row>
    <row r="5268" spans="1:8" x14ac:dyDescent="0.3">
      <c r="A5268" s="22" t="s">
        <v>57</v>
      </c>
      <c r="B5268" t="s">
        <v>66</v>
      </c>
      <c r="C5268" s="30" t="s">
        <v>58</v>
      </c>
      <c r="D5268" s="30" t="s">
        <v>59</v>
      </c>
      <c r="E5268" s="30" t="s">
        <v>60</v>
      </c>
      <c r="F5268" s="30" t="s">
        <v>61</v>
      </c>
      <c r="G5268" t="s">
        <v>62</v>
      </c>
      <c r="H5268" t="s">
        <v>63</v>
      </c>
    </row>
    <row r="5269" spans="1:8" x14ac:dyDescent="0.3">
      <c r="A5269" s="22" t="s">
        <v>64</v>
      </c>
      <c r="B5269" t="s">
        <v>67</v>
      </c>
      <c r="C5269" s="30">
        <v>22.806451612903221</v>
      </c>
      <c r="D5269" s="30">
        <v>20</v>
      </c>
      <c r="E5269" s="30">
        <v>2</v>
      </c>
      <c r="F5269" s="30">
        <v>70</v>
      </c>
      <c r="G5269">
        <v>31</v>
      </c>
      <c r="H5269">
        <v>44</v>
      </c>
    </row>
    <row r="5270" spans="1:8" x14ac:dyDescent="0.3">
      <c r="A5270" s="22" t="s">
        <v>64</v>
      </c>
      <c r="B5270" t="s">
        <v>68</v>
      </c>
      <c r="C5270" s="30">
        <v>19</v>
      </c>
      <c r="D5270" s="30">
        <v>20</v>
      </c>
      <c r="E5270" s="30">
        <v>1</v>
      </c>
      <c r="F5270" s="30">
        <v>50</v>
      </c>
      <c r="G5270">
        <v>13</v>
      </c>
      <c r="H5270">
        <v>44</v>
      </c>
    </row>
    <row r="5271" spans="1:8" x14ac:dyDescent="0.3">
      <c r="C5271" s="30"/>
      <c r="D5271" s="30"/>
      <c r="E5271" s="30"/>
      <c r="F5271" s="30"/>
    </row>
    <row r="5272" spans="1:8" ht="72" x14ac:dyDescent="0.3">
      <c r="A5272" s="22" t="s">
        <v>1194</v>
      </c>
      <c r="C5272" s="30"/>
      <c r="D5272" s="30"/>
      <c r="E5272" s="30"/>
      <c r="F5272" s="30"/>
    </row>
    <row r="5273" spans="1:8" x14ac:dyDescent="0.3">
      <c r="A5273" s="22" t="s">
        <v>57</v>
      </c>
      <c r="B5273" t="s">
        <v>66</v>
      </c>
      <c r="C5273" s="30" t="s">
        <v>58</v>
      </c>
      <c r="D5273" s="30" t="s">
        <v>59</v>
      </c>
      <c r="E5273" s="30" t="s">
        <v>60</v>
      </c>
      <c r="F5273" s="30" t="s">
        <v>61</v>
      </c>
      <c r="G5273" t="s">
        <v>62</v>
      </c>
      <c r="H5273" t="s">
        <v>63</v>
      </c>
    </row>
    <row r="5274" spans="1:8" x14ac:dyDescent="0.3">
      <c r="A5274" s="22" t="s">
        <v>64</v>
      </c>
      <c r="B5274" t="s">
        <v>67</v>
      </c>
      <c r="C5274" s="30">
        <v>22.8</v>
      </c>
      <c r="D5274" s="30">
        <v>20</v>
      </c>
      <c r="E5274" s="30">
        <v>1</v>
      </c>
      <c r="F5274" s="30">
        <v>70</v>
      </c>
      <c r="G5274">
        <v>40</v>
      </c>
      <c r="H5274">
        <v>44</v>
      </c>
    </row>
    <row r="5275" spans="1:8" x14ac:dyDescent="0.3">
      <c r="A5275" s="22" t="s">
        <v>64</v>
      </c>
      <c r="B5275" t="s">
        <v>68</v>
      </c>
      <c r="C5275" s="30">
        <v>10.5</v>
      </c>
      <c r="D5275" s="30">
        <v>10</v>
      </c>
      <c r="E5275" s="30">
        <v>2</v>
      </c>
      <c r="F5275" s="30">
        <v>20</v>
      </c>
      <c r="G5275">
        <v>4</v>
      </c>
      <c r="H5275">
        <v>44</v>
      </c>
    </row>
    <row r="5276" spans="1:8" x14ac:dyDescent="0.3">
      <c r="C5276" s="30"/>
      <c r="D5276" s="30"/>
      <c r="E5276" s="30"/>
      <c r="F5276" s="30"/>
    </row>
    <row r="5277" spans="1:8" ht="72" x14ac:dyDescent="0.3">
      <c r="A5277" s="22" t="s">
        <v>1195</v>
      </c>
      <c r="C5277" s="30"/>
      <c r="D5277" s="30"/>
      <c r="E5277" s="30"/>
      <c r="F5277" s="30"/>
    </row>
    <row r="5278" spans="1:8" x14ac:dyDescent="0.3">
      <c r="A5278" s="22" t="s">
        <v>57</v>
      </c>
      <c r="B5278" t="s">
        <v>66</v>
      </c>
      <c r="C5278" s="30" t="s">
        <v>58</v>
      </c>
      <c r="D5278" s="30" t="s">
        <v>59</v>
      </c>
      <c r="E5278" s="30" t="s">
        <v>60</v>
      </c>
      <c r="F5278" s="30" t="s">
        <v>61</v>
      </c>
      <c r="G5278" t="s">
        <v>62</v>
      </c>
      <c r="H5278" t="s">
        <v>63</v>
      </c>
    </row>
    <row r="5279" spans="1:8" x14ac:dyDescent="0.3">
      <c r="A5279" s="22" t="s">
        <v>64</v>
      </c>
      <c r="B5279" t="s">
        <v>67</v>
      </c>
      <c r="C5279" s="30">
        <v>21.68181818181818</v>
      </c>
      <c r="D5279" s="30">
        <v>20</v>
      </c>
      <c r="E5279" s="30">
        <v>1</v>
      </c>
      <c r="F5279" s="30">
        <v>70</v>
      </c>
      <c r="G5279">
        <v>44</v>
      </c>
      <c r="H5279">
        <v>44</v>
      </c>
    </row>
    <row r="5280" spans="1:8" x14ac:dyDescent="0.3">
      <c r="C5280" s="30"/>
      <c r="D5280" s="30"/>
      <c r="E5280" s="30"/>
      <c r="F5280" s="30"/>
    </row>
    <row r="5281" spans="1:8" ht="57.6" x14ac:dyDescent="0.3">
      <c r="A5281" s="22" t="s">
        <v>1196</v>
      </c>
      <c r="C5281" s="30"/>
      <c r="D5281" s="30"/>
      <c r="E5281" s="30"/>
      <c r="F5281" s="30"/>
    </row>
    <row r="5282" spans="1:8" x14ac:dyDescent="0.3">
      <c r="A5282" s="22" t="s">
        <v>57</v>
      </c>
      <c r="B5282" t="s">
        <v>66</v>
      </c>
      <c r="C5282" s="30" t="s">
        <v>58</v>
      </c>
      <c r="D5282" s="30" t="s">
        <v>59</v>
      </c>
      <c r="E5282" s="30" t="s">
        <v>60</v>
      </c>
      <c r="F5282" s="30" t="s">
        <v>61</v>
      </c>
      <c r="G5282" t="s">
        <v>62</v>
      </c>
      <c r="H5282" t="s">
        <v>63</v>
      </c>
    </row>
    <row r="5283" spans="1:8" x14ac:dyDescent="0.3">
      <c r="A5283" s="22" t="s">
        <v>64</v>
      </c>
      <c r="B5283" t="s">
        <v>67</v>
      </c>
      <c r="C5283" s="30">
        <v>23.620689655172409</v>
      </c>
      <c r="D5283" s="30">
        <v>20</v>
      </c>
      <c r="E5283" s="30">
        <v>1</v>
      </c>
      <c r="F5283" s="30">
        <v>70</v>
      </c>
      <c r="G5283">
        <v>29</v>
      </c>
      <c r="H5283">
        <v>44</v>
      </c>
    </row>
    <row r="5284" spans="1:8" x14ac:dyDescent="0.3">
      <c r="A5284" s="22" t="s">
        <v>64</v>
      </c>
      <c r="B5284" t="s">
        <v>68</v>
      </c>
      <c r="C5284" s="30">
        <v>17.93333333333333</v>
      </c>
      <c r="D5284" s="30">
        <v>15</v>
      </c>
      <c r="E5284" s="30">
        <v>1</v>
      </c>
      <c r="F5284" s="30">
        <v>50</v>
      </c>
      <c r="G5284">
        <v>15</v>
      </c>
      <c r="H5284">
        <v>44</v>
      </c>
    </row>
    <row r="5285" spans="1:8" x14ac:dyDescent="0.3">
      <c r="C5285" s="30"/>
      <c r="D5285" s="30"/>
      <c r="E5285" s="30"/>
      <c r="F5285" s="30"/>
    </row>
    <row r="5286" spans="1:8" ht="57.6" x14ac:dyDescent="0.3">
      <c r="A5286" s="22" t="s">
        <v>1197</v>
      </c>
      <c r="C5286" s="30"/>
      <c r="D5286" s="30"/>
      <c r="E5286" s="30"/>
      <c r="F5286" s="30"/>
    </row>
    <row r="5287" spans="1:8" x14ac:dyDescent="0.3">
      <c r="A5287" s="22" t="s">
        <v>57</v>
      </c>
      <c r="B5287" t="s">
        <v>66</v>
      </c>
      <c r="C5287" s="30" t="s">
        <v>58</v>
      </c>
      <c r="D5287" s="30" t="s">
        <v>59</v>
      </c>
      <c r="E5287" s="30" t="s">
        <v>60</v>
      </c>
      <c r="F5287" s="30" t="s">
        <v>61</v>
      </c>
      <c r="G5287" t="s">
        <v>62</v>
      </c>
      <c r="H5287" t="s">
        <v>63</v>
      </c>
    </row>
    <row r="5288" spans="1:8" x14ac:dyDescent="0.3">
      <c r="A5288" s="22" t="s">
        <v>64</v>
      </c>
      <c r="B5288" t="s">
        <v>67</v>
      </c>
      <c r="C5288" s="30">
        <v>22.333333333333329</v>
      </c>
      <c r="D5288" s="30">
        <v>20</v>
      </c>
      <c r="E5288" s="30">
        <v>1</v>
      </c>
      <c r="F5288" s="30">
        <v>70</v>
      </c>
      <c r="G5288">
        <v>42</v>
      </c>
      <c r="H5288">
        <v>44</v>
      </c>
    </row>
    <row r="5289" spans="1:8" x14ac:dyDescent="0.3">
      <c r="A5289" s="22" t="s">
        <v>64</v>
      </c>
      <c r="B5289" t="s">
        <v>68</v>
      </c>
      <c r="C5289" s="30">
        <v>8</v>
      </c>
      <c r="D5289" s="30">
        <v>6</v>
      </c>
      <c r="E5289" s="30">
        <v>6</v>
      </c>
      <c r="F5289" s="30">
        <v>10</v>
      </c>
      <c r="G5289">
        <v>2</v>
      </c>
      <c r="H5289">
        <v>44</v>
      </c>
    </row>
    <row r="5290" spans="1:8" x14ac:dyDescent="0.3">
      <c r="C5290" s="30"/>
      <c r="D5290" s="30"/>
      <c r="E5290" s="30"/>
      <c r="F5290" s="30"/>
    </row>
    <row r="5291" spans="1:8" ht="43.2" x14ac:dyDescent="0.3">
      <c r="A5291" s="27" t="s">
        <v>1198</v>
      </c>
      <c r="C5291" s="30"/>
      <c r="D5291" s="30"/>
      <c r="E5291" s="30"/>
      <c r="F5291" s="30"/>
    </row>
    <row r="5292" spans="1:8" x14ac:dyDescent="0.3">
      <c r="A5292" s="22" t="s">
        <v>57</v>
      </c>
      <c r="B5292" t="s">
        <v>66</v>
      </c>
      <c r="C5292" s="30" t="s">
        <v>58</v>
      </c>
      <c r="D5292" s="30" t="s">
        <v>59</v>
      </c>
      <c r="E5292" s="30" t="s">
        <v>60</v>
      </c>
      <c r="F5292" s="30" t="s">
        <v>61</v>
      </c>
      <c r="G5292" t="s">
        <v>62</v>
      </c>
      <c r="H5292" t="s">
        <v>63</v>
      </c>
    </row>
    <row r="5293" spans="1:8" x14ac:dyDescent="0.3">
      <c r="A5293" s="22" t="s">
        <v>64</v>
      </c>
      <c r="B5293" t="s">
        <v>81</v>
      </c>
      <c r="C5293" s="30">
        <v>28.3</v>
      </c>
      <c r="D5293" s="30">
        <v>20</v>
      </c>
      <c r="E5293" s="30">
        <v>5</v>
      </c>
      <c r="F5293" s="30">
        <v>70</v>
      </c>
      <c r="G5293">
        <v>10</v>
      </c>
      <c r="H5293">
        <v>44</v>
      </c>
    </row>
    <row r="5294" spans="1:8" x14ac:dyDescent="0.3">
      <c r="A5294" s="22" t="s">
        <v>64</v>
      </c>
      <c r="B5294" t="s">
        <v>82</v>
      </c>
      <c r="C5294" s="30">
        <v>22.5</v>
      </c>
      <c r="D5294" s="30">
        <v>20</v>
      </c>
      <c r="E5294" s="30">
        <v>10</v>
      </c>
      <c r="F5294" s="30">
        <v>50</v>
      </c>
      <c r="G5294">
        <v>14</v>
      </c>
      <c r="H5294">
        <v>44</v>
      </c>
    </row>
    <row r="5295" spans="1:8" x14ac:dyDescent="0.3">
      <c r="A5295" s="22" t="s">
        <v>64</v>
      </c>
      <c r="B5295" t="s">
        <v>83</v>
      </c>
      <c r="C5295" s="30">
        <v>21.4</v>
      </c>
      <c r="D5295" s="30">
        <v>20</v>
      </c>
      <c r="E5295" s="30">
        <v>1</v>
      </c>
      <c r="F5295" s="30">
        <v>50</v>
      </c>
      <c r="G5295">
        <v>10</v>
      </c>
      <c r="H5295">
        <v>44</v>
      </c>
    </row>
    <row r="5296" spans="1:8" x14ac:dyDescent="0.3">
      <c r="A5296" s="22" t="s">
        <v>64</v>
      </c>
      <c r="B5296" t="s">
        <v>84</v>
      </c>
      <c r="C5296" s="30">
        <v>14.2</v>
      </c>
      <c r="D5296" s="30">
        <v>10</v>
      </c>
      <c r="E5296" s="30">
        <v>1</v>
      </c>
      <c r="F5296" s="30">
        <v>40</v>
      </c>
      <c r="G5296">
        <v>10</v>
      </c>
      <c r="H5296">
        <v>44</v>
      </c>
    </row>
    <row r="5297" spans="1:8" x14ac:dyDescent="0.3">
      <c r="C5297" s="30"/>
      <c r="D5297" s="30"/>
      <c r="E5297" s="30"/>
      <c r="F5297" s="30"/>
    </row>
    <row r="5298" spans="1:8" ht="28.8" x14ac:dyDescent="0.3">
      <c r="A5298" s="27" t="s">
        <v>1199</v>
      </c>
      <c r="C5298" s="30"/>
      <c r="D5298" s="30"/>
      <c r="E5298" s="30"/>
      <c r="F5298" s="30"/>
    </row>
    <row r="5299" spans="1:8" x14ac:dyDescent="0.3">
      <c r="A5299" s="22" t="s">
        <v>57</v>
      </c>
      <c r="B5299" t="s">
        <v>58</v>
      </c>
      <c r="C5299" s="30" t="s">
        <v>59</v>
      </c>
      <c r="D5299" s="30" t="s">
        <v>60</v>
      </c>
      <c r="E5299" s="30" t="s">
        <v>61</v>
      </c>
      <c r="F5299" s="30" t="s">
        <v>62</v>
      </c>
      <c r="G5299" t="s">
        <v>63</v>
      </c>
    </row>
    <row r="5300" spans="1:8" x14ac:dyDescent="0.3">
      <c r="A5300" s="22" t="s">
        <v>64</v>
      </c>
      <c r="B5300" s="25">
        <v>47.981481481481481</v>
      </c>
      <c r="C5300" s="30">
        <v>40</v>
      </c>
      <c r="D5300" s="30">
        <v>3</v>
      </c>
      <c r="E5300" s="30">
        <v>100</v>
      </c>
      <c r="F5300" s="30">
        <v>54</v>
      </c>
      <c r="G5300">
        <v>54</v>
      </c>
    </row>
    <row r="5301" spans="1:8" x14ac:dyDescent="0.3">
      <c r="C5301" s="30"/>
      <c r="D5301" s="30"/>
      <c r="E5301" s="30"/>
      <c r="F5301" s="30"/>
    </row>
    <row r="5302" spans="1:8" ht="57.6" x14ac:dyDescent="0.3">
      <c r="A5302" s="22" t="s">
        <v>1200</v>
      </c>
      <c r="C5302" s="30"/>
      <c r="D5302" s="30"/>
      <c r="E5302" s="30"/>
      <c r="F5302" s="30"/>
    </row>
    <row r="5303" spans="1:8" x14ac:dyDescent="0.3">
      <c r="A5303" s="22" t="s">
        <v>57</v>
      </c>
      <c r="B5303" t="s">
        <v>66</v>
      </c>
      <c r="C5303" s="30" t="s">
        <v>58</v>
      </c>
      <c r="D5303" s="30" t="s">
        <v>59</v>
      </c>
      <c r="E5303" s="30" t="s">
        <v>60</v>
      </c>
      <c r="F5303" s="30" t="s">
        <v>61</v>
      </c>
      <c r="G5303" t="s">
        <v>62</v>
      </c>
      <c r="H5303" t="s">
        <v>63</v>
      </c>
    </row>
    <row r="5304" spans="1:8" x14ac:dyDescent="0.3">
      <c r="A5304" s="22" t="s">
        <v>64</v>
      </c>
      <c r="B5304" t="s">
        <v>67</v>
      </c>
      <c r="C5304" s="30">
        <v>48.769230769230766</v>
      </c>
      <c r="D5304" s="30">
        <v>50</v>
      </c>
      <c r="E5304" s="30">
        <v>3</v>
      </c>
      <c r="F5304" s="30">
        <v>100</v>
      </c>
      <c r="G5304">
        <v>52</v>
      </c>
      <c r="H5304">
        <v>54</v>
      </c>
    </row>
    <row r="5305" spans="1:8" x14ac:dyDescent="0.3">
      <c r="A5305" s="22" t="s">
        <v>64</v>
      </c>
      <c r="B5305" t="s">
        <v>68</v>
      </c>
      <c r="C5305" s="30">
        <v>27.5</v>
      </c>
      <c r="D5305" s="30">
        <v>15</v>
      </c>
      <c r="E5305" s="30">
        <v>15</v>
      </c>
      <c r="F5305" s="30">
        <v>40</v>
      </c>
      <c r="G5305">
        <v>2</v>
      </c>
      <c r="H5305">
        <v>54</v>
      </c>
    </row>
    <row r="5306" spans="1:8" x14ac:dyDescent="0.3">
      <c r="C5306" s="30"/>
      <c r="D5306" s="30"/>
      <c r="E5306" s="30"/>
      <c r="F5306" s="30"/>
    </row>
    <row r="5307" spans="1:8" x14ac:dyDescent="0.3">
      <c r="A5307"/>
      <c r="C5307" s="30"/>
      <c r="D5307" s="30"/>
      <c r="E5307" s="30"/>
      <c r="F5307" s="30"/>
    </row>
    <row r="5308" spans="1:8" x14ac:dyDescent="0.3">
      <c r="A5308"/>
      <c r="C5308" s="30"/>
      <c r="D5308" s="30"/>
      <c r="E5308" s="30"/>
      <c r="F5308" s="30"/>
    </row>
    <row r="5309" spans="1:8" x14ac:dyDescent="0.3">
      <c r="A5309"/>
      <c r="C5309" s="30"/>
      <c r="D5309" s="30"/>
      <c r="E5309" s="30"/>
      <c r="F5309" s="30"/>
    </row>
    <row r="5310" spans="1:8" x14ac:dyDescent="0.3">
      <c r="C5310" s="30"/>
      <c r="D5310" s="30"/>
      <c r="E5310" s="30"/>
      <c r="F5310" s="30"/>
    </row>
    <row r="5311" spans="1:8" ht="57.6" x14ac:dyDescent="0.3">
      <c r="A5311" s="22" t="s">
        <v>1201</v>
      </c>
      <c r="C5311" s="30"/>
      <c r="D5311" s="30"/>
      <c r="E5311" s="30"/>
      <c r="F5311" s="30"/>
    </row>
    <row r="5312" spans="1:8" x14ac:dyDescent="0.3">
      <c r="A5312" s="22" t="s">
        <v>57</v>
      </c>
      <c r="B5312" t="s">
        <v>66</v>
      </c>
      <c r="C5312" s="30" t="s">
        <v>58</v>
      </c>
      <c r="D5312" s="30" t="s">
        <v>59</v>
      </c>
      <c r="E5312" s="30" t="s">
        <v>60</v>
      </c>
      <c r="F5312" s="30" t="s">
        <v>61</v>
      </c>
      <c r="G5312" t="s">
        <v>62</v>
      </c>
      <c r="H5312" t="s">
        <v>63</v>
      </c>
    </row>
    <row r="5313" spans="1:8" x14ac:dyDescent="0.3">
      <c r="A5313" s="22" t="s">
        <v>64</v>
      </c>
      <c r="B5313" t="s">
        <v>67</v>
      </c>
      <c r="C5313" s="30">
        <v>48.843137254901961</v>
      </c>
      <c r="D5313" s="30">
        <v>50</v>
      </c>
      <c r="E5313" s="30">
        <v>3</v>
      </c>
      <c r="F5313" s="30">
        <v>100</v>
      </c>
      <c r="G5313">
        <v>51</v>
      </c>
      <c r="H5313">
        <v>54</v>
      </c>
    </row>
    <row r="5314" spans="1:8" x14ac:dyDescent="0.3">
      <c r="A5314" s="22" t="s">
        <v>64</v>
      </c>
      <c r="B5314" t="s">
        <v>68</v>
      </c>
      <c r="C5314" s="30">
        <v>33.333333333333343</v>
      </c>
      <c r="D5314" s="30">
        <v>50</v>
      </c>
      <c r="E5314" s="30">
        <v>20</v>
      </c>
      <c r="F5314" s="30">
        <v>50</v>
      </c>
      <c r="G5314">
        <v>3</v>
      </c>
      <c r="H5314">
        <v>54</v>
      </c>
    </row>
    <row r="5315" spans="1:8" x14ac:dyDescent="0.3">
      <c r="C5315" s="30"/>
      <c r="D5315" s="30"/>
      <c r="E5315" s="30"/>
      <c r="F5315" s="30"/>
    </row>
    <row r="5316" spans="1:8" ht="57.6" x14ac:dyDescent="0.3">
      <c r="A5316" s="22" t="s">
        <v>1202</v>
      </c>
      <c r="C5316" s="30"/>
      <c r="D5316" s="30"/>
      <c r="E5316" s="30"/>
      <c r="F5316" s="30"/>
    </row>
    <row r="5317" spans="1:8" x14ac:dyDescent="0.3">
      <c r="A5317" s="22" t="s">
        <v>57</v>
      </c>
      <c r="B5317" t="s">
        <v>66</v>
      </c>
      <c r="C5317" s="30" t="s">
        <v>58</v>
      </c>
      <c r="D5317" s="30" t="s">
        <v>59</v>
      </c>
      <c r="E5317" s="30" t="s">
        <v>60</v>
      </c>
      <c r="F5317" s="30" t="s">
        <v>61</v>
      </c>
      <c r="G5317" t="s">
        <v>62</v>
      </c>
      <c r="H5317" t="s">
        <v>63</v>
      </c>
    </row>
    <row r="5318" spans="1:8" x14ac:dyDescent="0.3">
      <c r="A5318" s="22" t="s">
        <v>64</v>
      </c>
      <c r="B5318" t="s">
        <v>67</v>
      </c>
      <c r="C5318" s="30">
        <v>47.754716981132077</v>
      </c>
      <c r="D5318" s="30">
        <v>50</v>
      </c>
      <c r="E5318" s="30">
        <v>3</v>
      </c>
      <c r="F5318" s="30">
        <v>100</v>
      </c>
      <c r="G5318">
        <v>53</v>
      </c>
      <c r="H5318">
        <v>54</v>
      </c>
    </row>
    <row r="5319" spans="1:8" x14ac:dyDescent="0.3">
      <c r="A5319" s="22" t="s">
        <v>64</v>
      </c>
      <c r="B5319" t="s">
        <v>68</v>
      </c>
      <c r="C5319" s="30">
        <v>60</v>
      </c>
      <c r="D5319" s="30">
        <v>60</v>
      </c>
      <c r="E5319" s="30">
        <v>60</v>
      </c>
      <c r="F5319" s="30">
        <v>60</v>
      </c>
      <c r="G5319">
        <v>1</v>
      </c>
      <c r="H5319">
        <v>54</v>
      </c>
    </row>
    <row r="5320" spans="1:8" x14ac:dyDescent="0.3">
      <c r="C5320" s="30"/>
      <c r="D5320" s="30"/>
      <c r="E5320" s="30"/>
      <c r="F5320" s="30"/>
    </row>
    <row r="5321" spans="1:8" ht="57.6" x14ac:dyDescent="0.3">
      <c r="A5321" s="22" t="s">
        <v>1203</v>
      </c>
      <c r="C5321" s="30"/>
      <c r="D5321" s="30"/>
      <c r="E5321" s="30"/>
      <c r="F5321" s="30"/>
    </row>
    <row r="5322" spans="1:8" x14ac:dyDescent="0.3">
      <c r="A5322" s="22" t="s">
        <v>57</v>
      </c>
      <c r="B5322" t="s">
        <v>66</v>
      </c>
      <c r="C5322" s="30" t="s">
        <v>58</v>
      </c>
      <c r="D5322" s="30" t="s">
        <v>59</v>
      </c>
      <c r="E5322" s="30" t="s">
        <v>60</v>
      </c>
      <c r="F5322" s="30" t="s">
        <v>61</v>
      </c>
      <c r="G5322" t="s">
        <v>62</v>
      </c>
      <c r="H5322" t="s">
        <v>63</v>
      </c>
    </row>
    <row r="5323" spans="1:8" x14ac:dyDescent="0.3">
      <c r="A5323" s="22" t="s">
        <v>64</v>
      </c>
      <c r="B5323" t="s">
        <v>67</v>
      </c>
      <c r="C5323" s="30">
        <v>49.057692307692307</v>
      </c>
      <c r="D5323" s="30">
        <v>50</v>
      </c>
      <c r="E5323" s="30">
        <v>3</v>
      </c>
      <c r="F5323" s="30">
        <v>100</v>
      </c>
      <c r="G5323">
        <v>52</v>
      </c>
      <c r="H5323">
        <v>54</v>
      </c>
    </row>
    <row r="5324" spans="1:8" x14ac:dyDescent="0.3">
      <c r="A5324" s="22" t="s">
        <v>64</v>
      </c>
      <c r="B5324" t="s">
        <v>68</v>
      </c>
      <c r="C5324" s="30">
        <v>20</v>
      </c>
      <c r="D5324" s="30">
        <v>15</v>
      </c>
      <c r="E5324" s="30">
        <v>15</v>
      </c>
      <c r="F5324" s="30">
        <v>25</v>
      </c>
      <c r="G5324">
        <v>2</v>
      </c>
      <c r="H5324">
        <v>54</v>
      </c>
    </row>
    <row r="5325" spans="1:8" x14ac:dyDescent="0.3">
      <c r="C5325" s="30"/>
      <c r="D5325" s="30"/>
      <c r="E5325" s="30"/>
      <c r="F5325" s="30"/>
    </row>
    <row r="5326" spans="1:8" ht="57.6" x14ac:dyDescent="0.3">
      <c r="A5326" s="22" t="s">
        <v>1204</v>
      </c>
      <c r="C5326" s="30"/>
      <c r="D5326" s="30"/>
      <c r="E5326" s="30"/>
      <c r="F5326" s="30"/>
    </row>
    <row r="5327" spans="1:8" x14ac:dyDescent="0.3">
      <c r="A5327" s="22" t="s">
        <v>57</v>
      </c>
      <c r="B5327" t="s">
        <v>66</v>
      </c>
      <c r="C5327" s="30" t="s">
        <v>58</v>
      </c>
      <c r="D5327" s="30" t="s">
        <v>59</v>
      </c>
      <c r="E5327" s="30" t="s">
        <v>60</v>
      </c>
      <c r="F5327" s="30" t="s">
        <v>61</v>
      </c>
      <c r="G5327" t="s">
        <v>62</v>
      </c>
      <c r="H5327" t="s">
        <v>63</v>
      </c>
    </row>
    <row r="5328" spans="1:8" x14ac:dyDescent="0.3">
      <c r="A5328" s="22" t="s">
        <v>64</v>
      </c>
      <c r="B5328" t="s">
        <v>67</v>
      </c>
      <c r="C5328" s="30">
        <v>42.5</v>
      </c>
      <c r="D5328" s="30">
        <v>15</v>
      </c>
      <c r="E5328" s="30">
        <v>15</v>
      </c>
      <c r="F5328" s="30">
        <v>70</v>
      </c>
      <c r="G5328">
        <v>2</v>
      </c>
      <c r="H5328">
        <v>54</v>
      </c>
    </row>
    <row r="5329" spans="1:8" x14ac:dyDescent="0.3">
      <c r="A5329" s="22" t="s">
        <v>64</v>
      </c>
      <c r="B5329" t="s">
        <v>68</v>
      </c>
      <c r="C5329" s="30">
        <v>48.192307692307693</v>
      </c>
      <c r="D5329" s="30">
        <v>40</v>
      </c>
      <c r="E5329" s="30">
        <v>3</v>
      </c>
      <c r="F5329" s="30">
        <v>100</v>
      </c>
      <c r="G5329">
        <v>52</v>
      </c>
      <c r="H5329">
        <v>54</v>
      </c>
    </row>
    <row r="5330" spans="1:8" x14ac:dyDescent="0.3">
      <c r="C5330" s="30"/>
      <c r="D5330" s="30"/>
      <c r="E5330" s="30"/>
      <c r="F5330" s="30"/>
    </row>
    <row r="5331" spans="1:8" ht="57.6" x14ac:dyDescent="0.3">
      <c r="A5331" s="22" t="s">
        <v>1205</v>
      </c>
      <c r="C5331" s="30"/>
      <c r="D5331" s="30"/>
      <c r="E5331" s="30"/>
      <c r="F5331" s="30"/>
    </row>
    <row r="5332" spans="1:8" x14ac:dyDescent="0.3">
      <c r="A5332" s="22" t="s">
        <v>57</v>
      </c>
      <c r="B5332" t="s">
        <v>66</v>
      </c>
      <c r="C5332" s="30" t="s">
        <v>58</v>
      </c>
      <c r="D5332" s="30" t="s">
        <v>59</v>
      </c>
      <c r="E5332" s="30" t="s">
        <v>60</v>
      </c>
      <c r="F5332" s="30" t="s">
        <v>61</v>
      </c>
      <c r="G5332" t="s">
        <v>62</v>
      </c>
      <c r="H5332" t="s">
        <v>63</v>
      </c>
    </row>
    <row r="5333" spans="1:8" x14ac:dyDescent="0.3">
      <c r="A5333" s="22" t="s">
        <v>64</v>
      </c>
      <c r="B5333" t="s">
        <v>67</v>
      </c>
      <c r="C5333" s="30">
        <v>49.260869565217391</v>
      </c>
      <c r="D5333" s="30">
        <v>50</v>
      </c>
      <c r="E5333" s="30">
        <v>3</v>
      </c>
      <c r="F5333" s="30">
        <v>100</v>
      </c>
      <c r="G5333">
        <v>46</v>
      </c>
      <c r="H5333">
        <v>54</v>
      </c>
    </row>
    <row r="5334" spans="1:8" x14ac:dyDescent="0.3">
      <c r="A5334" s="22" t="s">
        <v>64</v>
      </c>
      <c r="B5334" t="s">
        <v>68</v>
      </c>
      <c r="C5334" s="30">
        <v>40.625</v>
      </c>
      <c r="D5334" s="30">
        <v>35</v>
      </c>
      <c r="E5334" s="30">
        <v>20</v>
      </c>
      <c r="F5334" s="30">
        <v>70</v>
      </c>
      <c r="G5334">
        <v>8</v>
      </c>
      <c r="H5334">
        <v>54</v>
      </c>
    </row>
    <row r="5335" spans="1:8" x14ac:dyDescent="0.3">
      <c r="C5335" s="30"/>
      <c r="D5335" s="30"/>
      <c r="E5335" s="30"/>
      <c r="F5335" s="30"/>
    </row>
    <row r="5336" spans="1:8" ht="57.6" x14ac:dyDescent="0.3">
      <c r="A5336" s="22" t="s">
        <v>1206</v>
      </c>
      <c r="C5336" s="30"/>
      <c r="D5336" s="30"/>
      <c r="E5336" s="30"/>
      <c r="F5336" s="30"/>
    </row>
    <row r="5337" spans="1:8" x14ac:dyDescent="0.3">
      <c r="A5337" s="22" t="s">
        <v>57</v>
      </c>
      <c r="B5337" t="s">
        <v>66</v>
      </c>
      <c r="C5337" s="30" t="s">
        <v>58</v>
      </c>
      <c r="D5337" s="30" t="s">
        <v>59</v>
      </c>
      <c r="E5337" s="30" t="s">
        <v>60</v>
      </c>
      <c r="F5337" s="30" t="s">
        <v>61</v>
      </c>
      <c r="G5337" t="s">
        <v>62</v>
      </c>
      <c r="H5337" t="s">
        <v>63</v>
      </c>
    </row>
    <row r="5338" spans="1:8" x14ac:dyDescent="0.3">
      <c r="A5338" s="22" t="s">
        <v>64</v>
      </c>
      <c r="B5338" t="s">
        <v>67</v>
      </c>
      <c r="C5338" s="30">
        <v>47.911111111111111</v>
      </c>
      <c r="D5338" s="30">
        <v>40</v>
      </c>
      <c r="E5338" s="30">
        <v>3</v>
      </c>
      <c r="F5338" s="30">
        <v>100</v>
      </c>
      <c r="G5338">
        <v>45</v>
      </c>
      <c r="H5338">
        <v>54</v>
      </c>
    </row>
    <row r="5339" spans="1:8" x14ac:dyDescent="0.3">
      <c r="A5339" s="22" t="s">
        <v>64</v>
      </c>
      <c r="B5339" t="s">
        <v>68</v>
      </c>
      <c r="C5339" s="30">
        <v>48.333333333333343</v>
      </c>
      <c r="D5339" s="30">
        <v>50</v>
      </c>
      <c r="E5339" s="30">
        <v>20</v>
      </c>
      <c r="F5339" s="30">
        <v>75</v>
      </c>
      <c r="G5339">
        <v>9</v>
      </c>
      <c r="H5339">
        <v>54</v>
      </c>
    </row>
    <row r="5340" spans="1:8" x14ac:dyDescent="0.3">
      <c r="C5340" s="30"/>
      <c r="D5340" s="30"/>
      <c r="E5340" s="30"/>
      <c r="F5340" s="30"/>
    </row>
    <row r="5341" spans="1:8" ht="57.6" x14ac:dyDescent="0.3">
      <c r="A5341" s="22" t="s">
        <v>1207</v>
      </c>
      <c r="C5341" s="30"/>
      <c r="D5341" s="30"/>
      <c r="E5341" s="30"/>
      <c r="F5341" s="30"/>
    </row>
    <row r="5342" spans="1:8" x14ac:dyDescent="0.3">
      <c r="A5342" s="22" t="s">
        <v>57</v>
      </c>
      <c r="B5342" t="s">
        <v>66</v>
      </c>
      <c r="C5342" s="30" t="s">
        <v>58</v>
      </c>
      <c r="D5342" s="30" t="s">
        <v>59</v>
      </c>
      <c r="E5342" s="30" t="s">
        <v>60</v>
      </c>
      <c r="F5342" s="30" t="s">
        <v>61</v>
      </c>
      <c r="G5342" t="s">
        <v>62</v>
      </c>
      <c r="H5342" t="s">
        <v>63</v>
      </c>
    </row>
    <row r="5343" spans="1:8" x14ac:dyDescent="0.3">
      <c r="A5343" s="22" t="s">
        <v>64</v>
      </c>
      <c r="B5343" t="s">
        <v>67</v>
      </c>
      <c r="C5343" s="30">
        <v>49.476190476190467</v>
      </c>
      <c r="D5343" s="30">
        <v>40</v>
      </c>
      <c r="E5343" s="30">
        <v>8</v>
      </c>
      <c r="F5343" s="30">
        <v>100</v>
      </c>
      <c r="G5343">
        <v>42</v>
      </c>
      <c r="H5343">
        <v>54</v>
      </c>
    </row>
    <row r="5344" spans="1:8" x14ac:dyDescent="0.3">
      <c r="A5344" s="22" t="s">
        <v>64</v>
      </c>
      <c r="B5344" t="s">
        <v>68</v>
      </c>
      <c r="C5344" s="30">
        <v>42.75</v>
      </c>
      <c r="D5344" s="30">
        <v>30</v>
      </c>
      <c r="E5344" s="30">
        <v>3</v>
      </c>
      <c r="F5344" s="30">
        <v>100</v>
      </c>
      <c r="G5344">
        <v>12</v>
      </c>
      <c r="H5344">
        <v>54</v>
      </c>
    </row>
    <row r="5345" spans="1:8" x14ac:dyDescent="0.3">
      <c r="C5345" s="30"/>
      <c r="D5345" s="30"/>
      <c r="E5345" s="30"/>
      <c r="F5345" s="30"/>
    </row>
    <row r="5346" spans="1:8" ht="72" x14ac:dyDescent="0.3">
      <c r="A5346" s="22" t="s">
        <v>1208</v>
      </c>
      <c r="C5346" s="30"/>
      <c r="D5346" s="30"/>
      <c r="E5346" s="30"/>
      <c r="F5346" s="30"/>
    </row>
    <row r="5347" spans="1:8" x14ac:dyDescent="0.3">
      <c r="A5347" s="22" t="s">
        <v>57</v>
      </c>
      <c r="B5347" t="s">
        <v>66</v>
      </c>
      <c r="C5347" s="30" t="s">
        <v>58</v>
      </c>
      <c r="D5347" s="30" t="s">
        <v>59</v>
      </c>
      <c r="E5347" s="30" t="s">
        <v>60</v>
      </c>
      <c r="F5347" s="30" t="s">
        <v>61</v>
      </c>
      <c r="G5347" t="s">
        <v>62</v>
      </c>
      <c r="H5347" t="s">
        <v>63</v>
      </c>
    </row>
    <row r="5348" spans="1:8" x14ac:dyDescent="0.3">
      <c r="A5348" s="22" t="s">
        <v>64</v>
      </c>
      <c r="B5348" t="s">
        <v>67</v>
      </c>
      <c r="C5348" s="30">
        <v>49.808510638297882</v>
      </c>
      <c r="D5348" s="30">
        <v>50</v>
      </c>
      <c r="E5348" s="30">
        <v>3</v>
      </c>
      <c r="F5348" s="30">
        <v>100</v>
      </c>
      <c r="G5348">
        <v>47</v>
      </c>
      <c r="H5348">
        <v>54</v>
      </c>
    </row>
    <row r="5349" spans="1:8" x14ac:dyDescent="0.3">
      <c r="A5349" s="22" t="s">
        <v>64</v>
      </c>
      <c r="B5349" t="s">
        <v>68</v>
      </c>
      <c r="C5349" s="30">
        <v>35.714285714285722</v>
      </c>
      <c r="D5349" s="30">
        <v>50</v>
      </c>
      <c r="E5349" s="30">
        <v>10</v>
      </c>
      <c r="F5349" s="30">
        <v>70</v>
      </c>
      <c r="G5349">
        <v>7</v>
      </c>
      <c r="H5349">
        <v>54</v>
      </c>
    </row>
    <row r="5350" spans="1:8" x14ac:dyDescent="0.3">
      <c r="C5350" s="30"/>
      <c r="D5350" s="30"/>
      <c r="E5350" s="30"/>
      <c r="F5350" s="30"/>
    </row>
    <row r="5351" spans="1:8" ht="72" x14ac:dyDescent="0.3">
      <c r="A5351" s="22" t="s">
        <v>1209</v>
      </c>
      <c r="C5351" s="30"/>
      <c r="D5351" s="30"/>
      <c r="E5351" s="30"/>
      <c r="F5351" s="30"/>
    </row>
    <row r="5352" spans="1:8" x14ac:dyDescent="0.3">
      <c r="A5352" s="22" t="s">
        <v>57</v>
      </c>
      <c r="B5352" t="s">
        <v>66</v>
      </c>
      <c r="C5352" s="30" t="s">
        <v>58</v>
      </c>
      <c r="D5352" s="30" t="s">
        <v>59</v>
      </c>
      <c r="E5352" s="30" t="s">
        <v>60</v>
      </c>
      <c r="F5352" s="30" t="s">
        <v>61</v>
      </c>
      <c r="G5352" t="s">
        <v>62</v>
      </c>
      <c r="H5352" t="s">
        <v>63</v>
      </c>
    </row>
    <row r="5353" spans="1:8" x14ac:dyDescent="0.3">
      <c r="A5353" s="22" t="s">
        <v>64</v>
      </c>
      <c r="B5353" t="s">
        <v>67</v>
      </c>
      <c r="C5353" s="30">
        <v>47.981481481481481</v>
      </c>
      <c r="D5353" s="30">
        <v>40</v>
      </c>
      <c r="E5353" s="30">
        <v>3</v>
      </c>
      <c r="F5353" s="30">
        <v>100</v>
      </c>
      <c r="G5353">
        <v>54</v>
      </c>
      <c r="H5353">
        <v>54</v>
      </c>
    </row>
    <row r="5354" spans="1:8" x14ac:dyDescent="0.3">
      <c r="C5354" s="30"/>
      <c r="D5354" s="30"/>
      <c r="E5354" s="30"/>
      <c r="F5354" s="30"/>
    </row>
    <row r="5355" spans="1:8" ht="57.6" x14ac:dyDescent="0.3">
      <c r="A5355" s="22" t="s">
        <v>1210</v>
      </c>
      <c r="C5355" s="30"/>
      <c r="D5355" s="30"/>
      <c r="E5355" s="30"/>
      <c r="F5355" s="30"/>
    </row>
    <row r="5356" spans="1:8" x14ac:dyDescent="0.3">
      <c r="A5356" s="22" t="s">
        <v>57</v>
      </c>
      <c r="B5356" t="s">
        <v>66</v>
      </c>
      <c r="C5356" s="30" t="s">
        <v>58</v>
      </c>
      <c r="D5356" s="30" t="s">
        <v>59</v>
      </c>
      <c r="E5356" s="30" t="s">
        <v>60</v>
      </c>
      <c r="F5356" s="30" t="s">
        <v>61</v>
      </c>
      <c r="G5356" t="s">
        <v>62</v>
      </c>
      <c r="H5356" t="s">
        <v>63</v>
      </c>
    </row>
    <row r="5357" spans="1:8" x14ac:dyDescent="0.3">
      <c r="A5357" s="22" t="s">
        <v>64</v>
      </c>
      <c r="B5357" t="s">
        <v>67</v>
      </c>
      <c r="C5357" s="30">
        <v>52.620689655172413</v>
      </c>
      <c r="D5357" s="30">
        <v>50</v>
      </c>
      <c r="E5357" s="30">
        <v>3</v>
      </c>
      <c r="F5357" s="30">
        <v>100</v>
      </c>
      <c r="G5357">
        <v>29</v>
      </c>
      <c r="H5357">
        <v>54</v>
      </c>
    </row>
    <row r="5358" spans="1:8" x14ac:dyDescent="0.3">
      <c r="A5358" s="22" t="s">
        <v>64</v>
      </c>
      <c r="B5358" t="s">
        <v>68</v>
      </c>
      <c r="C5358" s="30">
        <v>42.6</v>
      </c>
      <c r="D5358" s="30">
        <v>50</v>
      </c>
      <c r="E5358" s="30">
        <v>10</v>
      </c>
      <c r="F5358" s="30">
        <v>100</v>
      </c>
      <c r="G5358">
        <v>25</v>
      </c>
      <c r="H5358">
        <v>54</v>
      </c>
    </row>
    <row r="5359" spans="1:8" x14ac:dyDescent="0.3">
      <c r="C5359" s="30"/>
      <c r="D5359" s="30"/>
      <c r="E5359" s="30"/>
      <c r="F5359" s="30"/>
    </row>
    <row r="5360" spans="1:8" ht="57.6" x14ac:dyDescent="0.3">
      <c r="A5360" s="22" t="s">
        <v>1211</v>
      </c>
      <c r="C5360" s="30"/>
      <c r="D5360" s="30"/>
      <c r="E5360" s="30"/>
      <c r="F5360" s="30"/>
    </row>
    <row r="5361" spans="1:8" x14ac:dyDescent="0.3">
      <c r="A5361" s="22" t="s">
        <v>57</v>
      </c>
      <c r="B5361" t="s">
        <v>66</v>
      </c>
      <c r="C5361" s="30" t="s">
        <v>58</v>
      </c>
      <c r="D5361" s="30" t="s">
        <v>59</v>
      </c>
      <c r="E5361" s="30" t="s">
        <v>60</v>
      </c>
      <c r="F5361" s="30" t="s">
        <v>61</v>
      </c>
      <c r="G5361" t="s">
        <v>62</v>
      </c>
      <c r="H5361" t="s">
        <v>63</v>
      </c>
    </row>
    <row r="5362" spans="1:8" x14ac:dyDescent="0.3">
      <c r="A5362" s="22" t="s">
        <v>64</v>
      </c>
      <c r="B5362" t="s">
        <v>67</v>
      </c>
      <c r="C5362" s="30">
        <v>45.020833333333343</v>
      </c>
      <c r="D5362" s="30">
        <v>40</v>
      </c>
      <c r="E5362" s="30">
        <v>3</v>
      </c>
      <c r="F5362" s="30">
        <v>100</v>
      </c>
      <c r="G5362">
        <v>48</v>
      </c>
      <c r="H5362">
        <v>54</v>
      </c>
    </row>
    <row r="5363" spans="1:8" x14ac:dyDescent="0.3">
      <c r="A5363" s="22" t="s">
        <v>64</v>
      </c>
      <c r="B5363" t="s">
        <v>68</v>
      </c>
      <c r="C5363" s="30">
        <v>71.666666666666671</v>
      </c>
      <c r="D5363" s="30">
        <v>60</v>
      </c>
      <c r="E5363" s="30">
        <v>20</v>
      </c>
      <c r="F5363" s="30">
        <v>100</v>
      </c>
      <c r="G5363">
        <v>6</v>
      </c>
      <c r="H5363">
        <v>54</v>
      </c>
    </row>
    <row r="5364" spans="1:8" x14ac:dyDescent="0.3">
      <c r="C5364" s="30"/>
      <c r="D5364" s="30"/>
      <c r="E5364" s="30"/>
      <c r="F5364" s="30"/>
    </row>
    <row r="5365" spans="1:8" ht="43.2" x14ac:dyDescent="0.3">
      <c r="A5365" s="27" t="s">
        <v>1212</v>
      </c>
      <c r="C5365" s="30"/>
      <c r="D5365" s="30"/>
      <c r="E5365" s="30"/>
      <c r="F5365" s="30"/>
    </row>
    <row r="5366" spans="1:8" x14ac:dyDescent="0.3">
      <c r="A5366" s="22" t="s">
        <v>57</v>
      </c>
      <c r="B5366" t="s">
        <v>66</v>
      </c>
      <c r="C5366" s="30" t="s">
        <v>58</v>
      </c>
      <c r="D5366" s="30" t="s">
        <v>59</v>
      </c>
      <c r="E5366" s="30" t="s">
        <v>60</v>
      </c>
      <c r="F5366" s="30" t="s">
        <v>61</v>
      </c>
      <c r="G5366" t="s">
        <v>62</v>
      </c>
      <c r="H5366" t="s">
        <v>63</v>
      </c>
    </row>
    <row r="5367" spans="1:8" x14ac:dyDescent="0.3">
      <c r="A5367" s="22" t="s">
        <v>64</v>
      </c>
      <c r="B5367" t="s">
        <v>81</v>
      </c>
      <c r="C5367" s="30">
        <v>38.583333333333343</v>
      </c>
      <c r="D5367" s="30">
        <v>30</v>
      </c>
      <c r="E5367" s="30">
        <v>8</v>
      </c>
      <c r="F5367" s="30">
        <v>100</v>
      </c>
      <c r="G5367">
        <v>12</v>
      </c>
      <c r="H5367">
        <v>54</v>
      </c>
    </row>
    <row r="5368" spans="1:8" x14ac:dyDescent="0.3">
      <c r="A5368" s="22" t="s">
        <v>64</v>
      </c>
      <c r="B5368" t="s">
        <v>82</v>
      </c>
      <c r="C5368" s="30">
        <v>49.230769230769234</v>
      </c>
      <c r="D5368" s="30">
        <v>50</v>
      </c>
      <c r="E5368" s="30">
        <v>10</v>
      </c>
      <c r="F5368" s="30">
        <v>100</v>
      </c>
      <c r="G5368">
        <v>13</v>
      </c>
      <c r="H5368">
        <v>54</v>
      </c>
    </row>
    <row r="5369" spans="1:8" x14ac:dyDescent="0.3">
      <c r="A5369" s="22" t="s">
        <v>64</v>
      </c>
      <c r="B5369" t="s">
        <v>83</v>
      </c>
      <c r="C5369" s="30">
        <v>56.058823529411768</v>
      </c>
      <c r="D5369" s="30">
        <v>60</v>
      </c>
      <c r="E5369" s="30">
        <v>3</v>
      </c>
      <c r="F5369" s="30">
        <v>100</v>
      </c>
      <c r="G5369">
        <v>17</v>
      </c>
      <c r="H5369">
        <v>54</v>
      </c>
    </row>
    <row r="5370" spans="1:8" x14ac:dyDescent="0.3">
      <c r="A5370" s="22" t="s">
        <v>64</v>
      </c>
      <c r="B5370" t="s">
        <v>84</v>
      </c>
      <c r="C5370" s="30">
        <v>44.583333333333343</v>
      </c>
      <c r="D5370" s="30">
        <v>50</v>
      </c>
      <c r="E5370" s="30">
        <v>10</v>
      </c>
      <c r="F5370" s="30">
        <v>100</v>
      </c>
      <c r="G5370">
        <v>12</v>
      </c>
      <c r="H5370">
        <v>54</v>
      </c>
    </row>
    <row r="5372" spans="1:8" ht="28.8" x14ac:dyDescent="0.3">
      <c r="A5372" s="27" t="s">
        <v>1213</v>
      </c>
    </row>
    <row r="5373" spans="1:8" x14ac:dyDescent="0.3">
      <c r="A5373" s="22" t="s">
        <v>57</v>
      </c>
      <c r="B5373" t="s">
        <v>58</v>
      </c>
      <c r="C5373" t="s">
        <v>59</v>
      </c>
      <c r="D5373" t="s">
        <v>60</v>
      </c>
      <c r="E5373" t="s">
        <v>61</v>
      </c>
      <c r="F5373" t="s">
        <v>62</v>
      </c>
      <c r="G5373" t="s">
        <v>63</v>
      </c>
    </row>
    <row r="5374" spans="1:8" x14ac:dyDescent="0.3">
      <c r="A5374" s="22" t="s">
        <v>64</v>
      </c>
      <c r="B5374" s="30">
        <v>9</v>
      </c>
      <c r="C5374" s="30">
        <v>8</v>
      </c>
      <c r="D5374" s="30">
        <v>8</v>
      </c>
      <c r="E5374" s="30">
        <v>10</v>
      </c>
      <c r="F5374">
        <v>2</v>
      </c>
      <c r="G5374">
        <v>2</v>
      </c>
    </row>
    <row r="5376" spans="1:8" ht="57.6" x14ac:dyDescent="0.3">
      <c r="A5376" s="22" t="s">
        <v>1214</v>
      </c>
      <c r="C5376" s="30"/>
      <c r="D5376" s="30"/>
      <c r="E5376" s="30"/>
      <c r="F5376" s="30"/>
    </row>
    <row r="5377" spans="1:8" x14ac:dyDescent="0.3">
      <c r="A5377" s="22" t="s">
        <v>57</v>
      </c>
      <c r="B5377" t="s">
        <v>66</v>
      </c>
      <c r="C5377" s="30" t="s">
        <v>58</v>
      </c>
      <c r="D5377" s="30" t="s">
        <v>59</v>
      </c>
      <c r="E5377" s="30" t="s">
        <v>60</v>
      </c>
      <c r="F5377" s="30" t="s">
        <v>61</v>
      </c>
      <c r="G5377" t="s">
        <v>62</v>
      </c>
      <c r="H5377" t="s">
        <v>63</v>
      </c>
    </row>
    <row r="5378" spans="1:8" x14ac:dyDescent="0.3">
      <c r="A5378" s="22" t="s">
        <v>64</v>
      </c>
      <c r="B5378" t="s">
        <v>67</v>
      </c>
      <c r="C5378" s="30">
        <v>9</v>
      </c>
      <c r="D5378" s="30">
        <v>8</v>
      </c>
      <c r="E5378" s="30">
        <v>8</v>
      </c>
      <c r="F5378" s="30">
        <v>10</v>
      </c>
      <c r="G5378">
        <v>2</v>
      </c>
      <c r="H5378">
        <v>2</v>
      </c>
    </row>
    <row r="5379" spans="1:8" x14ac:dyDescent="0.3">
      <c r="C5379" s="30"/>
      <c r="D5379" s="30"/>
      <c r="E5379" s="30"/>
      <c r="F5379" s="30"/>
    </row>
    <row r="5380" spans="1:8" x14ac:dyDescent="0.3">
      <c r="A5380"/>
      <c r="C5380" s="30"/>
      <c r="D5380" s="30"/>
      <c r="E5380" s="30"/>
      <c r="F5380" s="30"/>
    </row>
    <row r="5381" spans="1:8" x14ac:dyDescent="0.3">
      <c r="A5381"/>
      <c r="C5381" s="30"/>
      <c r="D5381" s="30"/>
      <c r="E5381" s="30"/>
      <c r="F5381" s="30"/>
    </row>
    <row r="5382" spans="1:8" x14ac:dyDescent="0.3">
      <c r="A5382"/>
      <c r="C5382" s="30"/>
      <c r="D5382" s="30"/>
      <c r="E5382" s="30"/>
      <c r="F5382" s="30"/>
    </row>
    <row r="5383" spans="1:8" x14ac:dyDescent="0.3">
      <c r="A5383"/>
      <c r="C5383" s="30"/>
      <c r="D5383" s="30"/>
      <c r="E5383" s="30"/>
      <c r="F5383" s="30"/>
    </row>
    <row r="5384" spans="1:8" ht="57.6" x14ac:dyDescent="0.3">
      <c r="A5384" s="22" t="s">
        <v>1215</v>
      </c>
      <c r="C5384" s="30"/>
      <c r="D5384" s="30"/>
      <c r="E5384" s="30"/>
      <c r="F5384" s="30"/>
    </row>
    <row r="5385" spans="1:8" x14ac:dyDescent="0.3">
      <c r="A5385" s="22" t="s">
        <v>57</v>
      </c>
      <c r="B5385" t="s">
        <v>66</v>
      </c>
      <c r="C5385" s="30" t="s">
        <v>58</v>
      </c>
      <c r="D5385" s="30" t="s">
        <v>59</v>
      </c>
      <c r="E5385" s="30" t="s">
        <v>60</v>
      </c>
      <c r="F5385" s="30" t="s">
        <v>61</v>
      </c>
      <c r="G5385" t="s">
        <v>62</v>
      </c>
      <c r="H5385" t="s">
        <v>63</v>
      </c>
    </row>
    <row r="5386" spans="1:8" x14ac:dyDescent="0.3">
      <c r="A5386" s="22" t="s">
        <v>64</v>
      </c>
      <c r="B5386" t="s">
        <v>67</v>
      </c>
      <c r="C5386" s="30">
        <v>9</v>
      </c>
      <c r="D5386" s="30">
        <v>8</v>
      </c>
      <c r="E5386" s="30">
        <v>8</v>
      </c>
      <c r="F5386" s="30">
        <v>10</v>
      </c>
      <c r="G5386">
        <v>2</v>
      </c>
      <c r="H5386">
        <v>2</v>
      </c>
    </row>
    <row r="5387" spans="1:8" x14ac:dyDescent="0.3">
      <c r="C5387" s="30"/>
      <c r="D5387" s="30"/>
      <c r="E5387" s="30"/>
      <c r="F5387" s="30"/>
    </row>
    <row r="5388" spans="1:8" ht="57.6" x14ac:dyDescent="0.3">
      <c r="A5388" s="22" t="s">
        <v>1216</v>
      </c>
      <c r="C5388" s="30"/>
      <c r="D5388" s="30"/>
      <c r="E5388" s="30"/>
      <c r="F5388" s="30"/>
    </row>
    <row r="5389" spans="1:8" x14ac:dyDescent="0.3">
      <c r="A5389" s="22" t="s">
        <v>57</v>
      </c>
      <c r="B5389" t="s">
        <v>66</v>
      </c>
      <c r="C5389" s="30" t="s">
        <v>58</v>
      </c>
      <c r="D5389" s="30" t="s">
        <v>59</v>
      </c>
      <c r="E5389" s="30" t="s">
        <v>60</v>
      </c>
      <c r="F5389" s="30" t="s">
        <v>61</v>
      </c>
      <c r="G5389" t="s">
        <v>62</v>
      </c>
      <c r="H5389" t="s">
        <v>63</v>
      </c>
    </row>
    <row r="5390" spans="1:8" x14ac:dyDescent="0.3">
      <c r="A5390" s="22" t="s">
        <v>64</v>
      </c>
      <c r="B5390" t="s">
        <v>67</v>
      </c>
      <c r="C5390" s="30">
        <v>9</v>
      </c>
      <c r="D5390" s="30">
        <v>8</v>
      </c>
      <c r="E5390" s="30">
        <v>8</v>
      </c>
      <c r="F5390" s="30">
        <v>10</v>
      </c>
      <c r="G5390">
        <v>2</v>
      </c>
      <c r="H5390">
        <v>2</v>
      </c>
    </row>
    <row r="5391" spans="1:8" x14ac:dyDescent="0.3">
      <c r="C5391" s="30"/>
      <c r="D5391" s="30"/>
      <c r="E5391" s="30"/>
      <c r="F5391" s="30"/>
    </row>
    <row r="5392" spans="1:8" ht="57.6" x14ac:dyDescent="0.3">
      <c r="A5392" s="22" t="s">
        <v>1217</v>
      </c>
      <c r="C5392" s="30"/>
      <c r="D5392" s="30"/>
      <c r="E5392" s="30"/>
      <c r="F5392" s="30"/>
    </row>
    <row r="5393" spans="1:8" x14ac:dyDescent="0.3">
      <c r="A5393" s="22" t="s">
        <v>57</v>
      </c>
      <c r="B5393" t="s">
        <v>66</v>
      </c>
      <c r="C5393" s="30" t="s">
        <v>58</v>
      </c>
      <c r="D5393" s="30" t="s">
        <v>59</v>
      </c>
      <c r="E5393" s="30" t="s">
        <v>60</v>
      </c>
      <c r="F5393" s="30" t="s">
        <v>61</v>
      </c>
      <c r="G5393" t="s">
        <v>62</v>
      </c>
      <c r="H5393" t="s">
        <v>63</v>
      </c>
    </row>
    <row r="5394" spans="1:8" x14ac:dyDescent="0.3">
      <c r="A5394" s="22" t="s">
        <v>64</v>
      </c>
      <c r="B5394" t="s">
        <v>67</v>
      </c>
      <c r="C5394" s="30">
        <v>9</v>
      </c>
      <c r="D5394" s="30">
        <v>8</v>
      </c>
      <c r="E5394" s="30">
        <v>8</v>
      </c>
      <c r="F5394" s="30">
        <v>10</v>
      </c>
      <c r="G5394">
        <v>2</v>
      </c>
      <c r="H5394">
        <v>2</v>
      </c>
    </row>
    <row r="5395" spans="1:8" x14ac:dyDescent="0.3">
      <c r="C5395" s="30"/>
      <c r="D5395" s="30"/>
      <c r="E5395" s="30"/>
      <c r="F5395" s="30"/>
    </row>
    <row r="5396" spans="1:8" ht="57.6" x14ac:dyDescent="0.3">
      <c r="A5396" s="22" t="s">
        <v>1218</v>
      </c>
      <c r="C5396" s="30"/>
      <c r="D5396" s="30"/>
      <c r="E5396" s="30"/>
      <c r="F5396" s="30"/>
    </row>
    <row r="5397" spans="1:8" x14ac:dyDescent="0.3">
      <c r="A5397" s="22" t="s">
        <v>57</v>
      </c>
      <c r="B5397" t="s">
        <v>66</v>
      </c>
      <c r="C5397" s="30" t="s">
        <v>58</v>
      </c>
      <c r="D5397" s="30" t="s">
        <v>59</v>
      </c>
      <c r="E5397" s="30" t="s">
        <v>60</v>
      </c>
      <c r="F5397" s="30" t="s">
        <v>61</v>
      </c>
      <c r="G5397" t="s">
        <v>62</v>
      </c>
      <c r="H5397" t="s">
        <v>63</v>
      </c>
    </row>
    <row r="5398" spans="1:8" x14ac:dyDescent="0.3">
      <c r="A5398" s="22" t="s">
        <v>64</v>
      </c>
      <c r="B5398" t="s">
        <v>68</v>
      </c>
      <c r="C5398" s="30">
        <v>9</v>
      </c>
      <c r="D5398" s="30">
        <v>8</v>
      </c>
      <c r="E5398" s="30">
        <v>8</v>
      </c>
      <c r="F5398" s="30">
        <v>10</v>
      </c>
      <c r="G5398">
        <v>2</v>
      </c>
      <c r="H5398">
        <v>2</v>
      </c>
    </row>
    <row r="5399" spans="1:8" x14ac:dyDescent="0.3">
      <c r="C5399" s="30"/>
      <c r="D5399" s="30"/>
      <c r="E5399" s="30"/>
      <c r="F5399" s="30"/>
    </row>
    <row r="5400" spans="1:8" ht="57.6" x14ac:dyDescent="0.3">
      <c r="A5400" s="22" t="s">
        <v>1219</v>
      </c>
      <c r="C5400" s="30"/>
      <c r="D5400" s="30"/>
      <c r="E5400" s="30"/>
      <c r="F5400" s="30"/>
    </row>
    <row r="5401" spans="1:8" x14ac:dyDescent="0.3">
      <c r="A5401" s="22" t="s">
        <v>57</v>
      </c>
      <c r="B5401" t="s">
        <v>66</v>
      </c>
      <c r="C5401" s="30" t="s">
        <v>58</v>
      </c>
      <c r="D5401" s="30" t="s">
        <v>59</v>
      </c>
      <c r="E5401" s="30" t="s">
        <v>60</v>
      </c>
      <c r="F5401" s="30" t="s">
        <v>61</v>
      </c>
      <c r="G5401" t="s">
        <v>62</v>
      </c>
      <c r="H5401" t="s">
        <v>63</v>
      </c>
    </row>
    <row r="5402" spans="1:8" x14ac:dyDescent="0.3">
      <c r="A5402" s="22" t="s">
        <v>64</v>
      </c>
      <c r="B5402" t="s">
        <v>67</v>
      </c>
      <c r="C5402" s="30">
        <v>9</v>
      </c>
      <c r="D5402" s="30">
        <v>8</v>
      </c>
      <c r="E5402" s="30">
        <v>8</v>
      </c>
      <c r="F5402" s="30">
        <v>10</v>
      </c>
      <c r="G5402">
        <v>2</v>
      </c>
      <c r="H5402">
        <v>2</v>
      </c>
    </row>
    <row r="5403" spans="1:8" x14ac:dyDescent="0.3">
      <c r="C5403" s="30"/>
      <c r="D5403" s="30"/>
      <c r="E5403" s="30"/>
      <c r="F5403" s="30"/>
    </row>
    <row r="5404" spans="1:8" ht="57.6" x14ac:dyDescent="0.3">
      <c r="A5404" s="22" t="s">
        <v>1220</v>
      </c>
      <c r="C5404" s="30"/>
      <c r="D5404" s="30"/>
      <c r="E5404" s="30"/>
      <c r="F5404" s="30"/>
    </row>
    <row r="5405" spans="1:8" x14ac:dyDescent="0.3">
      <c r="A5405" s="22" t="s">
        <v>57</v>
      </c>
      <c r="B5405" t="s">
        <v>66</v>
      </c>
      <c r="C5405" s="30" t="s">
        <v>58</v>
      </c>
      <c r="D5405" s="30" t="s">
        <v>59</v>
      </c>
      <c r="E5405" s="30" t="s">
        <v>60</v>
      </c>
      <c r="F5405" s="30" t="s">
        <v>61</v>
      </c>
      <c r="G5405" t="s">
        <v>62</v>
      </c>
      <c r="H5405" t="s">
        <v>63</v>
      </c>
    </row>
    <row r="5406" spans="1:8" x14ac:dyDescent="0.3">
      <c r="A5406" s="22" t="s">
        <v>64</v>
      </c>
      <c r="B5406" t="s">
        <v>67</v>
      </c>
      <c r="C5406" s="30">
        <v>8</v>
      </c>
      <c r="D5406" s="30">
        <v>8</v>
      </c>
      <c r="E5406" s="30">
        <v>8</v>
      </c>
      <c r="F5406" s="30">
        <v>8</v>
      </c>
      <c r="G5406">
        <v>1</v>
      </c>
      <c r="H5406">
        <v>2</v>
      </c>
    </row>
    <row r="5407" spans="1:8" x14ac:dyDescent="0.3">
      <c r="A5407" s="22" t="s">
        <v>64</v>
      </c>
      <c r="B5407" t="s">
        <v>68</v>
      </c>
      <c r="C5407" s="30">
        <v>10</v>
      </c>
      <c r="D5407" s="30">
        <v>10</v>
      </c>
      <c r="E5407" s="30">
        <v>10</v>
      </c>
      <c r="F5407" s="30">
        <v>10</v>
      </c>
      <c r="G5407">
        <v>1</v>
      </c>
      <c r="H5407">
        <v>2</v>
      </c>
    </row>
    <row r="5408" spans="1:8" x14ac:dyDescent="0.3">
      <c r="C5408" s="30"/>
      <c r="D5408" s="30"/>
      <c r="E5408" s="30"/>
      <c r="F5408" s="30"/>
    </row>
    <row r="5409" spans="1:8" ht="57.6" x14ac:dyDescent="0.3">
      <c r="A5409" s="22" t="s">
        <v>1221</v>
      </c>
      <c r="C5409" s="30"/>
      <c r="D5409" s="30"/>
      <c r="E5409" s="30"/>
      <c r="F5409" s="30"/>
    </row>
    <row r="5410" spans="1:8" x14ac:dyDescent="0.3">
      <c r="A5410" s="22" t="s">
        <v>57</v>
      </c>
      <c r="B5410" t="s">
        <v>66</v>
      </c>
      <c r="C5410" s="30" t="s">
        <v>58</v>
      </c>
      <c r="D5410" s="30" t="s">
        <v>59</v>
      </c>
      <c r="E5410" s="30" t="s">
        <v>60</v>
      </c>
      <c r="F5410" s="30" t="s">
        <v>61</v>
      </c>
      <c r="G5410" t="s">
        <v>62</v>
      </c>
      <c r="H5410" t="s">
        <v>63</v>
      </c>
    </row>
    <row r="5411" spans="1:8" x14ac:dyDescent="0.3">
      <c r="A5411" s="22" t="s">
        <v>64</v>
      </c>
      <c r="B5411" t="s">
        <v>67</v>
      </c>
      <c r="C5411" s="30">
        <v>9</v>
      </c>
      <c r="D5411" s="30">
        <v>8</v>
      </c>
      <c r="E5411" s="30">
        <v>8</v>
      </c>
      <c r="F5411" s="30">
        <v>10</v>
      </c>
      <c r="G5411">
        <v>2</v>
      </c>
      <c r="H5411">
        <v>2</v>
      </c>
    </row>
    <row r="5412" spans="1:8" x14ac:dyDescent="0.3">
      <c r="C5412" s="30"/>
      <c r="D5412" s="30"/>
      <c r="E5412" s="30"/>
      <c r="F5412" s="30"/>
    </row>
    <row r="5413" spans="1:8" ht="72" x14ac:dyDescent="0.3">
      <c r="A5413" s="22" t="s">
        <v>1222</v>
      </c>
      <c r="C5413" s="30"/>
      <c r="D5413" s="30"/>
      <c r="E5413" s="30"/>
      <c r="F5413" s="30"/>
    </row>
    <row r="5414" spans="1:8" x14ac:dyDescent="0.3">
      <c r="A5414" s="22" t="s">
        <v>57</v>
      </c>
      <c r="B5414" t="s">
        <v>66</v>
      </c>
      <c r="C5414" s="30" t="s">
        <v>58</v>
      </c>
      <c r="D5414" s="30" t="s">
        <v>59</v>
      </c>
      <c r="E5414" s="30" t="s">
        <v>60</v>
      </c>
      <c r="F5414" s="30" t="s">
        <v>61</v>
      </c>
      <c r="G5414" t="s">
        <v>62</v>
      </c>
      <c r="H5414" t="s">
        <v>63</v>
      </c>
    </row>
    <row r="5415" spans="1:8" x14ac:dyDescent="0.3">
      <c r="A5415" s="22" t="s">
        <v>64</v>
      </c>
      <c r="B5415" t="s">
        <v>67</v>
      </c>
      <c r="C5415" s="30">
        <v>9</v>
      </c>
      <c r="D5415" s="30">
        <v>8</v>
      </c>
      <c r="E5415" s="30">
        <v>8</v>
      </c>
      <c r="F5415" s="30">
        <v>10</v>
      </c>
      <c r="G5415">
        <v>2</v>
      </c>
      <c r="H5415">
        <v>2</v>
      </c>
    </row>
    <row r="5416" spans="1:8" x14ac:dyDescent="0.3">
      <c r="C5416" s="30"/>
      <c r="D5416" s="30"/>
      <c r="E5416" s="30"/>
      <c r="F5416" s="30"/>
    </row>
    <row r="5417" spans="1:8" ht="72" x14ac:dyDescent="0.3">
      <c r="A5417" s="22" t="s">
        <v>1223</v>
      </c>
      <c r="C5417" s="30"/>
      <c r="D5417" s="30"/>
      <c r="E5417" s="30"/>
      <c r="F5417" s="30"/>
    </row>
    <row r="5418" spans="1:8" x14ac:dyDescent="0.3">
      <c r="A5418" s="22" t="s">
        <v>57</v>
      </c>
      <c r="B5418" t="s">
        <v>66</v>
      </c>
      <c r="C5418" s="30" t="s">
        <v>58</v>
      </c>
      <c r="D5418" s="30" t="s">
        <v>59</v>
      </c>
      <c r="E5418" s="30" t="s">
        <v>60</v>
      </c>
      <c r="F5418" s="30" t="s">
        <v>61</v>
      </c>
      <c r="G5418" t="s">
        <v>62</v>
      </c>
      <c r="H5418" t="s">
        <v>63</v>
      </c>
    </row>
    <row r="5419" spans="1:8" x14ac:dyDescent="0.3">
      <c r="A5419" s="22" t="s">
        <v>64</v>
      </c>
      <c r="B5419" t="s">
        <v>67</v>
      </c>
      <c r="C5419" s="30">
        <v>9</v>
      </c>
      <c r="D5419" s="30">
        <v>8</v>
      </c>
      <c r="E5419" s="30">
        <v>8</v>
      </c>
      <c r="F5419" s="30">
        <v>10</v>
      </c>
      <c r="G5419">
        <v>2</v>
      </c>
      <c r="H5419">
        <v>2</v>
      </c>
    </row>
    <row r="5420" spans="1:8" x14ac:dyDescent="0.3">
      <c r="C5420" s="30"/>
      <c r="D5420" s="30"/>
      <c r="E5420" s="30"/>
      <c r="F5420" s="30"/>
    </row>
    <row r="5421" spans="1:8" ht="57.6" x14ac:dyDescent="0.3">
      <c r="A5421" s="22" t="s">
        <v>1224</v>
      </c>
      <c r="C5421" s="30"/>
      <c r="D5421" s="30"/>
      <c r="E5421" s="30"/>
      <c r="F5421" s="30"/>
    </row>
    <row r="5422" spans="1:8" x14ac:dyDescent="0.3">
      <c r="A5422" s="22" t="s">
        <v>57</v>
      </c>
      <c r="B5422" t="s">
        <v>66</v>
      </c>
      <c r="C5422" s="30" t="s">
        <v>58</v>
      </c>
      <c r="D5422" s="30" t="s">
        <v>59</v>
      </c>
      <c r="E5422" s="30" t="s">
        <v>60</v>
      </c>
      <c r="F5422" s="30" t="s">
        <v>61</v>
      </c>
      <c r="G5422" t="s">
        <v>62</v>
      </c>
      <c r="H5422" t="s">
        <v>63</v>
      </c>
    </row>
    <row r="5423" spans="1:8" x14ac:dyDescent="0.3">
      <c r="A5423" s="22" t="s">
        <v>64</v>
      </c>
      <c r="B5423" t="s">
        <v>67</v>
      </c>
      <c r="C5423" s="30">
        <v>8</v>
      </c>
      <c r="D5423" s="30">
        <v>8</v>
      </c>
      <c r="E5423" s="30">
        <v>8</v>
      </c>
      <c r="F5423" s="30">
        <v>8</v>
      </c>
      <c r="G5423">
        <v>1</v>
      </c>
      <c r="H5423">
        <v>2</v>
      </c>
    </row>
    <row r="5424" spans="1:8" x14ac:dyDescent="0.3">
      <c r="A5424" s="22" t="s">
        <v>64</v>
      </c>
      <c r="B5424" t="s">
        <v>68</v>
      </c>
      <c r="C5424" s="30">
        <v>10</v>
      </c>
      <c r="D5424" s="30">
        <v>10</v>
      </c>
      <c r="E5424" s="30">
        <v>10</v>
      </c>
      <c r="F5424" s="30">
        <v>10</v>
      </c>
      <c r="G5424">
        <v>1</v>
      </c>
      <c r="H5424">
        <v>2</v>
      </c>
    </row>
    <row r="5425" spans="1:8" x14ac:dyDescent="0.3">
      <c r="C5425" s="30"/>
      <c r="D5425" s="30"/>
      <c r="E5425" s="30"/>
      <c r="F5425" s="30"/>
    </row>
    <row r="5426" spans="1:8" ht="57.6" x14ac:dyDescent="0.3">
      <c r="A5426" s="22" t="s">
        <v>1225</v>
      </c>
      <c r="C5426" s="30"/>
      <c r="D5426" s="30"/>
      <c r="E5426" s="30"/>
      <c r="F5426" s="30"/>
    </row>
    <row r="5427" spans="1:8" x14ac:dyDescent="0.3">
      <c r="A5427" s="22" t="s">
        <v>57</v>
      </c>
      <c r="B5427" t="s">
        <v>66</v>
      </c>
      <c r="C5427" s="30" t="s">
        <v>58</v>
      </c>
      <c r="D5427" s="30" t="s">
        <v>59</v>
      </c>
      <c r="E5427" s="30" t="s">
        <v>60</v>
      </c>
      <c r="F5427" s="30" t="s">
        <v>61</v>
      </c>
      <c r="G5427" t="s">
        <v>62</v>
      </c>
      <c r="H5427" t="s">
        <v>63</v>
      </c>
    </row>
    <row r="5428" spans="1:8" x14ac:dyDescent="0.3">
      <c r="A5428" s="22" t="s">
        <v>64</v>
      </c>
      <c r="B5428" t="s">
        <v>67</v>
      </c>
      <c r="C5428" s="30">
        <v>9</v>
      </c>
      <c r="D5428" s="30">
        <v>8</v>
      </c>
      <c r="E5428" s="30">
        <v>8</v>
      </c>
      <c r="F5428" s="30">
        <v>10</v>
      </c>
      <c r="G5428">
        <v>2</v>
      </c>
      <c r="H5428">
        <v>2</v>
      </c>
    </row>
    <row r="5429" spans="1:8" x14ac:dyDescent="0.3">
      <c r="C5429" s="30"/>
      <c r="D5429" s="30"/>
      <c r="E5429" s="30"/>
      <c r="F5429" s="30"/>
    </row>
    <row r="5430" spans="1:8" ht="43.2" x14ac:dyDescent="0.3">
      <c r="A5430" s="27" t="s">
        <v>1226</v>
      </c>
      <c r="C5430" s="30"/>
      <c r="D5430" s="30"/>
      <c r="E5430" s="30"/>
      <c r="F5430" s="30"/>
    </row>
    <row r="5431" spans="1:8" x14ac:dyDescent="0.3">
      <c r="A5431" s="22" t="s">
        <v>57</v>
      </c>
      <c r="B5431" t="s">
        <v>66</v>
      </c>
      <c r="C5431" s="30" t="s">
        <v>58</v>
      </c>
      <c r="D5431" s="30" t="s">
        <v>59</v>
      </c>
      <c r="E5431" s="30" t="s">
        <v>60</v>
      </c>
      <c r="F5431" s="30" t="s">
        <v>61</v>
      </c>
      <c r="G5431" t="s">
        <v>62</v>
      </c>
      <c r="H5431" t="s">
        <v>63</v>
      </c>
    </row>
    <row r="5432" spans="1:8" x14ac:dyDescent="0.3">
      <c r="A5432" s="22" t="s">
        <v>64</v>
      </c>
      <c r="B5432" t="s">
        <v>81</v>
      </c>
      <c r="C5432" s="30">
        <v>8</v>
      </c>
      <c r="D5432" s="30">
        <v>8</v>
      </c>
      <c r="E5432" s="30">
        <v>8</v>
      </c>
      <c r="F5432" s="30">
        <v>8</v>
      </c>
      <c r="G5432">
        <v>1</v>
      </c>
      <c r="H5432">
        <v>2</v>
      </c>
    </row>
    <row r="5433" spans="1:8" x14ac:dyDescent="0.3">
      <c r="A5433" s="22" t="s">
        <v>64</v>
      </c>
      <c r="B5433" t="s">
        <v>83</v>
      </c>
      <c r="C5433" s="30">
        <v>10</v>
      </c>
      <c r="D5433" s="30">
        <v>10</v>
      </c>
      <c r="E5433" s="30">
        <v>10</v>
      </c>
      <c r="F5433" s="30">
        <v>10</v>
      </c>
      <c r="G5433">
        <v>1</v>
      </c>
      <c r="H5433">
        <v>2</v>
      </c>
    </row>
    <row r="5435" spans="1:8" ht="28.8" x14ac:dyDescent="0.3">
      <c r="A5435" s="27" t="s">
        <v>1227</v>
      </c>
    </row>
    <row r="5436" spans="1:8" x14ac:dyDescent="0.3">
      <c r="A5436" s="22" t="s">
        <v>57</v>
      </c>
      <c r="B5436" t="s">
        <v>58</v>
      </c>
      <c r="C5436" t="s">
        <v>59</v>
      </c>
      <c r="D5436" t="s">
        <v>60</v>
      </c>
      <c r="E5436" t="s">
        <v>61</v>
      </c>
      <c r="F5436" t="s">
        <v>62</v>
      </c>
      <c r="G5436" t="s">
        <v>63</v>
      </c>
    </row>
    <row r="5437" spans="1:8" x14ac:dyDescent="0.3">
      <c r="A5437" s="22" t="s">
        <v>64</v>
      </c>
      <c r="B5437" s="30">
        <v>25.128205128205131</v>
      </c>
      <c r="C5437" s="30">
        <v>20</v>
      </c>
      <c r="D5437" s="30">
        <v>3</v>
      </c>
      <c r="E5437" s="30">
        <v>100</v>
      </c>
      <c r="F5437">
        <v>78</v>
      </c>
      <c r="G5437">
        <v>78</v>
      </c>
    </row>
    <row r="5439" spans="1:8" ht="57.6" x14ac:dyDescent="0.3">
      <c r="A5439" s="22" t="s">
        <v>1228</v>
      </c>
      <c r="C5439" s="30"/>
      <c r="D5439" s="30"/>
      <c r="E5439" s="30"/>
      <c r="F5439" s="30"/>
    </row>
    <row r="5440" spans="1:8" x14ac:dyDescent="0.3">
      <c r="A5440" s="22" t="s">
        <v>57</v>
      </c>
      <c r="B5440" t="s">
        <v>66</v>
      </c>
      <c r="C5440" s="30" t="s">
        <v>58</v>
      </c>
      <c r="D5440" s="30" t="s">
        <v>59</v>
      </c>
      <c r="E5440" s="30" t="s">
        <v>60</v>
      </c>
      <c r="F5440" s="30" t="s">
        <v>61</v>
      </c>
      <c r="G5440" t="s">
        <v>62</v>
      </c>
      <c r="H5440" t="s">
        <v>63</v>
      </c>
    </row>
    <row r="5441" spans="1:8" x14ac:dyDescent="0.3">
      <c r="A5441" s="22" t="s">
        <v>64</v>
      </c>
      <c r="B5441" t="s">
        <v>67</v>
      </c>
      <c r="C5441" s="30">
        <v>25.810810810810811</v>
      </c>
      <c r="D5441" s="30">
        <v>20</v>
      </c>
      <c r="E5441" s="30">
        <v>3</v>
      </c>
      <c r="F5441" s="30">
        <v>100</v>
      </c>
      <c r="G5441">
        <v>74</v>
      </c>
      <c r="H5441">
        <v>78</v>
      </c>
    </row>
    <row r="5442" spans="1:8" x14ac:dyDescent="0.3">
      <c r="A5442" s="22" t="s">
        <v>64</v>
      </c>
      <c r="B5442" t="s">
        <v>68</v>
      </c>
      <c r="C5442" s="30">
        <v>12.5</v>
      </c>
      <c r="D5442" s="30">
        <v>10</v>
      </c>
      <c r="E5442" s="30">
        <v>10</v>
      </c>
      <c r="F5442" s="30">
        <v>15</v>
      </c>
      <c r="G5442">
        <v>4</v>
      </c>
      <c r="H5442">
        <v>78</v>
      </c>
    </row>
    <row r="5443" spans="1:8" x14ac:dyDescent="0.3">
      <c r="C5443" s="30"/>
      <c r="D5443" s="30"/>
      <c r="E5443" s="30"/>
      <c r="F5443" s="30"/>
    </row>
    <row r="5444" spans="1:8" x14ac:dyDescent="0.3">
      <c r="A5444"/>
      <c r="C5444" s="30"/>
      <c r="D5444" s="30"/>
      <c r="E5444" s="30"/>
      <c r="F5444" s="30"/>
    </row>
    <row r="5445" spans="1:8" x14ac:dyDescent="0.3">
      <c r="A5445"/>
      <c r="C5445" s="30"/>
      <c r="D5445" s="30"/>
      <c r="E5445" s="30"/>
      <c r="F5445" s="30"/>
    </row>
    <row r="5446" spans="1:8" x14ac:dyDescent="0.3">
      <c r="A5446"/>
      <c r="C5446" s="30"/>
      <c r="D5446" s="30"/>
      <c r="E5446" s="30"/>
      <c r="F5446" s="30"/>
    </row>
    <row r="5447" spans="1:8" x14ac:dyDescent="0.3">
      <c r="C5447" s="30"/>
      <c r="D5447" s="30"/>
      <c r="E5447" s="30"/>
      <c r="F5447" s="30"/>
    </row>
    <row r="5448" spans="1:8" ht="57.6" x14ac:dyDescent="0.3">
      <c r="A5448" s="22" t="s">
        <v>1229</v>
      </c>
      <c r="C5448" s="30"/>
      <c r="D5448" s="30"/>
      <c r="E5448" s="30"/>
      <c r="F5448" s="30"/>
    </row>
    <row r="5449" spans="1:8" x14ac:dyDescent="0.3">
      <c r="A5449" s="22" t="s">
        <v>57</v>
      </c>
      <c r="B5449" t="s">
        <v>66</v>
      </c>
      <c r="C5449" s="30" t="s">
        <v>58</v>
      </c>
      <c r="D5449" s="30" t="s">
        <v>59</v>
      </c>
      <c r="E5449" s="30" t="s">
        <v>60</v>
      </c>
      <c r="F5449" s="30" t="s">
        <v>61</v>
      </c>
      <c r="G5449" t="s">
        <v>62</v>
      </c>
      <c r="H5449" t="s">
        <v>63</v>
      </c>
    </row>
    <row r="5450" spans="1:8" x14ac:dyDescent="0.3">
      <c r="A5450" s="22" t="s">
        <v>64</v>
      </c>
      <c r="B5450" t="s">
        <v>67</v>
      </c>
      <c r="C5450" s="30">
        <v>25.067567567567568</v>
      </c>
      <c r="D5450" s="30">
        <v>20</v>
      </c>
      <c r="E5450" s="30">
        <v>3</v>
      </c>
      <c r="F5450" s="30">
        <v>100</v>
      </c>
      <c r="G5450">
        <v>74</v>
      </c>
      <c r="H5450">
        <v>78</v>
      </c>
    </row>
    <row r="5451" spans="1:8" x14ac:dyDescent="0.3">
      <c r="A5451" s="22" t="s">
        <v>64</v>
      </c>
      <c r="B5451" t="s">
        <v>68</v>
      </c>
      <c r="C5451" s="30">
        <v>26.25</v>
      </c>
      <c r="D5451" s="30">
        <v>20</v>
      </c>
      <c r="E5451" s="30">
        <v>5</v>
      </c>
      <c r="F5451" s="30">
        <v>50</v>
      </c>
      <c r="G5451">
        <v>4</v>
      </c>
      <c r="H5451">
        <v>78</v>
      </c>
    </row>
    <row r="5452" spans="1:8" x14ac:dyDescent="0.3">
      <c r="C5452" s="30"/>
      <c r="D5452" s="30"/>
      <c r="E5452" s="30"/>
      <c r="F5452" s="30"/>
    </row>
    <row r="5453" spans="1:8" ht="43.2" x14ac:dyDescent="0.3">
      <c r="A5453" s="22" t="s">
        <v>1230</v>
      </c>
      <c r="C5453" s="30"/>
      <c r="D5453" s="30"/>
      <c r="E5453" s="30"/>
      <c r="F5453" s="30"/>
    </row>
    <row r="5454" spans="1:8" x14ac:dyDescent="0.3">
      <c r="A5454" s="22" t="s">
        <v>57</v>
      </c>
      <c r="B5454" t="s">
        <v>66</v>
      </c>
      <c r="C5454" s="30" t="s">
        <v>58</v>
      </c>
      <c r="D5454" s="30" t="s">
        <v>59</v>
      </c>
      <c r="E5454" s="30" t="s">
        <v>60</v>
      </c>
      <c r="F5454" s="30" t="s">
        <v>61</v>
      </c>
      <c r="G5454" t="s">
        <v>62</v>
      </c>
      <c r="H5454" t="s">
        <v>63</v>
      </c>
    </row>
    <row r="5455" spans="1:8" x14ac:dyDescent="0.3">
      <c r="A5455" s="22" t="s">
        <v>64</v>
      </c>
      <c r="B5455" t="s">
        <v>67</v>
      </c>
      <c r="C5455" s="30">
        <v>25.06493506493506</v>
      </c>
      <c r="D5455" s="30">
        <v>20</v>
      </c>
      <c r="E5455" s="30">
        <v>3</v>
      </c>
      <c r="F5455" s="30">
        <v>100</v>
      </c>
      <c r="G5455">
        <v>77</v>
      </c>
      <c r="H5455">
        <v>78</v>
      </c>
    </row>
    <row r="5456" spans="1:8" x14ac:dyDescent="0.3">
      <c r="A5456" s="22" t="s">
        <v>64</v>
      </c>
      <c r="B5456" t="s">
        <v>68</v>
      </c>
      <c r="C5456" s="30">
        <v>30</v>
      </c>
      <c r="D5456" s="30">
        <v>30</v>
      </c>
      <c r="E5456" s="30">
        <v>30</v>
      </c>
      <c r="F5456" s="30">
        <v>30</v>
      </c>
      <c r="G5456">
        <v>1</v>
      </c>
      <c r="H5456">
        <v>78</v>
      </c>
    </row>
    <row r="5457" spans="1:8" x14ac:dyDescent="0.3">
      <c r="C5457" s="30"/>
      <c r="D5457" s="30"/>
      <c r="E5457" s="30"/>
      <c r="F5457" s="30"/>
    </row>
    <row r="5458" spans="1:8" ht="57.6" x14ac:dyDescent="0.3">
      <c r="A5458" s="22" t="s">
        <v>1231</v>
      </c>
      <c r="C5458" s="30"/>
      <c r="D5458" s="30"/>
      <c r="E5458" s="30"/>
      <c r="F5458" s="30"/>
    </row>
    <row r="5459" spans="1:8" x14ac:dyDescent="0.3">
      <c r="A5459" s="22" t="s">
        <v>57</v>
      </c>
      <c r="B5459" t="s">
        <v>66</v>
      </c>
      <c r="C5459" s="30" t="s">
        <v>58</v>
      </c>
      <c r="D5459" s="30" t="s">
        <v>59</v>
      </c>
      <c r="E5459" s="30" t="s">
        <v>60</v>
      </c>
      <c r="F5459" s="30" t="s">
        <v>61</v>
      </c>
      <c r="G5459" t="s">
        <v>62</v>
      </c>
      <c r="H5459" t="s">
        <v>63</v>
      </c>
    </row>
    <row r="5460" spans="1:8" x14ac:dyDescent="0.3">
      <c r="A5460" s="22" t="s">
        <v>64</v>
      </c>
      <c r="B5460" t="s">
        <v>67</v>
      </c>
      <c r="C5460" s="30">
        <v>25.38356164383562</v>
      </c>
      <c r="D5460" s="30">
        <v>20</v>
      </c>
      <c r="E5460" s="30">
        <v>3</v>
      </c>
      <c r="F5460" s="30">
        <v>100</v>
      </c>
      <c r="G5460">
        <v>73</v>
      </c>
      <c r="H5460">
        <v>78</v>
      </c>
    </row>
    <row r="5461" spans="1:8" x14ac:dyDescent="0.3">
      <c r="A5461" s="22" t="s">
        <v>64</v>
      </c>
      <c r="B5461" t="s">
        <v>68</v>
      </c>
      <c r="C5461" s="30">
        <v>21.4</v>
      </c>
      <c r="D5461" s="30">
        <v>25</v>
      </c>
      <c r="E5461" s="30">
        <v>10</v>
      </c>
      <c r="F5461" s="30">
        <v>50</v>
      </c>
      <c r="G5461">
        <v>5</v>
      </c>
      <c r="H5461">
        <v>78</v>
      </c>
    </row>
    <row r="5462" spans="1:8" x14ac:dyDescent="0.3">
      <c r="C5462" s="30"/>
      <c r="D5462" s="30"/>
      <c r="E5462" s="30"/>
      <c r="F5462" s="30"/>
    </row>
    <row r="5463" spans="1:8" ht="57.6" x14ac:dyDescent="0.3">
      <c r="A5463" s="22" t="s">
        <v>1232</v>
      </c>
      <c r="C5463" s="30"/>
      <c r="D5463" s="30"/>
      <c r="E5463" s="30"/>
      <c r="F5463" s="30"/>
    </row>
    <row r="5464" spans="1:8" x14ac:dyDescent="0.3">
      <c r="A5464" s="22" t="s">
        <v>57</v>
      </c>
      <c r="B5464" t="s">
        <v>66</v>
      </c>
      <c r="C5464" s="30" t="s">
        <v>58</v>
      </c>
      <c r="D5464" s="30" t="s">
        <v>59</v>
      </c>
      <c r="E5464" s="30" t="s">
        <v>60</v>
      </c>
      <c r="F5464" s="30" t="s">
        <v>61</v>
      </c>
      <c r="G5464" t="s">
        <v>62</v>
      </c>
      <c r="H5464" t="s">
        <v>63</v>
      </c>
    </row>
    <row r="5465" spans="1:8" x14ac:dyDescent="0.3">
      <c r="A5465" s="22" t="s">
        <v>64</v>
      </c>
      <c r="B5465" t="s">
        <v>67</v>
      </c>
      <c r="C5465" s="30">
        <v>10</v>
      </c>
      <c r="D5465" s="30">
        <v>15</v>
      </c>
      <c r="E5465" s="30">
        <v>5</v>
      </c>
      <c r="F5465" s="30">
        <v>15</v>
      </c>
      <c r="G5465">
        <v>3</v>
      </c>
      <c r="H5465">
        <v>78</v>
      </c>
    </row>
    <row r="5466" spans="1:8" x14ac:dyDescent="0.3">
      <c r="A5466" s="22" t="s">
        <v>64</v>
      </c>
      <c r="B5466" t="s">
        <v>68</v>
      </c>
      <c r="C5466" s="30">
        <v>25.733333333333331</v>
      </c>
      <c r="D5466" s="30">
        <v>20</v>
      </c>
      <c r="E5466" s="30">
        <v>3</v>
      </c>
      <c r="F5466" s="30">
        <v>100</v>
      </c>
      <c r="G5466">
        <v>75</v>
      </c>
      <c r="H5466">
        <v>78</v>
      </c>
    </row>
    <row r="5467" spans="1:8" x14ac:dyDescent="0.3">
      <c r="C5467" s="30"/>
      <c r="D5467" s="30"/>
      <c r="E5467" s="30"/>
      <c r="F5467" s="30"/>
    </row>
    <row r="5468" spans="1:8" ht="57.6" x14ac:dyDescent="0.3">
      <c r="A5468" s="22" t="s">
        <v>1233</v>
      </c>
      <c r="C5468" s="30"/>
      <c r="D5468" s="30"/>
      <c r="E5468" s="30"/>
      <c r="F5468" s="30"/>
    </row>
    <row r="5469" spans="1:8" x14ac:dyDescent="0.3">
      <c r="A5469" s="22" t="s">
        <v>57</v>
      </c>
      <c r="B5469" t="s">
        <v>66</v>
      </c>
      <c r="C5469" s="30" t="s">
        <v>58</v>
      </c>
      <c r="D5469" s="30" t="s">
        <v>59</v>
      </c>
      <c r="E5469" s="30" t="s">
        <v>60</v>
      </c>
      <c r="F5469" s="30" t="s">
        <v>61</v>
      </c>
      <c r="G5469" t="s">
        <v>62</v>
      </c>
      <c r="H5469" t="s">
        <v>63</v>
      </c>
    </row>
    <row r="5470" spans="1:8" x14ac:dyDescent="0.3">
      <c r="A5470" s="22" t="s">
        <v>64</v>
      </c>
      <c r="B5470" t="s">
        <v>67</v>
      </c>
      <c r="C5470" s="30">
        <v>26.169230769230769</v>
      </c>
      <c r="D5470" s="30">
        <v>20</v>
      </c>
      <c r="E5470" s="30">
        <v>3</v>
      </c>
      <c r="F5470" s="30">
        <v>100</v>
      </c>
      <c r="G5470">
        <v>65</v>
      </c>
      <c r="H5470">
        <v>78</v>
      </c>
    </row>
    <row r="5471" spans="1:8" x14ac:dyDescent="0.3">
      <c r="A5471" s="22" t="s">
        <v>64</v>
      </c>
      <c r="B5471" t="s">
        <v>68</v>
      </c>
      <c r="C5471" s="30">
        <v>19.92307692307692</v>
      </c>
      <c r="D5471" s="30">
        <v>25</v>
      </c>
      <c r="E5471" s="30">
        <v>4</v>
      </c>
      <c r="F5471" s="30">
        <v>40</v>
      </c>
      <c r="G5471">
        <v>13</v>
      </c>
      <c r="H5471">
        <v>78</v>
      </c>
    </row>
    <row r="5472" spans="1:8" x14ac:dyDescent="0.3">
      <c r="C5472" s="30"/>
      <c r="D5472" s="30"/>
      <c r="E5472" s="30"/>
      <c r="F5472" s="30"/>
    </row>
    <row r="5473" spans="1:8" ht="43.2" x14ac:dyDescent="0.3">
      <c r="A5473" s="22" t="s">
        <v>1234</v>
      </c>
      <c r="C5473" s="30"/>
      <c r="D5473" s="30"/>
      <c r="E5473" s="30"/>
      <c r="F5473" s="30"/>
    </row>
    <row r="5474" spans="1:8" x14ac:dyDescent="0.3">
      <c r="A5474" s="22" t="s">
        <v>57</v>
      </c>
      <c r="B5474" t="s">
        <v>66</v>
      </c>
      <c r="C5474" s="30" t="s">
        <v>58</v>
      </c>
      <c r="D5474" s="30" t="s">
        <v>59</v>
      </c>
      <c r="E5474" s="30" t="s">
        <v>60</v>
      </c>
      <c r="F5474" s="30" t="s">
        <v>61</v>
      </c>
      <c r="G5474" t="s">
        <v>62</v>
      </c>
      <c r="H5474" t="s">
        <v>63</v>
      </c>
    </row>
    <row r="5475" spans="1:8" x14ac:dyDescent="0.3">
      <c r="A5475" s="22" t="s">
        <v>64</v>
      </c>
      <c r="B5475" t="s">
        <v>67</v>
      </c>
      <c r="C5475" s="30">
        <v>26.5</v>
      </c>
      <c r="D5475" s="30">
        <v>20</v>
      </c>
      <c r="E5475" s="30">
        <v>3</v>
      </c>
      <c r="F5475" s="30">
        <v>100</v>
      </c>
      <c r="G5475">
        <v>62</v>
      </c>
      <c r="H5475">
        <v>78</v>
      </c>
    </row>
    <row r="5476" spans="1:8" x14ac:dyDescent="0.3">
      <c r="A5476" s="22" t="s">
        <v>64</v>
      </c>
      <c r="B5476" t="s">
        <v>68</v>
      </c>
      <c r="C5476" s="30">
        <v>19.8125</v>
      </c>
      <c r="D5476" s="30">
        <v>12</v>
      </c>
      <c r="E5476" s="30">
        <v>5</v>
      </c>
      <c r="F5476" s="30">
        <v>70</v>
      </c>
      <c r="G5476">
        <v>16</v>
      </c>
      <c r="H5476">
        <v>78</v>
      </c>
    </row>
    <row r="5477" spans="1:8" x14ac:dyDescent="0.3">
      <c r="C5477" s="30"/>
      <c r="D5477" s="30"/>
      <c r="E5477" s="30"/>
      <c r="F5477" s="30"/>
    </row>
    <row r="5478" spans="1:8" ht="57.6" x14ac:dyDescent="0.3">
      <c r="A5478" s="22" t="s">
        <v>1235</v>
      </c>
      <c r="C5478" s="30"/>
      <c r="D5478" s="30"/>
      <c r="E5478" s="30"/>
      <c r="F5478" s="30"/>
    </row>
    <row r="5479" spans="1:8" x14ac:dyDescent="0.3">
      <c r="A5479" s="22" t="s">
        <v>57</v>
      </c>
      <c r="B5479" t="s">
        <v>66</v>
      </c>
      <c r="C5479" s="30" t="s">
        <v>58</v>
      </c>
      <c r="D5479" s="30" t="s">
        <v>59</v>
      </c>
      <c r="E5479" s="30" t="s">
        <v>60</v>
      </c>
      <c r="F5479" s="30" t="s">
        <v>61</v>
      </c>
      <c r="G5479" t="s">
        <v>62</v>
      </c>
      <c r="H5479" t="s">
        <v>63</v>
      </c>
    </row>
    <row r="5480" spans="1:8" x14ac:dyDescent="0.3">
      <c r="A5480" s="22" t="s">
        <v>64</v>
      </c>
      <c r="B5480" t="s">
        <v>67</v>
      </c>
      <c r="C5480" s="30">
        <v>26.52459016393443</v>
      </c>
      <c r="D5480" s="30">
        <v>25</v>
      </c>
      <c r="E5480" s="30">
        <v>4</v>
      </c>
      <c r="F5480" s="30">
        <v>100</v>
      </c>
      <c r="G5480">
        <v>61</v>
      </c>
      <c r="H5480">
        <v>78</v>
      </c>
    </row>
    <row r="5481" spans="1:8" x14ac:dyDescent="0.3">
      <c r="A5481" s="22" t="s">
        <v>64</v>
      </c>
      <c r="B5481" t="s">
        <v>68</v>
      </c>
      <c r="C5481" s="30">
        <v>20.117647058823529</v>
      </c>
      <c r="D5481" s="30">
        <v>20</v>
      </c>
      <c r="E5481" s="30">
        <v>3</v>
      </c>
      <c r="F5481" s="30">
        <v>60</v>
      </c>
      <c r="G5481">
        <v>17</v>
      </c>
      <c r="H5481">
        <v>78</v>
      </c>
    </row>
    <row r="5482" spans="1:8" x14ac:dyDescent="0.3">
      <c r="C5482" s="30"/>
      <c r="D5482" s="30"/>
      <c r="E5482" s="30"/>
      <c r="F5482" s="30"/>
    </row>
    <row r="5483" spans="1:8" ht="57.6" x14ac:dyDescent="0.3">
      <c r="A5483" s="22" t="s">
        <v>1236</v>
      </c>
      <c r="C5483" s="30"/>
      <c r="D5483" s="30"/>
      <c r="E5483" s="30"/>
      <c r="F5483" s="30"/>
    </row>
    <row r="5484" spans="1:8" x14ac:dyDescent="0.3">
      <c r="A5484" s="22" t="s">
        <v>57</v>
      </c>
      <c r="B5484" t="s">
        <v>66</v>
      </c>
      <c r="C5484" s="30" t="s">
        <v>58</v>
      </c>
      <c r="D5484" s="30" t="s">
        <v>59</v>
      </c>
      <c r="E5484" s="30" t="s">
        <v>60</v>
      </c>
      <c r="F5484" s="30" t="s">
        <v>61</v>
      </c>
      <c r="G5484" t="s">
        <v>62</v>
      </c>
      <c r="H5484" t="s">
        <v>63</v>
      </c>
    </row>
    <row r="5485" spans="1:8" x14ac:dyDescent="0.3">
      <c r="A5485" s="22" t="s">
        <v>64</v>
      </c>
      <c r="B5485" t="s">
        <v>67</v>
      </c>
      <c r="C5485" s="30">
        <v>26.071428571428569</v>
      </c>
      <c r="D5485" s="30">
        <v>20</v>
      </c>
      <c r="E5485" s="30">
        <v>3</v>
      </c>
      <c r="F5485" s="30">
        <v>100</v>
      </c>
      <c r="G5485">
        <v>70</v>
      </c>
      <c r="H5485">
        <v>78</v>
      </c>
    </row>
    <row r="5486" spans="1:8" x14ac:dyDescent="0.3">
      <c r="A5486" s="22" t="s">
        <v>64</v>
      </c>
      <c r="B5486" t="s">
        <v>68</v>
      </c>
      <c r="C5486" s="30">
        <v>16.875</v>
      </c>
      <c r="D5486" s="30">
        <v>15</v>
      </c>
      <c r="E5486" s="30">
        <v>5</v>
      </c>
      <c r="F5486" s="30">
        <v>30</v>
      </c>
      <c r="G5486">
        <v>8</v>
      </c>
      <c r="H5486">
        <v>78</v>
      </c>
    </row>
    <row r="5487" spans="1:8" x14ac:dyDescent="0.3">
      <c r="C5487" s="30"/>
      <c r="D5487" s="30"/>
      <c r="E5487" s="30"/>
      <c r="F5487" s="30"/>
    </row>
    <row r="5488" spans="1:8" ht="57.6" x14ac:dyDescent="0.3">
      <c r="A5488" s="22" t="s">
        <v>1237</v>
      </c>
      <c r="C5488" s="30"/>
      <c r="D5488" s="30"/>
      <c r="E5488" s="30"/>
      <c r="F5488" s="30"/>
    </row>
    <row r="5489" spans="1:8" x14ac:dyDescent="0.3">
      <c r="A5489" s="22" t="s">
        <v>57</v>
      </c>
      <c r="B5489" t="s">
        <v>66</v>
      </c>
      <c r="C5489" s="30" t="s">
        <v>58</v>
      </c>
      <c r="D5489" s="30" t="s">
        <v>59</v>
      </c>
      <c r="E5489" s="30" t="s">
        <v>60</v>
      </c>
      <c r="F5489" s="30" t="s">
        <v>61</v>
      </c>
      <c r="G5489" t="s">
        <v>62</v>
      </c>
      <c r="H5489" t="s">
        <v>63</v>
      </c>
    </row>
    <row r="5490" spans="1:8" x14ac:dyDescent="0.3">
      <c r="A5490" s="22" t="s">
        <v>64</v>
      </c>
      <c r="B5490" t="s">
        <v>67</v>
      </c>
      <c r="C5490" s="30">
        <v>25.128205128205131</v>
      </c>
      <c r="D5490" s="30">
        <v>20</v>
      </c>
      <c r="E5490" s="30">
        <v>3</v>
      </c>
      <c r="F5490" s="30">
        <v>100</v>
      </c>
      <c r="G5490">
        <v>78</v>
      </c>
      <c r="H5490">
        <v>78</v>
      </c>
    </row>
    <row r="5491" spans="1:8" x14ac:dyDescent="0.3">
      <c r="C5491" s="30"/>
      <c r="D5491" s="30"/>
      <c r="E5491" s="30"/>
      <c r="F5491" s="30"/>
    </row>
    <row r="5492" spans="1:8" ht="43.2" x14ac:dyDescent="0.3">
      <c r="A5492" s="22" t="s">
        <v>1238</v>
      </c>
      <c r="C5492" s="30"/>
      <c r="D5492" s="30"/>
      <c r="E5492" s="30"/>
      <c r="F5492" s="30"/>
    </row>
    <row r="5493" spans="1:8" x14ac:dyDescent="0.3">
      <c r="A5493" s="22" t="s">
        <v>57</v>
      </c>
      <c r="B5493" t="s">
        <v>66</v>
      </c>
      <c r="C5493" s="30" t="s">
        <v>58</v>
      </c>
      <c r="D5493" s="30" t="s">
        <v>59</v>
      </c>
      <c r="E5493" s="30" t="s">
        <v>60</v>
      </c>
      <c r="F5493" s="30" t="s">
        <v>61</v>
      </c>
      <c r="G5493" t="s">
        <v>62</v>
      </c>
      <c r="H5493" t="s">
        <v>63</v>
      </c>
    </row>
    <row r="5494" spans="1:8" x14ac:dyDescent="0.3">
      <c r="A5494" s="22" t="s">
        <v>64</v>
      </c>
      <c r="B5494" t="s">
        <v>67</v>
      </c>
      <c r="C5494" s="30">
        <v>25.72727272727273</v>
      </c>
      <c r="D5494" s="30">
        <v>25</v>
      </c>
      <c r="E5494" s="30">
        <v>3</v>
      </c>
      <c r="F5494" s="30">
        <v>70</v>
      </c>
      <c r="G5494">
        <v>44</v>
      </c>
      <c r="H5494">
        <v>78</v>
      </c>
    </row>
    <row r="5495" spans="1:8" x14ac:dyDescent="0.3">
      <c r="A5495" s="22" t="s">
        <v>64</v>
      </c>
      <c r="B5495" t="s">
        <v>68</v>
      </c>
      <c r="C5495" s="30">
        <v>24.352941176470591</v>
      </c>
      <c r="D5495" s="30">
        <v>15</v>
      </c>
      <c r="E5495" s="30">
        <v>4</v>
      </c>
      <c r="F5495" s="30">
        <v>100</v>
      </c>
      <c r="G5495">
        <v>34</v>
      </c>
      <c r="H5495">
        <v>78</v>
      </c>
    </row>
    <row r="5496" spans="1:8" x14ac:dyDescent="0.3">
      <c r="C5496" s="30"/>
      <c r="D5496" s="30"/>
      <c r="E5496" s="30"/>
      <c r="F5496" s="30"/>
    </row>
    <row r="5497" spans="1:8" ht="57.6" x14ac:dyDescent="0.3">
      <c r="A5497" s="22" t="s">
        <v>1239</v>
      </c>
      <c r="C5497" s="30"/>
      <c r="D5497" s="30"/>
      <c r="E5497" s="30"/>
      <c r="F5497" s="30"/>
    </row>
    <row r="5498" spans="1:8" x14ac:dyDescent="0.3">
      <c r="A5498" s="22" t="s">
        <v>57</v>
      </c>
      <c r="B5498" t="s">
        <v>66</v>
      </c>
      <c r="C5498" s="30" t="s">
        <v>58</v>
      </c>
      <c r="D5498" s="30" t="s">
        <v>59</v>
      </c>
      <c r="E5498" s="30" t="s">
        <v>60</v>
      </c>
      <c r="F5498" s="30" t="s">
        <v>61</v>
      </c>
      <c r="G5498" t="s">
        <v>62</v>
      </c>
      <c r="H5498" t="s">
        <v>63</v>
      </c>
    </row>
    <row r="5499" spans="1:8" x14ac:dyDescent="0.3">
      <c r="A5499" s="22" t="s">
        <v>64</v>
      </c>
      <c r="B5499" t="s">
        <v>67</v>
      </c>
      <c r="C5499" s="30">
        <v>24.94202898550725</v>
      </c>
      <c r="D5499" s="30">
        <v>20</v>
      </c>
      <c r="E5499" s="30">
        <v>3</v>
      </c>
      <c r="F5499" s="30">
        <v>100</v>
      </c>
      <c r="G5499">
        <v>69</v>
      </c>
      <c r="H5499">
        <v>78</v>
      </c>
    </row>
    <row r="5500" spans="1:8" x14ac:dyDescent="0.3">
      <c r="A5500" s="22" t="s">
        <v>64</v>
      </c>
      <c r="B5500" t="s">
        <v>68</v>
      </c>
      <c r="C5500" s="30">
        <v>26.555555555555561</v>
      </c>
      <c r="D5500" s="30">
        <v>30</v>
      </c>
      <c r="E5500" s="30">
        <v>4</v>
      </c>
      <c r="F5500" s="30">
        <v>60</v>
      </c>
      <c r="G5500">
        <v>9</v>
      </c>
      <c r="H5500">
        <v>78</v>
      </c>
    </row>
    <row r="5501" spans="1:8" x14ac:dyDescent="0.3">
      <c r="C5501" s="30"/>
      <c r="D5501" s="30"/>
      <c r="E5501" s="30"/>
      <c r="F5501" s="30"/>
    </row>
    <row r="5502" spans="1:8" ht="43.2" x14ac:dyDescent="0.3">
      <c r="A5502" s="27" t="s">
        <v>1240</v>
      </c>
      <c r="C5502" s="30"/>
      <c r="D5502" s="30"/>
      <c r="E5502" s="30"/>
      <c r="F5502" s="30"/>
    </row>
    <row r="5503" spans="1:8" x14ac:dyDescent="0.3">
      <c r="A5503" s="22" t="s">
        <v>57</v>
      </c>
      <c r="B5503" t="s">
        <v>66</v>
      </c>
      <c r="C5503" s="30" t="s">
        <v>58</v>
      </c>
      <c r="D5503" s="30" t="s">
        <v>59</v>
      </c>
      <c r="E5503" s="30" t="s">
        <v>60</v>
      </c>
      <c r="F5503" s="30" t="s">
        <v>61</v>
      </c>
      <c r="G5503" t="s">
        <v>62</v>
      </c>
      <c r="H5503" t="s">
        <v>63</v>
      </c>
    </row>
    <row r="5504" spans="1:8" x14ac:dyDescent="0.3">
      <c r="A5504" s="22" t="s">
        <v>64</v>
      </c>
      <c r="B5504" t="s">
        <v>81</v>
      </c>
      <c r="C5504" s="30">
        <v>24.5</v>
      </c>
      <c r="D5504" s="30">
        <v>20</v>
      </c>
      <c r="E5504" s="30">
        <v>5</v>
      </c>
      <c r="F5504" s="30">
        <v>70</v>
      </c>
      <c r="G5504">
        <v>14</v>
      </c>
      <c r="H5504">
        <v>78</v>
      </c>
    </row>
    <row r="5505" spans="1:8" x14ac:dyDescent="0.3">
      <c r="A5505" s="22" t="s">
        <v>64</v>
      </c>
      <c r="B5505" t="s">
        <v>82</v>
      </c>
      <c r="C5505" s="30">
        <v>28.27272727272727</v>
      </c>
      <c r="D5505" s="30">
        <v>25</v>
      </c>
      <c r="E5505" s="30">
        <v>5</v>
      </c>
      <c r="F5505" s="30">
        <v>100</v>
      </c>
      <c r="G5505">
        <v>22</v>
      </c>
      <c r="H5505">
        <v>78</v>
      </c>
    </row>
    <row r="5506" spans="1:8" x14ac:dyDescent="0.3">
      <c r="A5506" s="22" t="s">
        <v>64</v>
      </c>
      <c r="B5506" t="s">
        <v>83</v>
      </c>
      <c r="C5506" s="30">
        <v>23.6</v>
      </c>
      <c r="D5506" s="30">
        <v>20</v>
      </c>
      <c r="E5506" s="30">
        <v>3</v>
      </c>
      <c r="F5506" s="30">
        <v>70</v>
      </c>
      <c r="G5506">
        <v>20</v>
      </c>
      <c r="H5506">
        <v>78</v>
      </c>
    </row>
    <row r="5507" spans="1:8" x14ac:dyDescent="0.3">
      <c r="A5507" s="22" t="s">
        <v>64</v>
      </c>
      <c r="B5507" t="s">
        <v>84</v>
      </c>
      <c r="C5507" s="30">
        <v>23.77272727272727</v>
      </c>
      <c r="D5507" s="30">
        <v>15</v>
      </c>
      <c r="E5507" s="30">
        <v>4</v>
      </c>
      <c r="F5507" s="30">
        <v>60</v>
      </c>
      <c r="G5507">
        <v>22</v>
      </c>
      <c r="H5507">
        <v>78</v>
      </c>
    </row>
    <row r="5509" spans="1:8" ht="28.8" x14ac:dyDescent="0.3">
      <c r="A5509" s="27" t="s">
        <v>1241</v>
      </c>
    </row>
    <row r="5510" spans="1:8" x14ac:dyDescent="0.3">
      <c r="A5510" s="22" t="s">
        <v>57</v>
      </c>
      <c r="B5510" t="s">
        <v>58</v>
      </c>
      <c r="C5510" t="s">
        <v>59</v>
      </c>
      <c r="D5510" t="s">
        <v>60</v>
      </c>
      <c r="E5510" t="s">
        <v>61</v>
      </c>
      <c r="F5510" t="s">
        <v>62</v>
      </c>
      <c r="G5510" t="s">
        <v>63</v>
      </c>
    </row>
    <row r="5511" spans="1:8" x14ac:dyDescent="0.3">
      <c r="A5511" s="22" t="s">
        <v>64</v>
      </c>
      <c r="B5511" s="30">
        <v>9.6666666666666661</v>
      </c>
      <c r="C5511" s="30">
        <v>10</v>
      </c>
      <c r="D5511" s="30">
        <v>0</v>
      </c>
      <c r="E5511" s="30">
        <v>15</v>
      </c>
      <c r="F5511">
        <v>6</v>
      </c>
      <c r="G5511">
        <v>6</v>
      </c>
    </row>
    <row r="5513" spans="1:8" ht="57.6" x14ac:dyDescent="0.3">
      <c r="A5513" s="22" t="s">
        <v>1242</v>
      </c>
    </row>
    <row r="5514" spans="1:8" x14ac:dyDescent="0.3">
      <c r="A5514" s="22" t="s">
        <v>57</v>
      </c>
      <c r="B5514" t="s">
        <v>66</v>
      </c>
      <c r="C5514" t="s">
        <v>58</v>
      </c>
      <c r="D5514" t="s">
        <v>59</v>
      </c>
      <c r="E5514" t="s">
        <v>60</v>
      </c>
      <c r="F5514" t="s">
        <v>61</v>
      </c>
      <c r="G5514" t="s">
        <v>62</v>
      </c>
      <c r="H5514" t="s">
        <v>63</v>
      </c>
    </row>
    <row r="5515" spans="1:8" x14ac:dyDescent="0.3">
      <c r="A5515" s="22" t="s">
        <v>64</v>
      </c>
      <c r="B5515" t="s">
        <v>67</v>
      </c>
      <c r="C5515" s="30">
        <v>9.6666666666666661</v>
      </c>
      <c r="D5515" s="30">
        <v>10</v>
      </c>
      <c r="E5515" s="30">
        <v>0</v>
      </c>
      <c r="F5515" s="30">
        <v>15</v>
      </c>
      <c r="G5515">
        <v>6</v>
      </c>
      <c r="H5515">
        <v>6</v>
      </c>
    </row>
    <row r="5516" spans="1:8" x14ac:dyDescent="0.3">
      <c r="C5516" s="30"/>
      <c r="D5516" s="30"/>
      <c r="E5516" s="30"/>
      <c r="F5516" s="30"/>
    </row>
    <row r="5517" spans="1:8" x14ac:dyDescent="0.3">
      <c r="A5517"/>
      <c r="C5517" s="30"/>
      <c r="D5517" s="30"/>
      <c r="E5517" s="30"/>
      <c r="F5517" s="30"/>
    </row>
    <row r="5518" spans="1:8" x14ac:dyDescent="0.3">
      <c r="A5518"/>
      <c r="C5518" s="30"/>
      <c r="D5518" s="30"/>
      <c r="E5518" s="30"/>
      <c r="F5518" s="30"/>
    </row>
    <row r="5519" spans="1:8" x14ac:dyDescent="0.3">
      <c r="A5519"/>
      <c r="C5519" s="30"/>
      <c r="D5519" s="30"/>
      <c r="E5519" s="30"/>
      <c r="F5519" s="30"/>
    </row>
    <row r="5520" spans="1:8" x14ac:dyDescent="0.3">
      <c r="C5520" s="30"/>
      <c r="D5520" s="30"/>
      <c r="E5520" s="30"/>
      <c r="F5520" s="30"/>
    </row>
    <row r="5521" spans="1:8" ht="57.6" x14ac:dyDescent="0.3">
      <c r="A5521" s="22" t="s">
        <v>1243</v>
      </c>
      <c r="C5521" s="30"/>
      <c r="D5521" s="30"/>
      <c r="E5521" s="30"/>
      <c r="F5521" s="30"/>
    </row>
    <row r="5522" spans="1:8" x14ac:dyDescent="0.3">
      <c r="A5522" s="22" t="s">
        <v>57</v>
      </c>
      <c r="B5522" t="s">
        <v>66</v>
      </c>
      <c r="C5522" s="30" t="s">
        <v>58</v>
      </c>
      <c r="D5522" s="30" t="s">
        <v>59</v>
      </c>
      <c r="E5522" s="30" t="s">
        <v>60</v>
      </c>
      <c r="F5522" s="30" t="s">
        <v>61</v>
      </c>
      <c r="G5522" t="s">
        <v>62</v>
      </c>
      <c r="H5522" t="s">
        <v>63</v>
      </c>
    </row>
    <row r="5523" spans="1:8" x14ac:dyDescent="0.3">
      <c r="A5523" s="22" t="s">
        <v>64</v>
      </c>
      <c r="B5523" t="s">
        <v>67</v>
      </c>
      <c r="C5523" s="30">
        <v>9.6666666666666661</v>
      </c>
      <c r="D5523" s="30">
        <v>10</v>
      </c>
      <c r="E5523" s="30">
        <v>0</v>
      </c>
      <c r="F5523" s="30">
        <v>15</v>
      </c>
      <c r="G5523">
        <v>6</v>
      </c>
      <c r="H5523">
        <v>6</v>
      </c>
    </row>
    <row r="5524" spans="1:8" x14ac:dyDescent="0.3">
      <c r="C5524" s="30"/>
      <c r="D5524" s="30"/>
      <c r="E5524" s="30"/>
      <c r="F5524" s="30"/>
    </row>
    <row r="5525" spans="1:8" ht="57.6" x14ac:dyDescent="0.3">
      <c r="A5525" s="22" t="s">
        <v>1244</v>
      </c>
      <c r="C5525" s="30"/>
      <c r="D5525" s="30"/>
      <c r="E5525" s="30"/>
      <c r="F5525" s="30"/>
    </row>
    <row r="5526" spans="1:8" x14ac:dyDescent="0.3">
      <c r="A5526" s="22" t="s">
        <v>57</v>
      </c>
      <c r="B5526" t="s">
        <v>66</v>
      </c>
      <c r="C5526" s="30" t="s">
        <v>58</v>
      </c>
      <c r="D5526" s="30" t="s">
        <v>59</v>
      </c>
      <c r="E5526" s="30" t="s">
        <v>60</v>
      </c>
      <c r="F5526" s="30" t="s">
        <v>61</v>
      </c>
      <c r="G5526" t="s">
        <v>62</v>
      </c>
      <c r="H5526" t="s">
        <v>63</v>
      </c>
    </row>
    <row r="5527" spans="1:8" x14ac:dyDescent="0.3">
      <c r="A5527" s="22" t="s">
        <v>64</v>
      </c>
      <c r="B5527" t="s">
        <v>67</v>
      </c>
      <c r="C5527" s="30">
        <v>9.6666666666666661</v>
      </c>
      <c r="D5527" s="30">
        <v>10</v>
      </c>
      <c r="E5527" s="30">
        <v>0</v>
      </c>
      <c r="F5527" s="30">
        <v>15</v>
      </c>
      <c r="G5527">
        <v>6</v>
      </c>
      <c r="H5527">
        <v>6</v>
      </c>
    </row>
    <row r="5528" spans="1:8" x14ac:dyDescent="0.3">
      <c r="C5528" s="30"/>
      <c r="D5528" s="30"/>
      <c r="E5528" s="30"/>
      <c r="F5528" s="30"/>
    </row>
    <row r="5529" spans="1:8" ht="57.6" x14ac:dyDescent="0.3">
      <c r="A5529" s="22" t="s">
        <v>1245</v>
      </c>
      <c r="C5529" s="30"/>
      <c r="D5529" s="30"/>
      <c r="E5529" s="30"/>
      <c r="F5529" s="30"/>
    </row>
    <row r="5530" spans="1:8" x14ac:dyDescent="0.3">
      <c r="A5530" s="22" t="s">
        <v>57</v>
      </c>
      <c r="B5530" t="s">
        <v>66</v>
      </c>
      <c r="C5530" s="30" t="s">
        <v>58</v>
      </c>
      <c r="D5530" s="30" t="s">
        <v>59</v>
      </c>
      <c r="E5530" s="30" t="s">
        <v>60</v>
      </c>
      <c r="F5530" s="30" t="s">
        <v>61</v>
      </c>
      <c r="G5530" t="s">
        <v>62</v>
      </c>
      <c r="H5530" t="s">
        <v>63</v>
      </c>
    </row>
    <row r="5531" spans="1:8" x14ac:dyDescent="0.3">
      <c r="A5531" s="22" t="s">
        <v>64</v>
      </c>
      <c r="B5531" t="s">
        <v>67</v>
      </c>
      <c r="C5531" s="30">
        <v>9.6666666666666661</v>
      </c>
      <c r="D5531" s="30">
        <v>10</v>
      </c>
      <c r="E5531" s="30">
        <v>0</v>
      </c>
      <c r="F5531" s="30">
        <v>15</v>
      </c>
      <c r="G5531">
        <v>6</v>
      </c>
      <c r="H5531">
        <v>6</v>
      </c>
    </row>
    <row r="5532" spans="1:8" x14ac:dyDescent="0.3">
      <c r="C5532" s="30"/>
      <c r="D5532" s="30"/>
      <c r="E5532" s="30"/>
      <c r="F5532" s="30"/>
    </row>
    <row r="5533" spans="1:8" ht="57.6" x14ac:dyDescent="0.3">
      <c r="A5533" s="22" t="s">
        <v>1246</v>
      </c>
      <c r="C5533" s="30"/>
      <c r="D5533" s="30"/>
      <c r="E5533" s="30"/>
      <c r="F5533" s="30"/>
    </row>
    <row r="5534" spans="1:8" x14ac:dyDescent="0.3">
      <c r="A5534" s="22" t="s">
        <v>57</v>
      </c>
      <c r="B5534" t="s">
        <v>66</v>
      </c>
      <c r="C5534" s="30" t="s">
        <v>58</v>
      </c>
      <c r="D5534" s="30" t="s">
        <v>59</v>
      </c>
      <c r="E5534" s="30" t="s">
        <v>60</v>
      </c>
      <c r="F5534" s="30" t="s">
        <v>61</v>
      </c>
      <c r="G5534" t="s">
        <v>62</v>
      </c>
      <c r="H5534" t="s">
        <v>63</v>
      </c>
    </row>
    <row r="5535" spans="1:8" x14ac:dyDescent="0.3">
      <c r="A5535" s="22" t="s">
        <v>64</v>
      </c>
      <c r="B5535" t="s">
        <v>68</v>
      </c>
      <c r="C5535" s="30">
        <v>9.6666666666666661</v>
      </c>
      <c r="D5535" s="30">
        <v>10</v>
      </c>
      <c r="E5535" s="30">
        <v>0</v>
      </c>
      <c r="F5535" s="30">
        <v>15</v>
      </c>
      <c r="G5535">
        <v>6</v>
      </c>
      <c r="H5535">
        <v>6</v>
      </c>
    </row>
    <row r="5536" spans="1:8" x14ac:dyDescent="0.3">
      <c r="C5536" s="30"/>
      <c r="D5536" s="30"/>
      <c r="E5536" s="30"/>
      <c r="F5536" s="30"/>
    </row>
    <row r="5537" spans="1:8" ht="57.6" x14ac:dyDescent="0.3">
      <c r="A5537" s="22" t="s">
        <v>1247</v>
      </c>
      <c r="C5537" s="30"/>
      <c r="D5537" s="30"/>
      <c r="E5537" s="30"/>
      <c r="F5537" s="30"/>
    </row>
    <row r="5538" spans="1:8" x14ac:dyDescent="0.3">
      <c r="A5538" s="22" t="s">
        <v>57</v>
      </c>
      <c r="B5538" t="s">
        <v>66</v>
      </c>
      <c r="C5538" s="30" t="s">
        <v>58</v>
      </c>
      <c r="D5538" s="30" t="s">
        <v>59</v>
      </c>
      <c r="E5538" s="30" t="s">
        <v>60</v>
      </c>
      <c r="F5538" s="30" t="s">
        <v>61</v>
      </c>
      <c r="G5538" t="s">
        <v>62</v>
      </c>
      <c r="H5538" t="s">
        <v>63</v>
      </c>
    </row>
    <row r="5539" spans="1:8" x14ac:dyDescent="0.3">
      <c r="A5539" s="22" t="s">
        <v>64</v>
      </c>
      <c r="B5539" t="s">
        <v>67</v>
      </c>
      <c r="C5539" s="30">
        <v>9.6</v>
      </c>
      <c r="D5539" s="30">
        <v>15</v>
      </c>
      <c r="E5539" s="30">
        <v>0</v>
      </c>
      <c r="F5539" s="30">
        <v>15</v>
      </c>
      <c r="G5539">
        <v>5</v>
      </c>
      <c r="H5539">
        <v>6</v>
      </c>
    </row>
    <row r="5540" spans="1:8" x14ac:dyDescent="0.3">
      <c r="A5540" s="22" t="s">
        <v>64</v>
      </c>
      <c r="B5540" t="s">
        <v>68</v>
      </c>
      <c r="C5540" s="30">
        <v>10</v>
      </c>
      <c r="D5540" s="30">
        <v>10</v>
      </c>
      <c r="E5540" s="30">
        <v>10</v>
      </c>
      <c r="F5540" s="30">
        <v>10</v>
      </c>
      <c r="G5540">
        <v>1</v>
      </c>
      <c r="H5540">
        <v>6</v>
      </c>
    </row>
    <row r="5541" spans="1:8" x14ac:dyDescent="0.3">
      <c r="C5541" s="30"/>
      <c r="D5541" s="30"/>
      <c r="E5541" s="30"/>
      <c r="F5541" s="30"/>
    </row>
    <row r="5542" spans="1:8" ht="57.6" x14ac:dyDescent="0.3">
      <c r="A5542" s="22" t="s">
        <v>1248</v>
      </c>
      <c r="C5542" s="30"/>
      <c r="D5542" s="30"/>
      <c r="E5542" s="30"/>
      <c r="F5542" s="30"/>
    </row>
    <row r="5543" spans="1:8" x14ac:dyDescent="0.3">
      <c r="A5543" s="22" t="s">
        <v>57</v>
      </c>
      <c r="B5543" t="s">
        <v>66</v>
      </c>
      <c r="C5543" s="30" t="s">
        <v>58</v>
      </c>
      <c r="D5543" s="30" t="s">
        <v>59</v>
      </c>
      <c r="E5543" s="30" t="s">
        <v>60</v>
      </c>
      <c r="F5543" s="30" t="s">
        <v>61</v>
      </c>
      <c r="G5543" t="s">
        <v>62</v>
      </c>
      <c r="H5543" t="s">
        <v>63</v>
      </c>
    </row>
    <row r="5544" spans="1:8" x14ac:dyDescent="0.3">
      <c r="A5544" s="22" t="s">
        <v>64</v>
      </c>
      <c r="B5544" t="s">
        <v>67</v>
      </c>
      <c r="C5544" s="30">
        <v>9.6</v>
      </c>
      <c r="D5544" s="30">
        <v>15</v>
      </c>
      <c r="E5544" s="30">
        <v>0</v>
      </c>
      <c r="F5544" s="30">
        <v>15</v>
      </c>
      <c r="G5544">
        <v>5</v>
      </c>
      <c r="H5544">
        <v>6</v>
      </c>
    </row>
    <row r="5545" spans="1:8" x14ac:dyDescent="0.3">
      <c r="A5545" s="22" t="s">
        <v>64</v>
      </c>
      <c r="B5545" t="s">
        <v>68</v>
      </c>
      <c r="C5545" s="30">
        <v>10</v>
      </c>
      <c r="D5545" s="30">
        <v>10</v>
      </c>
      <c r="E5545" s="30">
        <v>10</v>
      </c>
      <c r="F5545" s="30">
        <v>10</v>
      </c>
      <c r="G5545">
        <v>1</v>
      </c>
      <c r="H5545">
        <v>6</v>
      </c>
    </row>
    <row r="5546" spans="1:8" x14ac:dyDescent="0.3">
      <c r="C5546" s="30"/>
      <c r="D5546" s="30"/>
      <c r="E5546" s="30"/>
      <c r="F5546" s="30"/>
    </row>
    <row r="5547" spans="1:8" ht="57.6" x14ac:dyDescent="0.3">
      <c r="A5547" s="22" t="s">
        <v>1249</v>
      </c>
      <c r="C5547" s="30"/>
      <c r="D5547" s="30"/>
      <c r="E5547" s="30"/>
      <c r="F5547" s="30"/>
    </row>
    <row r="5548" spans="1:8" x14ac:dyDescent="0.3">
      <c r="A5548" s="22" t="s">
        <v>57</v>
      </c>
      <c r="B5548" t="s">
        <v>66</v>
      </c>
      <c r="C5548" s="30" t="s">
        <v>58</v>
      </c>
      <c r="D5548" s="30" t="s">
        <v>59</v>
      </c>
      <c r="E5548" s="30" t="s">
        <v>60</v>
      </c>
      <c r="F5548" s="30" t="s">
        <v>61</v>
      </c>
      <c r="G5548" t="s">
        <v>62</v>
      </c>
      <c r="H5548" t="s">
        <v>63</v>
      </c>
    </row>
    <row r="5549" spans="1:8" x14ac:dyDescent="0.3">
      <c r="A5549" s="22" t="s">
        <v>64</v>
      </c>
      <c r="B5549" t="s">
        <v>67</v>
      </c>
      <c r="C5549" s="30">
        <v>7</v>
      </c>
      <c r="D5549" s="30">
        <v>8</v>
      </c>
      <c r="E5549" s="30">
        <v>0</v>
      </c>
      <c r="F5549" s="30">
        <v>10</v>
      </c>
      <c r="G5549">
        <v>4</v>
      </c>
      <c r="H5549">
        <v>6</v>
      </c>
    </row>
    <row r="5550" spans="1:8" x14ac:dyDescent="0.3">
      <c r="A5550" s="22" t="s">
        <v>64</v>
      </c>
      <c r="B5550" t="s">
        <v>68</v>
      </c>
      <c r="C5550" s="30">
        <v>15</v>
      </c>
      <c r="D5550" s="30">
        <v>15</v>
      </c>
      <c r="E5550" s="30">
        <v>15</v>
      </c>
      <c r="F5550" s="30">
        <v>15</v>
      </c>
      <c r="G5550">
        <v>2</v>
      </c>
      <c r="H5550">
        <v>6</v>
      </c>
    </row>
    <row r="5551" spans="1:8" x14ac:dyDescent="0.3">
      <c r="C5551" s="30"/>
      <c r="D5551" s="30"/>
      <c r="E5551" s="30"/>
      <c r="F5551" s="30"/>
    </row>
    <row r="5552" spans="1:8" ht="72" x14ac:dyDescent="0.3">
      <c r="A5552" s="22" t="s">
        <v>1250</v>
      </c>
      <c r="C5552" s="30"/>
      <c r="D5552" s="30"/>
      <c r="E5552" s="30"/>
      <c r="F5552" s="30"/>
    </row>
    <row r="5553" spans="1:8" x14ac:dyDescent="0.3">
      <c r="A5553" s="22" t="s">
        <v>57</v>
      </c>
      <c r="B5553" t="s">
        <v>66</v>
      </c>
      <c r="C5553" s="30" t="s">
        <v>58</v>
      </c>
      <c r="D5553" s="30" t="s">
        <v>59</v>
      </c>
      <c r="E5553" s="30" t="s">
        <v>60</v>
      </c>
      <c r="F5553" s="30" t="s">
        <v>61</v>
      </c>
      <c r="G5553" t="s">
        <v>62</v>
      </c>
      <c r="H5553" t="s">
        <v>63</v>
      </c>
    </row>
    <row r="5554" spans="1:8" x14ac:dyDescent="0.3">
      <c r="A5554" s="22" t="s">
        <v>64</v>
      </c>
      <c r="B5554" t="s">
        <v>67</v>
      </c>
      <c r="C5554" s="30">
        <v>10.75</v>
      </c>
      <c r="D5554" s="30">
        <v>10</v>
      </c>
      <c r="E5554" s="30">
        <v>8</v>
      </c>
      <c r="F5554" s="30">
        <v>15</v>
      </c>
      <c r="G5554">
        <v>4</v>
      </c>
      <c r="H5554">
        <v>6</v>
      </c>
    </row>
    <row r="5555" spans="1:8" x14ac:dyDescent="0.3">
      <c r="A5555" s="22" t="s">
        <v>64</v>
      </c>
      <c r="B5555" t="s">
        <v>68</v>
      </c>
      <c r="C5555" s="30">
        <v>7.5</v>
      </c>
      <c r="D5555" s="30">
        <v>0</v>
      </c>
      <c r="E5555" s="30">
        <v>0</v>
      </c>
      <c r="F5555" s="30">
        <v>15</v>
      </c>
      <c r="G5555">
        <v>2</v>
      </c>
      <c r="H5555">
        <v>6</v>
      </c>
    </row>
    <row r="5556" spans="1:8" x14ac:dyDescent="0.3">
      <c r="C5556" s="30"/>
      <c r="D5556" s="30"/>
      <c r="E5556" s="30"/>
      <c r="F5556" s="30"/>
    </row>
    <row r="5557" spans="1:8" ht="72" x14ac:dyDescent="0.3">
      <c r="A5557" s="22" t="s">
        <v>1251</v>
      </c>
      <c r="C5557" s="30"/>
      <c r="D5557" s="30"/>
      <c r="E5557" s="30"/>
      <c r="F5557" s="30"/>
    </row>
    <row r="5558" spans="1:8" x14ac:dyDescent="0.3">
      <c r="A5558" s="22" t="s">
        <v>57</v>
      </c>
      <c r="B5558" t="s">
        <v>66</v>
      </c>
      <c r="C5558" s="30" t="s">
        <v>58</v>
      </c>
      <c r="D5558" s="30" t="s">
        <v>59</v>
      </c>
      <c r="E5558" s="30" t="s">
        <v>60</v>
      </c>
      <c r="F5558" s="30" t="s">
        <v>61</v>
      </c>
      <c r="G5558" t="s">
        <v>62</v>
      </c>
      <c r="H5558" t="s">
        <v>63</v>
      </c>
    </row>
    <row r="5559" spans="1:8" x14ac:dyDescent="0.3">
      <c r="A5559" s="22" t="s">
        <v>64</v>
      </c>
      <c r="B5559" t="s">
        <v>67</v>
      </c>
      <c r="C5559" s="30">
        <v>9.6666666666666661</v>
      </c>
      <c r="D5559" s="30">
        <v>10</v>
      </c>
      <c r="E5559" s="30">
        <v>0</v>
      </c>
      <c r="F5559" s="30">
        <v>15</v>
      </c>
      <c r="G5559">
        <v>6</v>
      </c>
      <c r="H5559">
        <v>6</v>
      </c>
    </row>
    <row r="5560" spans="1:8" x14ac:dyDescent="0.3">
      <c r="C5560" s="30"/>
      <c r="D5560" s="30"/>
      <c r="E5560" s="30"/>
      <c r="F5560" s="30"/>
    </row>
    <row r="5561" spans="1:8" ht="57.6" x14ac:dyDescent="0.3">
      <c r="A5561" s="22" t="s">
        <v>1252</v>
      </c>
      <c r="C5561" s="30"/>
      <c r="D5561" s="30"/>
      <c r="E5561" s="30"/>
      <c r="F5561" s="30"/>
    </row>
    <row r="5562" spans="1:8" x14ac:dyDescent="0.3">
      <c r="A5562" s="22" t="s">
        <v>57</v>
      </c>
      <c r="B5562" t="s">
        <v>66</v>
      </c>
      <c r="C5562" s="30" t="s">
        <v>58</v>
      </c>
      <c r="D5562" s="30" t="s">
        <v>59</v>
      </c>
      <c r="E5562" s="30" t="s">
        <v>60</v>
      </c>
      <c r="F5562" s="30" t="s">
        <v>61</v>
      </c>
      <c r="G5562" t="s">
        <v>62</v>
      </c>
      <c r="H5562" t="s">
        <v>63</v>
      </c>
    </row>
    <row r="5563" spans="1:8" x14ac:dyDescent="0.3">
      <c r="A5563" s="22" t="s">
        <v>64</v>
      </c>
      <c r="B5563" t="s">
        <v>67</v>
      </c>
      <c r="C5563" s="30">
        <v>9</v>
      </c>
      <c r="D5563" s="30">
        <v>8</v>
      </c>
      <c r="E5563" s="30">
        <v>8</v>
      </c>
      <c r="F5563" s="30">
        <v>10</v>
      </c>
      <c r="G5563">
        <v>2</v>
      </c>
      <c r="H5563">
        <v>6</v>
      </c>
    </row>
    <row r="5564" spans="1:8" x14ac:dyDescent="0.3">
      <c r="A5564" s="22" t="s">
        <v>64</v>
      </c>
      <c r="B5564" t="s">
        <v>68</v>
      </c>
      <c r="C5564" s="30">
        <v>10</v>
      </c>
      <c r="D5564" s="30">
        <v>10</v>
      </c>
      <c r="E5564" s="30">
        <v>0</v>
      </c>
      <c r="F5564" s="30">
        <v>15</v>
      </c>
      <c r="G5564">
        <v>4</v>
      </c>
      <c r="H5564">
        <v>6</v>
      </c>
    </row>
    <row r="5565" spans="1:8" x14ac:dyDescent="0.3">
      <c r="C5565" s="30"/>
      <c r="D5565" s="30"/>
      <c r="E5565" s="30"/>
      <c r="F5565" s="30"/>
    </row>
    <row r="5566" spans="1:8" ht="57.6" x14ac:dyDescent="0.3">
      <c r="A5566" s="22" t="s">
        <v>1253</v>
      </c>
      <c r="C5566" s="30"/>
      <c r="D5566" s="30"/>
      <c r="E5566" s="30"/>
      <c r="F5566" s="30"/>
    </row>
    <row r="5567" spans="1:8" x14ac:dyDescent="0.3">
      <c r="A5567" s="22" t="s">
        <v>57</v>
      </c>
      <c r="B5567" t="s">
        <v>66</v>
      </c>
      <c r="C5567" s="30" t="s">
        <v>58</v>
      </c>
      <c r="D5567" s="30" t="s">
        <v>59</v>
      </c>
      <c r="E5567" s="30" t="s">
        <v>60</v>
      </c>
      <c r="F5567" s="30" t="s">
        <v>61</v>
      </c>
      <c r="G5567" t="s">
        <v>62</v>
      </c>
      <c r="H5567" t="s">
        <v>63</v>
      </c>
    </row>
    <row r="5568" spans="1:8" x14ac:dyDescent="0.3">
      <c r="A5568" s="22" t="s">
        <v>64</v>
      </c>
      <c r="B5568" t="s">
        <v>67</v>
      </c>
      <c r="C5568" s="30">
        <v>11.6</v>
      </c>
      <c r="D5568" s="30">
        <v>15</v>
      </c>
      <c r="E5568" s="30">
        <v>8</v>
      </c>
      <c r="F5568" s="30">
        <v>15</v>
      </c>
      <c r="G5568">
        <v>5</v>
      </c>
      <c r="H5568">
        <v>6</v>
      </c>
    </row>
    <row r="5569" spans="1:8" x14ac:dyDescent="0.3">
      <c r="A5569" s="22" t="s">
        <v>64</v>
      </c>
      <c r="B5569" t="s">
        <v>68</v>
      </c>
      <c r="C5569" s="30">
        <v>0</v>
      </c>
      <c r="D5569" s="30">
        <v>0</v>
      </c>
      <c r="E5569" s="30">
        <v>0</v>
      </c>
      <c r="F5569" s="30">
        <v>0</v>
      </c>
      <c r="G5569">
        <v>1</v>
      </c>
      <c r="H5569">
        <v>6</v>
      </c>
    </row>
    <row r="5570" spans="1:8" x14ac:dyDescent="0.3">
      <c r="C5570" s="30"/>
      <c r="D5570" s="30"/>
      <c r="E5570" s="30"/>
      <c r="F5570" s="30"/>
    </row>
    <row r="5571" spans="1:8" ht="43.2" x14ac:dyDescent="0.3">
      <c r="A5571" s="27" t="s">
        <v>1254</v>
      </c>
      <c r="C5571" s="30"/>
      <c r="D5571" s="30"/>
      <c r="E5571" s="30"/>
      <c r="F5571" s="30"/>
    </row>
    <row r="5572" spans="1:8" x14ac:dyDescent="0.3">
      <c r="A5572" s="22" t="s">
        <v>57</v>
      </c>
      <c r="B5572" t="s">
        <v>66</v>
      </c>
      <c r="C5572" s="30" t="s">
        <v>58</v>
      </c>
      <c r="D5572" s="30" t="s">
        <v>59</v>
      </c>
      <c r="E5572" s="30" t="s">
        <v>60</v>
      </c>
      <c r="F5572" s="30" t="s">
        <v>61</v>
      </c>
      <c r="G5572" t="s">
        <v>62</v>
      </c>
      <c r="H5572" t="s">
        <v>63</v>
      </c>
    </row>
    <row r="5573" spans="1:8" x14ac:dyDescent="0.3">
      <c r="A5573" s="22" t="s">
        <v>64</v>
      </c>
      <c r="B5573" t="s">
        <v>81</v>
      </c>
      <c r="C5573" s="30">
        <v>11</v>
      </c>
      <c r="D5573" s="30">
        <v>15</v>
      </c>
      <c r="E5573" s="30">
        <v>8</v>
      </c>
      <c r="F5573" s="30">
        <v>15</v>
      </c>
      <c r="G5573">
        <v>3</v>
      </c>
      <c r="H5573">
        <v>6</v>
      </c>
    </row>
    <row r="5574" spans="1:8" x14ac:dyDescent="0.3">
      <c r="A5574" s="22" t="s">
        <v>64</v>
      </c>
      <c r="B5574" t="s">
        <v>84</v>
      </c>
      <c r="C5574" s="30">
        <v>8.3333333333333339</v>
      </c>
      <c r="D5574" s="30">
        <v>15</v>
      </c>
      <c r="E5574" s="30">
        <v>0</v>
      </c>
      <c r="F5574" s="30">
        <v>15</v>
      </c>
      <c r="G5574">
        <v>3</v>
      </c>
      <c r="H5574">
        <v>6</v>
      </c>
    </row>
    <row r="5576" spans="1:8" ht="28.8" x14ac:dyDescent="0.3">
      <c r="A5576" s="27" t="s">
        <v>1255</v>
      </c>
    </row>
    <row r="5577" spans="1:8" x14ac:dyDescent="0.3">
      <c r="A5577" s="22" t="s">
        <v>57</v>
      </c>
      <c r="B5577" t="s">
        <v>58</v>
      </c>
      <c r="C5577" t="s">
        <v>59</v>
      </c>
      <c r="D5577" t="s">
        <v>60</v>
      </c>
      <c r="E5577" t="s">
        <v>61</v>
      </c>
      <c r="F5577" t="s">
        <v>62</v>
      </c>
      <c r="G5577" t="s">
        <v>63</v>
      </c>
    </row>
    <row r="5578" spans="1:8" x14ac:dyDescent="0.3">
      <c r="A5578" s="22" t="s">
        <v>64</v>
      </c>
      <c r="B5578" s="30">
        <v>21.428571428571431</v>
      </c>
      <c r="C5578" s="30">
        <v>15</v>
      </c>
      <c r="D5578" s="30">
        <v>5</v>
      </c>
      <c r="E5578" s="30">
        <v>50</v>
      </c>
      <c r="F5578">
        <v>7</v>
      </c>
      <c r="G5578">
        <v>7</v>
      </c>
    </row>
    <row r="5579" spans="1:8" x14ac:dyDescent="0.3">
      <c r="B5579" s="30"/>
      <c r="C5579" s="30"/>
      <c r="D5579" s="30"/>
      <c r="E5579" s="30"/>
      <c r="F5579" s="30"/>
    </row>
    <row r="5580" spans="1:8" ht="57.6" x14ac:dyDescent="0.3">
      <c r="A5580" s="22" t="s">
        <v>1256</v>
      </c>
      <c r="C5580" s="30"/>
      <c r="D5580" s="30"/>
      <c r="E5580" s="30"/>
      <c r="F5580" s="30"/>
    </row>
    <row r="5581" spans="1:8" x14ac:dyDescent="0.3">
      <c r="A5581" s="22" t="s">
        <v>57</v>
      </c>
      <c r="B5581" t="s">
        <v>66</v>
      </c>
      <c r="C5581" s="30" t="s">
        <v>58</v>
      </c>
      <c r="D5581" s="30" t="s">
        <v>59</v>
      </c>
      <c r="E5581" s="30" t="s">
        <v>60</v>
      </c>
      <c r="F5581" s="30" t="s">
        <v>61</v>
      </c>
      <c r="G5581" t="s">
        <v>62</v>
      </c>
      <c r="H5581" t="s">
        <v>63</v>
      </c>
    </row>
    <row r="5582" spans="1:8" x14ac:dyDescent="0.3">
      <c r="A5582" s="22" t="s">
        <v>64</v>
      </c>
      <c r="B5582" t="s">
        <v>67</v>
      </c>
      <c r="C5582" s="30">
        <v>22.5</v>
      </c>
      <c r="D5582" s="30">
        <v>10</v>
      </c>
      <c r="E5582" s="30">
        <v>5</v>
      </c>
      <c r="F5582" s="30">
        <v>50</v>
      </c>
      <c r="G5582">
        <v>6</v>
      </c>
      <c r="H5582">
        <v>7</v>
      </c>
    </row>
    <row r="5583" spans="1:8" x14ac:dyDescent="0.3">
      <c r="A5583" s="22" t="s">
        <v>64</v>
      </c>
      <c r="B5583" t="s">
        <v>68</v>
      </c>
      <c r="C5583" s="30">
        <v>15</v>
      </c>
      <c r="D5583" s="30">
        <v>15</v>
      </c>
      <c r="E5583" s="30">
        <v>15</v>
      </c>
      <c r="F5583" s="30">
        <v>15</v>
      </c>
      <c r="G5583">
        <v>1</v>
      </c>
      <c r="H5583">
        <v>7</v>
      </c>
    </row>
    <row r="5584" spans="1:8" x14ac:dyDescent="0.3">
      <c r="C5584" s="30"/>
      <c r="D5584" s="30"/>
      <c r="E5584" s="30"/>
      <c r="F5584" s="30"/>
    </row>
    <row r="5585" spans="1:8" x14ac:dyDescent="0.3">
      <c r="A5585"/>
      <c r="C5585" s="30"/>
      <c r="D5585" s="30"/>
      <c r="E5585" s="30"/>
      <c r="F5585" s="30"/>
    </row>
    <row r="5586" spans="1:8" x14ac:dyDescent="0.3">
      <c r="A5586"/>
      <c r="C5586" s="30"/>
      <c r="D5586" s="30"/>
      <c r="E5586" s="30"/>
      <c r="F5586" s="30"/>
    </row>
    <row r="5587" spans="1:8" x14ac:dyDescent="0.3">
      <c r="A5587"/>
      <c r="C5587" s="30"/>
      <c r="D5587" s="30"/>
      <c r="E5587" s="30"/>
      <c r="F5587" s="30"/>
    </row>
    <row r="5588" spans="1:8" x14ac:dyDescent="0.3">
      <c r="A5588"/>
      <c r="C5588" s="30"/>
      <c r="D5588" s="30"/>
      <c r="E5588" s="30"/>
      <c r="F5588" s="30"/>
    </row>
    <row r="5589" spans="1:8" ht="57.6" x14ac:dyDescent="0.3">
      <c r="A5589" s="22" t="s">
        <v>1257</v>
      </c>
      <c r="C5589" s="30"/>
      <c r="D5589" s="30"/>
      <c r="E5589" s="30"/>
      <c r="F5589" s="30"/>
    </row>
    <row r="5590" spans="1:8" x14ac:dyDescent="0.3">
      <c r="A5590" s="22" t="s">
        <v>57</v>
      </c>
      <c r="B5590" t="s">
        <v>66</v>
      </c>
      <c r="C5590" s="30" t="s">
        <v>58</v>
      </c>
      <c r="D5590" s="30" t="s">
        <v>59</v>
      </c>
      <c r="E5590" s="30" t="s">
        <v>60</v>
      </c>
      <c r="F5590" s="30" t="s">
        <v>61</v>
      </c>
      <c r="G5590" t="s">
        <v>62</v>
      </c>
      <c r="H5590" t="s">
        <v>63</v>
      </c>
    </row>
    <row r="5591" spans="1:8" x14ac:dyDescent="0.3">
      <c r="A5591" s="22" t="s">
        <v>64</v>
      </c>
      <c r="B5591" t="s">
        <v>67</v>
      </c>
      <c r="C5591" s="30">
        <v>23.333333333333329</v>
      </c>
      <c r="D5591" s="30">
        <v>10</v>
      </c>
      <c r="E5591" s="30">
        <v>5</v>
      </c>
      <c r="F5591" s="30">
        <v>50</v>
      </c>
      <c r="G5591">
        <v>6</v>
      </c>
      <c r="H5591">
        <v>7</v>
      </c>
    </row>
    <row r="5592" spans="1:8" x14ac:dyDescent="0.3">
      <c r="A5592" s="22" t="s">
        <v>64</v>
      </c>
      <c r="B5592" t="s">
        <v>68</v>
      </c>
      <c r="C5592" s="30">
        <v>10</v>
      </c>
      <c r="D5592" s="30">
        <v>10</v>
      </c>
      <c r="E5592" s="30">
        <v>10</v>
      </c>
      <c r="F5592" s="30">
        <v>10</v>
      </c>
      <c r="G5592">
        <v>1</v>
      </c>
      <c r="H5592">
        <v>7</v>
      </c>
    </row>
    <row r="5593" spans="1:8" x14ac:dyDescent="0.3">
      <c r="C5593" s="30"/>
      <c r="D5593" s="30"/>
      <c r="E5593" s="30"/>
      <c r="F5593" s="30"/>
    </row>
    <row r="5594" spans="1:8" ht="43.2" x14ac:dyDescent="0.3">
      <c r="A5594" s="22" t="s">
        <v>1258</v>
      </c>
      <c r="C5594" s="30"/>
      <c r="D5594" s="30"/>
      <c r="E5594" s="30"/>
      <c r="F5594" s="30"/>
    </row>
    <row r="5595" spans="1:8" x14ac:dyDescent="0.3">
      <c r="A5595" s="22" t="s">
        <v>57</v>
      </c>
      <c r="B5595" t="s">
        <v>66</v>
      </c>
      <c r="C5595" s="30" t="s">
        <v>58</v>
      </c>
      <c r="D5595" s="30" t="s">
        <v>59</v>
      </c>
      <c r="E5595" s="30" t="s">
        <v>60</v>
      </c>
      <c r="F5595" s="30" t="s">
        <v>61</v>
      </c>
      <c r="G5595" t="s">
        <v>62</v>
      </c>
      <c r="H5595" t="s">
        <v>63</v>
      </c>
    </row>
    <row r="5596" spans="1:8" x14ac:dyDescent="0.3">
      <c r="A5596" s="22" t="s">
        <v>64</v>
      </c>
      <c r="B5596" t="s">
        <v>67</v>
      </c>
      <c r="C5596" s="30">
        <v>21.428571428571431</v>
      </c>
      <c r="D5596" s="30">
        <v>15</v>
      </c>
      <c r="E5596" s="30">
        <v>5</v>
      </c>
      <c r="F5596" s="30">
        <v>50</v>
      </c>
      <c r="G5596">
        <v>7</v>
      </c>
      <c r="H5596">
        <v>7</v>
      </c>
    </row>
    <row r="5597" spans="1:8" x14ac:dyDescent="0.3">
      <c r="C5597" s="30"/>
      <c r="D5597" s="30"/>
      <c r="E5597" s="30"/>
      <c r="F5597" s="30"/>
    </row>
    <row r="5598" spans="1:8" ht="57.6" x14ac:dyDescent="0.3">
      <c r="A5598" s="22" t="s">
        <v>1259</v>
      </c>
      <c r="C5598" s="30"/>
      <c r="D5598" s="30"/>
      <c r="E5598" s="30"/>
      <c r="F5598" s="30"/>
    </row>
    <row r="5599" spans="1:8" x14ac:dyDescent="0.3">
      <c r="A5599" s="22" t="s">
        <v>57</v>
      </c>
      <c r="B5599" t="s">
        <v>66</v>
      </c>
      <c r="C5599" s="30" t="s">
        <v>58</v>
      </c>
      <c r="D5599" s="30" t="s">
        <v>59</v>
      </c>
      <c r="E5599" s="30" t="s">
        <v>60</v>
      </c>
      <c r="F5599" s="30" t="s">
        <v>61</v>
      </c>
      <c r="G5599" t="s">
        <v>62</v>
      </c>
      <c r="H5599" t="s">
        <v>63</v>
      </c>
    </row>
    <row r="5600" spans="1:8" x14ac:dyDescent="0.3">
      <c r="A5600" s="22" t="s">
        <v>64</v>
      </c>
      <c r="B5600" t="s">
        <v>67</v>
      </c>
      <c r="C5600" s="30">
        <v>16.666666666666671</v>
      </c>
      <c r="D5600" s="30">
        <v>10</v>
      </c>
      <c r="E5600" s="30">
        <v>5</v>
      </c>
      <c r="F5600" s="30">
        <v>50</v>
      </c>
      <c r="G5600">
        <v>6</v>
      </c>
      <c r="H5600">
        <v>7</v>
      </c>
    </row>
    <row r="5601" spans="1:8" x14ac:dyDescent="0.3">
      <c r="A5601" s="22" t="s">
        <v>64</v>
      </c>
      <c r="B5601" t="s">
        <v>68</v>
      </c>
      <c r="C5601" s="30">
        <v>50</v>
      </c>
      <c r="D5601" s="30">
        <v>50</v>
      </c>
      <c r="E5601" s="30">
        <v>50</v>
      </c>
      <c r="F5601" s="30">
        <v>50</v>
      </c>
      <c r="G5601">
        <v>1</v>
      </c>
      <c r="H5601">
        <v>7</v>
      </c>
    </row>
    <row r="5602" spans="1:8" x14ac:dyDescent="0.3">
      <c r="C5602" s="30"/>
      <c r="D5602" s="30"/>
      <c r="E5602" s="30"/>
      <c r="F5602" s="30"/>
    </row>
    <row r="5603" spans="1:8" ht="57.6" x14ac:dyDescent="0.3">
      <c r="A5603" s="22" t="s">
        <v>1260</v>
      </c>
      <c r="C5603" s="30"/>
      <c r="D5603" s="30"/>
      <c r="E5603" s="30"/>
      <c r="F5603" s="30"/>
    </row>
    <row r="5604" spans="1:8" x14ac:dyDescent="0.3">
      <c r="A5604" s="22" t="s">
        <v>57</v>
      </c>
      <c r="B5604" t="s">
        <v>66</v>
      </c>
      <c r="C5604" s="30" t="s">
        <v>58</v>
      </c>
      <c r="D5604" s="30" t="s">
        <v>59</v>
      </c>
      <c r="E5604" s="30" t="s">
        <v>60</v>
      </c>
      <c r="F5604" s="30" t="s">
        <v>61</v>
      </c>
      <c r="G5604" t="s">
        <v>62</v>
      </c>
      <c r="H5604" t="s">
        <v>63</v>
      </c>
    </row>
    <row r="5605" spans="1:8" x14ac:dyDescent="0.3">
      <c r="A5605" s="22" t="s">
        <v>64</v>
      </c>
      <c r="B5605" t="s">
        <v>67</v>
      </c>
      <c r="C5605" s="30">
        <v>10</v>
      </c>
      <c r="D5605" s="30">
        <v>10</v>
      </c>
      <c r="E5605" s="30">
        <v>10</v>
      </c>
      <c r="F5605" s="30">
        <v>10</v>
      </c>
      <c r="G5605">
        <v>1</v>
      </c>
      <c r="H5605">
        <v>7</v>
      </c>
    </row>
    <row r="5606" spans="1:8" x14ac:dyDescent="0.3">
      <c r="A5606" s="22" t="s">
        <v>64</v>
      </c>
      <c r="B5606" t="s">
        <v>68</v>
      </c>
      <c r="C5606" s="30">
        <v>23.333333333333329</v>
      </c>
      <c r="D5606" s="30">
        <v>10</v>
      </c>
      <c r="E5606" s="30">
        <v>5</v>
      </c>
      <c r="F5606" s="30">
        <v>50</v>
      </c>
      <c r="G5606">
        <v>6</v>
      </c>
      <c r="H5606">
        <v>7</v>
      </c>
    </row>
    <row r="5607" spans="1:8" x14ac:dyDescent="0.3">
      <c r="C5607" s="30"/>
      <c r="D5607" s="30"/>
      <c r="E5607" s="30"/>
      <c r="F5607" s="30"/>
    </row>
    <row r="5608" spans="1:8" ht="57.6" x14ac:dyDescent="0.3">
      <c r="A5608" s="22" t="s">
        <v>1261</v>
      </c>
      <c r="C5608" s="30"/>
      <c r="D5608" s="30"/>
      <c r="E5608" s="30"/>
      <c r="F5608" s="30"/>
    </row>
    <row r="5609" spans="1:8" x14ac:dyDescent="0.3">
      <c r="A5609" s="22" t="s">
        <v>57</v>
      </c>
      <c r="B5609" t="s">
        <v>66</v>
      </c>
      <c r="C5609" s="30" t="s">
        <v>58</v>
      </c>
      <c r="D5609" s="30" t="s">
        <v>59</v>
      </c>
      <c r="E5609" s="30" t="s">
        <v>60</v>
      </c>
      <c r="F5609" s="30" t="s">
        <v>61</v>
      </c>
      <c r="G5609" t="s">
        <v>62</v>
      </c>
      <c r="H5609" t="s">
        <v>63</v>
      </c>
    </row>
    <row r="5610" spans="1:8" x14ac:dyDescent="0.3">
      <c r="A5610" s="22" t="s">
        <v>64</v>
      </c>
      <c r="B5610" t="s">
        <v>67</v>
      </c>
      <c r="C5610" s="30">
        <v>16.666666666666671</v>
      </c>
      <c r="D5610" s="30">
        <v>10</v>
      </c>
      <c r="E5610" s="30">
        <v>5</v>
      </c>
      <c r="F5610" s="30">
        <v>50</v>
      </c>
      <c r="G5610">
        <v>6</v>
      </c>
      <c r="H5610">
        <v>7</v>
      </c>
    </row>
    <row r="5611" spans="1:8" x14ac:dyDescent="0.3">
      <c r="A5611" s="22" t="s">
        <v>64</v>
      </c>
      <c r="B5611" t="s">
        <v>68</v>
      </c>
      <c r="C5611" s="30">
        <v>50</v>
      </c>
      <c r="D5611" s="30">
        <v>50</v>
      </c>
      <c r="E5611" s="30">
        <v>50</v>
      </c>
      <c r="F5611" s="30">
        <v>50</v>
      </c>
      <c r="G5611">
        <v>1</v>
      </c>
      <c r="H5611">
        <v>7</v>
      </c>
    </row>
    <row r="5612" spans="1:8" x14ac:dyDescent="0.3">
      <c r="C5612" s="30"/>
      <c r="D5612" s="30"/>
      <c r="E5612" s="30"/>
      <c r="F5612" s="30"/>
    </row>
    <row r="5613" spans="1:8" ht="43.2" x14ac:dyDescent="0.3">
      <c r="A5613" s="22" t="s">
        <v>1262</v>
      </c>
      <c r="C5613" s="30"/>
      <c r="D5613" s="30"/>
      <c r="E5613" s="30"/>
      <c r="F5613" s="30"/>
    </row>
    <row r="5614" spans="1:8" x14ac:dyDescent="0.3">
      <c r="A5614" s="22" t="s">
        <v>57</v>
      </c>
      <c r="B5614" t="s">
        <v>66</v>
      </c>
      <c r="C5614" s="30" t="s">
        <v>58</v>
      </c>
      <c r="D5614" s="30" t="s">
        <v>59</v>
      </c>
      <c r="E5614" s="30" t="s">
        <v>60</v>
      </c>
      <c r="F5614" s="30" t="s">
        <v>61</v>
      </c>
      <c r="G5614" t="s">
        <v>62</v>
      </c>
      <c r="H5614" t="s">
        <v>63</v>
      </c>
    </row>
    <row r="5615" spans="1:8" x14ac:dyDescent="0.3">
      <c r="A5615" s="22" t="s">
        <v>64</v>
      </c>
      <c r="B5615" t="s">
        <v>67</v>
      </c>
      <c r="C5615" s="30">
        <v>19</v>
      </c>
      <c r="D5615" s="30">
        <v>15</v>
      </c>
      <c r="E5615" s="30">
        <v>10</v>
      </c>
      <c r="F5615" s="30">
        <v>50</v>
      </c>
      <c r="G5615">
        <v>5</v>
      </c>
      <c r="H5615">
        <v>7</v>
      </c>
    </row>
    <row r="5616" spans="1:8" x14ac:dyDescent="0.3">
      <c r="A5616" s="22" t="s">
        <v>64</v>
      </c>
      <c r="B5616" t="s">
        <v>68</v>
      </c>
      <c r="C5616" s="30">
        <v>27.5</v>
      </c>
      <c r="D5616" s="30">
        <v>5</v>
      </c>
      <c r="E5616" s="30">
        <v>5</v>
      </c>
      <c r="F5616" s="30">
        <v>50</v>
      </c>
      <c r="G5616">
        <v>2</v>
      </c>
      <c r="H5616">
        <v>7</v>
      </c>
    </row>
    <row r="5617" spans="1:8" x14ac:dyDescent="0.3">
      <c r="C5617" s="30"/>
      <c r="D5617" s="30"/>
      <c r="E5617" s="30"/>
      <c r="F5617" s="30"/>
    </row>
    <row r="5618" spans="1:8" ht="57.6" x14ac:dyDescent="0.3">
      <c r="A5618" s="22" t="s">
        <v>1263</v>
      </c>
      <c r="C5618" s="30"/>
      <c r="D5618" s="30"/>
      <c r="E5618" s="30"/>
      <c r="F5618" s="30"/>
    </row>
    <row r="5619" spans="1:8" x14ac:dyDescent="0.3">
      <c r="A5619" s="22" t="s">
        <v>57</v>
      </c>
      <c r="B5619" t="s">
        <v>66</v>
      </c>
      <c r="C5619" s="30" t="s">
        <v>58</v>
      </c>
      <c r="D5619" s="30" t="s">
        <v>59</v>
      </c>
      <c r="E5619" s="30" t="s">
        <v>60</v>
      </c>
      <c r="F5619" s="30" t="s">
        <v>61</v>
      </c>
      <c r="G5619" t="s">
        <v>62</v>
      </c>
      <c r="H5619" t="s">
        <v>63</v>
      </c>
    </row>
    <row r="5620" spans="1:8" x14ac:dyDescent="0.3">
      <c r="A5620" s="22" t="s">
        <v>64</v>
      </c>
      <c r="B5620" t="s">
        <v>67</v>
      </c>
      <c r="C5620" s="30">
        <v>21.428571428571431</v>
      </c>
      <c r="D5620" s="30">
        <v>15</v>
      </c>
      <c r="E5620" s="30">
        <v>5</v>
      </c>
      <c r="F5620" s="30">
        <v>50</v>
      </c>
      <c r="G5620">
        <v>7</v>
      </c>
      <c r="H5620">
        <v>7</v>
      </c>
    </row>
    <row r="5621" spans="1:8" x14ac:dyDescent="0.3">
      <c r="C5621" s="30"/>
      <c r="D5621" s="30"/>
      <c r="E5621" s="30"/>
      <c r="F5621" s="30"/>
    </row>
    <row r="5622" spans="1:8" ht="57.6" x14ac:dyDescent="0.3">
      <c r="A5622" s="22" t="s">
        <v>1264</v>
      </c>
      <c r="C5622" s="30"/>
      <c r="D5622" s="30"/>
      <c r="E5622" s="30"/>
      <c r="F5622" s="30"/>
    </row>
    <row r="5623" spans="1:8" x14ac:dyDescent="0.3">
      <c r="A5623" s="22" t="s">
        <v>57</v>
      </c>
      <c r="B5623" t="s">
        <v>66</v>
      </c>
      <c r="C5623" s="30" t="s">
        <v>58</v>
      </c>
      <c r="D5623" s="30" t="s">
        <v>59</v>
      </c>
      <c r="E5623" s="30" t="s">
        <v>60</v>
      </c>
      <c r="F5623" s="30" t="s">
        <v>61</v>
      </c>
      <c r="G5623" t="s">
        <v>62</v>
      </c>
      <c r="H5623" t="s">
        <v>63</v>
      </c>
    </row>
    <row r="5624" spans="1:8" x14ac:dyDescent="0.3">
      <c r="A5624" s="22" t="s">
        <v>64</v>
      </c>
      <c r="B5624" t="s">
        <v>67</v>
      </c>
      <c r="C5624" s="30">
        <v>25</v>
      </c>
      <c r="D5624" s="30">
        <v>50</v>
      </c>
      <c r="E5624" s="30">
        <v>10</v>
      </c>
      <c r="F5624" s="30">
        <v>50</v>
      </c>
      <c r="G5624">
        <v>3</v>
      </c>
      <c r="H5624">
        <v>7</v>
      </c>
    </row>
    <row r="5625" spans="1:8" x14ac:dyDescent="0.3">
      <c r="A5625" s="22" t="s">
        <v>64</v>
      </c>
      <c r="B5625" t="s">
        <v>68</v>
      </c>
      <c r="C5625" s="30">
        <v>18.75</v>
      </c>
      <c r="D5625" s="30">
        <v>10</v>
      </c>
      <c r="E5625" s="30">
        <v>5</v>
      </c>
      <c r="F5625" s="30">
        <v>50</v>
      </c>
      <c r="G5625">
        <v>4</v>
      </c>
      <c r="H5625">
        <v>7</v>
      </c>
    </row>
    <row r="5626" spans="1:8" x14ac:dyDescent="0.3">
      <c r="C5626" s="30"/>
      <c r="D5626" s="30"/>
      <c r="E5626" s="30"/>
      <c r="F5626" s="30"/>
    </row>
    <row r="5627" spans="1:8" ht="57.6" x14ac:dyDescent="0.3">
      <c r="A5627" s="22" t="s">
        <v>1265</v>
      </c>
      <c r="C5627" s="30"/>
      <c r="D5627" s="30"/>
      <c r="E5627" s="30"/>
      <c r="F5627" s="30"/>
    </row>
    <row r="5628" spans="1:8" x14ac:dyDescent="0.3">
      <c r="A5628" s="22" t="s">
        <v>57</v>
      </c>
      <c r="B5628" t="s">
        <v>66</v>
      </c>
      <c r="C5628" s="30" t="s">
        <v>58</v>
      </c>
      <c r="D5628" s="30" t="s">
        <v>59</v>
      </c>
      <c r="E5628" s="30" t="s">
        <v>60</v>
      </c>
      <c r="F5628" s="30" t="s">
        <v>61</v>
      </c>
      <c r="G5628" t="s">
        <v>62</v>
      </c>
      <c r="H5628" t="s">
        <v>63</v>
      </c>
    </row>
    <row r="5629" spans="1:8" x14ac:dyDescent="0.3">
      <c r="A5629" s="22" t="s">
        <v>64</v>
      </c>
      <c r="B5629" t="s">
        <v>67</v>
      </c>
      <c r="C5629" s="30">
        <v>21.428571428571431</v>
      </c>
      <c r="D5629" s="30">
        <v>15</v>
      </c>
      <c r="E5629" s="30">
        <v>5</v>
      </c>
      <c r="F5629" s="30">
        <v>50</v>
      </c>
      <c r="G5629">
        <v>7</v>
      </c>
      <c r="H5629">
        <v>7</v>
      </c>
    </row>
    <row r="5630" spans="1:8" x14ac:dyDescent="0.3">
      <c r="C5630" s="30"/>
      <c r="D5630" s="30"/>
      <c r="E5630" s="30"/>
      <c r="F5630" s="30"/>
    </row>
    <row r="5631" spans="1:8" ht="43.2" x14ac:dyDescent="0.3">
      <c r="A5631" s="22" t="s">
        <v>1266</v>
      </c>
      <c r="C5631" s="30"/>
      <c r="D5631" s="30"/>
      <c r="E5631" s="30"/>
      <c r="F5631" s="30"/>
    </row>
    <row r="5632" spans="1:8" x14ac:dyDescent="0.3">
      <c r="A5632" s="22" t="s">
        <v>57</v>
      </c>
      <c r="B5632" t="s">
        <v>66</v>
      </c>
      <c r="C5632" s="30" t="s">
        <v>58</v>
      </c>
      <c r="D5632" s="30" t="s">
        <v>59</v>
      </c>
      <c r="E5632" s="30" t="s">
        <v>60</v>
      </c>
      <c r="F5632" s="30" t="s">
        <v>61</v>
      </c>
      <c r="G5632" t="s">
        <v>62</v>
      </c>
      <c r="H5632" t="s">
        <v>63</v>
      </c>
    </row>
    <row r="5633" spans="1:8" x14ac:dyDescent="0.3">
      <c r="A5633" s="22" t="s">
        <v>64</v>
      </c>
      <c r="B5633" t="s">
        <v>67</v>
      </c>
      <c r="C5633" s="30">
        <v>15</v>
      </c>
      <c r="D5633" s="30">
        <v>15</v>
      </c>
      <c r="E5633" s="30">
        <v>15</v>
      </c>
      <c r="F5633" s="30">
        <v>15</v>
      </c>
      <c r="G5633">
        <v>1</v>
      </c>
      <c r="H5633">
        <v>7</v>
      </c>
    </row>
    <row r="5634" spans="1:8" x14ac:dyDescent="0.3">
      <c r="A5634" s="22" t="s">
        <v>64</v>
      </c>
      <c r="B5634" t="s">
        <v>68</v>
      </c>
      <c r="C5634" s="30">
        <v>22.5</v>
      </c>
      <c r="D5634" s="30">
        <v>10</v>
      </c>
      <c r="E5634" s="30">
        <v>5</v>
      </c>
      <c r="F5634" s="30">
        <v>50</v>
      </c>
      <c r="G5634">
        <v>6</v>
      </c>
      <c r="H5634">
        <v>7</v>
      </c>
    </row>
    <row r="5635" spans="1:8" x14ac:dyDescent="0.3">
      <c r="C5635" s="30"/>
      <c r="D5635" s="30"/>
      <c r="E5635" s="30"/>
      <c r="F5635" s="30"/>
    </row>
    <row r="5636" spans="1:8" ht="57.6" x14ac:dyDescent="0.3">
      <c r="A5636" s="22" t="s">
        <v>1267</v>
      </c>
      <c r="C5636" s="30"/>
      <c r="D5636" s="30"/>
      <c r="E5636" s="30"/>
      <c r="F5636" s="30"/>
    </row>
    <row r="5637" spans="1:8" x14ac:dyDescent="0.3">
      <c r="A5637" s="22" t="s">
        <v>57</v>
      </c>
      <c r="B5637" t="s">
        <v>66</v>
      </c>
      <c r="C5637" s="30" t="s">
        <v>58</v>
      </c>
      <c r="D5637" s="30" t="s">
        <v>59</v>
      </c>
      <c r="E5637" s="30" t="s">
        <v>60</v>
      </c>
      <c r="F5637" s="30" t="s">
        <v>61</v>
      </c>
      <c r="G5637" t="s">
        <v>62</v>
      </c>
      <c r="H5637" t="s">
        <v>63</v>
      </c>
    </row>
    <row r="5638" spans="1:8" x14ac:dyDescent="0.3">
      <c r="A5638" s="22" t="s">
        <v>64</v>
      </c>
      <c r="B5638" t="s">
        <v>67</v>
      </c>
      <c r="C5638" s="30">
        <v>21.428571428571431</v>
      </c>
      <c r="D5638" s="30">
        <v>15</v>
      </c>
      <c r="E5638" s="30">
        <v>5</v>
      </c>
      <c r="F5638" s="30">
        <v>50</v>
      </c>
      <c r="G5638">
        <v>7</v>
      </c>
      <c r="H5638">
        <v>7</v>
      </c>
    </row>
    <row r="5639" spans="1:8" x14ac:dyDescent="0.3">
      <c r="C5639" s="30"/>
      <c r="D5639" s="30"/>
      <c r="E5639" s="30"/>
      <c r="F5639" s="30"/>
    </row>
    <row r="5640" spans="1:8" ht="43.2" x14ac:dyDescent="0.3">
      <c r="A5640" s="27" t="s">
        <v>1268</v>
      </c>
      <c r="C5640" s="30"/>
      <c r="D5640" s="30"/>
      <c r="E5640" s="30"/>
      <c r="F5640" s="30"/>
    </row>
    <row r="5641" spans="1:8" x14ac:dyDescent="0.3">
      <c r="A5641" s="22" t="s">
        <v>57</v>
      </c>
      <c r="B5641" t="s">
        <v>66</v>
      </c>
      <c r="C5641" s="30" t="s">
        <v>58</v>
      </c>
      <c r="D5641" s="30" t="s">
        <v>59</v>
      </c>
      <c r="E5641" s="30" t="s">
        <v>60</v>
      </c>
      <c r="F5641" s="30" t="s">
        <v>61</v>
      </c>
      <c r="G5641" t="s">
        <v>62</v>
      </c>
      <c r="H5641" t="s">
        <v>63</v>
      </c>
    </row>
    <row r="5642" spans="1:8" x14ac:dyDescent="0.3">
      <c r="A5642" s="22" t="s">
        <v>64</v>
      </c>
      <c r="B5642" t="s">
        <v>81</v>
      </c>
      <c r="C5642" s="30">
        <v>50</v>
      </c>
      <c r="D5642" s="30">
        <v>50</v>
      </c>
      <c r="E5642" s="30">
        <v>50</v>
      </c>
      <c r="F5642" s="30">
        <v>50</v>
      </c>
      <c r="G5642">
        <v>1</v>
      </c>
      <c r="H5642">
        <v>7</v>
      </c>
    </row>
    <row r="5643" spans="1:8" x14ac:dyDescent="0.3">
      <c r="A5643" s="22" t="s">
        <v>64</v>
      </c>
      <c r="B5643" t="s">
        <v>82</v>
      </c>
      <c r="C5643" s="30">
        <v>10</v>
      </c>
      <c r="D5643" s="30">
        <v>10</v>
      </c>
      <c r="E5643" s="30">
        <v>10</v>
      </c>
      <c r="F5643" s="30">
        <v>10</v>
      </c>
      <c r="G5643">
        <v>1</v>
      </c>
      <c r="H5643">
        <v>7</v>
      </c>
    </row>
    <row r="5644" spans="1:8" x14ac:dyDescent="0.3">
      <c r="A5644" s="22" t="s">
        <v>64</v>
      </c>
      <c r="B5644" t="s">
        <v>83</v>
      </c>
      <c r="C5644" s="30">
        <v>10</v>
      </c>
      <c r="D5644" s="30">
        <v>15</v>
      </c>
      <c r="E5644" s="30">
        <v>5</v>
      </c>
      <c r="F5644" s="30">
        <v>15</v>
      </c>
      <c r="G5644">
        <v>3</v>
      </c>
      <c r="H5644">
        <v>7</v>
      </c>
    </row>
    <row r="5645" spans="1:8" x14ac:dyDescent="0.3">
      <c r="A5645" s="22" t="s">
        <v>64</v>
      </c>
      <c r="B5645" t="s">
        <v>84</v>
      </c>
      <c r="C5645" s="30">
        <v>30</v>
      </c>
      <c r="D5645" s="30">
        <v>10</v>
      </c>
      <c r="E5645" s="30">
        <v>10</v>
      </c>
      <c r="F5645" s="30">
        <v>50</v>
      </c>
      <c r="G5645">
        <v>2</v>
      </c>
      <c r="H5645">
        <v>7</v>
      </c>
    </row>
    <row r="5647" spans="1:8" ht="43.2" x14ac:dyDescent="0.3">
      <c r="A5647" s="27" t="s">
        <v>1269</v>
      </c>
    </row>
    <row r="5648" spans="1:8" x14ac:dyDescent="0.3">
      <c r="A5648" s="22" t="s">
        <v>57</v>
      </c>
      <c r="B5648" t="s">
        <v>58</v>
      </c>
      <c r="C5648" t="s">
        <v>59</v>
      </c>
      <c r="D5648" t="s">
        <v>60</v>
      </c>
      <c r="E5648" t="s">
        <v>61</v>
      </c>
      <c r="F5648" t="s">
        <v>62</v>
      </c>
      <c r="G5648" t="s">
        <v>63</v>
      </c>
    </row>
    <row r="5649" spans="1:8" x14ac:dyDescent="0.3">
      <c r="A5649" s="22" t="s">
        <v>64</v>
      </c>
      <c r="B5649" s="30">
        <v>2</v>
      </c>
      <c r="C5649" s="30">
        <v>2</v>
      </c>
      <c r="D5649" s="30">
        <v>2</v>
      </c>
      <c r="E5649" s="30">
        <v>2</v>
      </c>
      <c r="F5649">
        <v>1</v>
      </c>
      <c r="G5649">
        <v>1</v>
      </c>
    </row>
    <row r="5650" spans="1:8" x14ac:dyDescent="0.3">
      <c r="C5650" s="30"/>
      <c r="D5650" s="30"/>
      <c r="E5650" s="30"/>
      <c r="F5650" s="30"/>
    </row>
    <row r="5651" spans="1:8" ht="57.6" x14ac:dyDescent="0.3">
      <c r="A5651" s="22" t="s">
        <v>1270</v>
      </c>
      <c r="C5651" s="30"/>
      <c r="D5651" s="30"/>
      <c r="E5651" s="30"/>
      <c r="F5651" s="30"/>
    </row>
    <row r="5652" spans="1:8" x14ac:dyDescent="0.3">
      <c r="A5652" s="22" t="s">
        <v>57</v>
      </c>
      <c r="B5652" t="s">
        <v>66</v>
      </c>
      <c r="C5652" s="30" t="s">
        <v>58</v>
      </c>
      <c r="D5652" s="30" t="s">
        <v>59</v>
      </c>
      <c r="E5652" s="30" t="s">
        <v>60</v>
      </c>
      <c r="F5652" s="30" t="s">
        <v>61</v>
      </c>
      <c r="G5652" t="s">
        <v>62</v>
      </c>
      <c r="H5652" t="s">
        <v>63</v>
      </c>
    </row>
    <row r="5653" spans="1:8" x14ac:dyDescent="0.3">
      <c r="A5653" s="22" t="s">
        <v>64</v>
      </c>
      <c r="B5653" t="s">
        <v>67</v>
      </c>
      <c r="C5653" s="30">
        <v>2</v>
      </c>
      <c r="D5653" s="30">
        <v>2</v>
      </c>
      <c r="E5653" s="30">
        <v>2</v>
      </c>
      <c r="F5653" s="30">
        <v>2</v>
      </c>
      <c r="G5653">
        <v>1</v>
      </c>
      <c r="H5653">
        <v>1</v>
      </c>
    </row>
    <row r="5654" spans="1:8" x14ac:dyDescent="0.3">
      <c r="C5654" s="30"/>
      <c r="D5654" s="30"/>
      <c r="E5654" s="30"/>
      <c r="F5654" s="30"/>
    </row>
    <row r="5655" spans="1:8" x14ac:dyDescent="0.3">
      <c r="A5655"/>
      <c r="C5655" s="30"/>
      <c r="D5655" s="30"/>
      <c r="E5655" s="30"/>
      <c r="F5655" s="30"/>
    </row>
    <row r="5656" spans="1:8" x14ac:dyDescent="0.3">
      <c r="A5656"/>
      <c r="C5656" s="30"/>
      <c r="D5656" s="30"/>
      <c r="E5656" s="30"/>
      <c r="F5656" s="30"/>
    </row>
    <row r="5657" spans="1:8" x14ac:dyDescent="0.3">
      <c r="A5657"/>
      <c r="C5657" s="30"/>
      <c r="D5657" s="30"/>
      <c r="E5657" s="30"/>
      <c r="F5657" s="30"/>
    </row>
    <row r="5658" spans="1:8" x14ac:dyDescent="0.3">
      <c r="A5658"/>
      <c r="C5658" s="30"/>
      <c r="D5658" s="30"/>
      <c r="E5658" s="30"/>
      <c r="F5658" s="30"/>
    </row>
    <row r="5659" spans="1:8" ht="57.6" x14ac:dyDescent="0.3">
      <c r="A5659" s="22" t="s">
        <v>1271</v>
      </c>
      <c r="C5659" s="30"/>
      <c r="D5659" s="30"/>
      <c r="E5659" s="30"/>
      <c r="F5659" s="30"/>
    </row>
    <row r="5660" spans="1:8" x14ac:dyDescent="0.3">
      <c r="A5660" s="22" t="s">
        <v>57</v>
      </c>
      <c r="B5660" t="s">
        <v>66</v>
      </c>
      <c r="C5660" s="30" t="s">
        <v>58</v>
      </c>
      <c r="D5660" s="30" t="s">
        <v>59</v>
      </c>
      <c r="E5660" s="30" t="s">
        <v>60</v>
      </c>
      <c r="F5660" s="30" t="s">
        <v>61</v>
      </c>
      <c r="G5660" t="s">
        <v>62</v>
      </c>
      <c r="H5660" t="s">
        <v>63</v>
      </c>
    </row>
    <row r="5661" spans="1:8" x14ac:dyDescent="0.3">
      <c r="A5661" s="22" t="s">
        <v>64</v>
      </c>
      <c r="B5661" t="s">
        <v>67</v>
      </c>
      <c r="C5661" s="30">
        <v>2</v>
      </c>
      <c r="D5661" s="30">
        <v>2</v>
      </c>
      <c r="E5661" s="30">
        <v>2</v>
      </c>
      <c r="F5661" s="30">
        <v>2</v>
      </c>
      <c r="G5661">
        <v>1</v>
      </c>
      <c r="H5661">
        <v>1</v>
      </c>
    </row>
    <row r="5662" spans="1:8" x14ac:dyDescent="0.3">
      <c r="C5662" s="30"/>
      <c r="D5662" s="30"/>
      <c r="E5662" s="30"/>
      <c r="F5662" s="30"/>
    </row>
    <row r="5663" spans="1:8" ht="57.6" x14ac:dyDescent="0.3">
      <c r="A5663" s="22" t="s">
        <v>1272</v>
      </c>
      <c r="C5663" s="30"/>
      <c r="D5663" s="30"/>
      <c r="E5663" s="30"/>
      <c r="F5663" s="30"/>
    </row>
    <row r="5664" spans="1:8" x14ac:dyDescent="0.3">
      <c r="A5664" s="22" t="s">
        <v>57</v>
      </c>
      <c r="B5664" t="s">
        <v>66</v>
      </c>
      <c r="C5664" s="30" t="s">
        <v>58</v>
      </c>
      <c r="D5664" s="30" t="s">
        <v>59</v>
      </c>
      <c r="E5664" s="30" t="s">
        <v>60</v>
      </c>
      <c r="F5664" s="30" t="s">
        <v>61</v>
      </c>
      <c r="G5664" t="s">
        <v>62</v>
      </c>
      <c r="H5664" t="s">
        <v>63</v>
      </c>
    </row>
    <row r="5665" spans="1:8" x14ac:dyDescent="0.3">
      <c r="A5665" s="22" t="s">
        <v>64</v>
      </c>
      <c r="B5665" t="s">
        <v>67</v>
      </c>
      <c r="C5665" s="30">
        <v>2</v>
      </c>
      <c r="D5665" s="30">
        <v>2</v>
      </c>
      <c r="E5665" s="30">
        <v>2</v>
      </c>
      <c r="F5665" s="30">
        <v>2</v>
      </c>
      <c r="G5665">
        <v>1</v>
      </c>
      <c r="H5665">
        <v>1</v>
      </c>
    </row>
    <row r="5666" spans="1:8" x14ac:dyDescent="0.3">
      <c r="C5666" s="30"/>
      <c r="D5666" s="30"/>
      <c r="E5666" s="30"/>
      <c r="F5666" s="30"/>
    </row>
    <row r="5667" spans="1:8" ht="57.6" x14ac:dyDescent="0.3">
      <c r="A5667" s="22" t="s">
        <v>1273</v>
      </c>
      <c r="C5667" s="30"/>
      <c r="D5667" s="30"/>
      <c r="E5667" s="30"/>
      <c r="F5667" s="30"/>
    </row>
    <row r="5668" spans="1:8" x14ac:dyDescent="0.3">
      <c r="A5668" s="22" t="s">
        <v>57</v>
      </c>
      <c r="B5668" t="s">
        <v>66</v>
      </c>
      <c r="C5668" s="30" t="s">
        <v>58</v>
      </c>
      <c r="D5668" s="30" t="s">
        <v>59</v>
      </c>
      <c r="E5668" s="30" t="s">
        <v>60</v>
      </c>
      <c r="F5668" s="30" t="s">
        <v>61</v>
      </c>
      <c r="G5668" t="s">
        <v>62</v>
      </c>
      <c r="H5668" t="s">
        <v>63</v>
      </c>
    </row>
    <row r="5669" spans="1:8" x14ac:dyDescent="0.3">
      <c r="A5669" s="22" t="s">
        <v>64</v>
      </c>
      <c r="B5669" t="s">
        <v>67</v>
      </c>
      <c r="C5669" s="30">
        <v>2</v>
      </c>
      <c r="D5669" s="30">
        <v>2</v>
      </c>
      <c r="E5669" s="30">
        <v>2</v>
      </c>
      <c r="F5669" s="30">
        <v>2</v>
      </c>
      <c r="G5669">
        <v>1</v>
      </c>
      <c r="H5669">
        <v>1</v>
      </c>
    </row>
    <row r="5670" spans="1:8" x14ac:dyDescent="0.3">
      <c r="C5670" s="30"/>
      <c r="D5670" s="30"/>
      <c r="E5670" s="30"/>
      <c r="F5670" s="30"/>
    </row>
    <row r="5671" spans="1:8" ht="57.6" x14ac:dyDescent="0.3">
      <c r="A5671" s="22" t="s">
        <v>1274</v>
      </c>
      <c r="C5671" s="30"/>
      <c r="D5671" s="30"/>
      <c r="E5671" s="30"/>
      <c r="F5671" s="30"/>
    </row>
    <row r="5672" spans="1:8" x14ac:dyDescent="0.3">
      <c r="A5672" s="22" t="s">
        <v>57</v>
      </c>
      <c r="B5672" t="s">
        <v>66</v>
      </c>
      <c r="C5672" s="30" t="s">
        <v>58</v>
      </c>
      <c r="D5672" s="30" t="s">
        <v>59</v>
      </c>
      <c r="E5672" s="30" t="s">
        <v>60</v>
      </c>
      <c r="F5672" s="30" t="s">
        <v>61</v>
      </c>
      <c r="G5672" t="s">
        <v>62</v>
      </c>
      <c r="H5672" t="s">
        <v>63</v>
      </c>
    </row>
    <row r="5673" spans="1:8" x14ac:dyDescent="0.3">
      <c r="A5673" s="22" t="s">
        <v>64</v>
      </c>
      <c r="B5673" t="s">
        <v>68</v>
      </c>
      <c r="C5673" s="30">
        <v>2</v>
      </c>
      <c r="D5673" s="30">
        <v>2</v>
      </c>
      <c r="E5673" s="30">
        <v>2</v>
      </c>
      <c r="F5673" s="30">
        <v>2</v>
      </c>
      <c r="G5673">
        <v>1</v>
      </c>
      <c r="H5673">
        <v>1</v>
      </c>
    </row>
    <row r="5674" spans="1:8" x14ac:dyDescent="0.3">
      <c r="C5674" s="30"/>
      <c r="D5674" s="30"/>
      <c r="E5674" s="30"/>
      <c r="F5674" s="30"/>
    </row>
    <row r="5675" spans="1:8" ht="57.6" x14ac:dyDescent="0.3">
      <c r="A5675" s="22" t="s">
        <v>1275</v>
      </c>
      <c r="C5675" s="30"/>
      <c r="D5675" s="30"/>
      <c r="E5675" s="30"/>
      <c r="F5675" s="30"/>
    </row>
    <row r="5676" spans="1:8" x14ac:dyDescent="0.3">
      <c r="A5676" s="22" t="s">
        <v>57</v>
      </c>
      <c r="B5676" t="s">
        <v>66</v>
      </c>
      <c r="C5676" s="30" t="s">
        <v>58</v>
      </c>
      <c r="D5676" s="30" t="s">
        <v>59</v>
      </c>
      <c r="E5676" s="30" t="s">
        <v>60</v>
      </c>
      <c r="F5676" s="30" t="s">
        <v>61</v>
      </c>
      <c r="G5676" t="s">
        <v>62</v>
      </c>
      <c r="H5676" t="s">
        <v>63</v>
      </c>
    </row>
    <row r="5677" spans="1:8" x14ac:dyDescent="0.3">
      <c r="A5677" s="22" t="s">
        <v>64</v>
      </c>
      <c r="B5677" t="s">
        <v>67</v>
      </c>
      <c r="C5677" s="30">
        <v>2</v>
      </c>
      <c r="D5677" s="30">
        <v>2</v>
      </c>
      <c r="E5677" s="30">
        <v>2</v>
      </c>
      <c r="F5677" s="30">
        <v>2</v>
      </c>
      <c r="G5677">
        <v>1</v>
      </c>
      <c r="H5677">
        <v>1</v>
      </c>
    </row>
    <row r="5678" spans="1:8" x14ac:dyDescent="0.3">
      <c r="C5678" s="30"/>
      <c r="D5678" s="30"/>
      <c r="E5678" s="30"/>
      <c r="F5678" s="30"/>
    </row>
    <row r="5679" spans="1:8" ht="57.6" x14ac:dyDescent="0.3">
      <c r="A5679" s="22" t="s">
        <v>1276</v>
      </c>
      <c r="C5679" s="30"/>
      <c r="D5679" s="30"/>
      <c r="E5679" s="30"/>
      <c r="F5679" s="30"/>
    </row>
    <row r="5680" spans="1:8" x14ac:dyDescent="0.3">
      <c r="A5680" s="22" t="s">
        <v>57</v>
      </c>
      <c r="B5680" t="s">
        <v>66</v>
      </c>
      <c r="C5680" s="30" t="s">
        <v>58</v>
      </c>
      <c r="D5680" s="30" t="s">
        <v>59</v>
      </c>
      <c r="E5680" s="30" t="s">
        <v>60</v>
      </c>
      <c r="F5680" s="30" t="s">
        <v>61</v>
      </c>
      <c r="G5680" t="s">
        <v>62</v>
      </c>
      <c r="H5680" t="s">
        <v>63</v>
      </c>
    </row>
    <row r="5681" spans="1:8" x14ac:dyDescent="0.3">
      <c r="A5681" s="22" t="s">
        <v>64</v>
      </c>
      <c r="B5681" t="s">
        <v>68</v>
      </c>
      <c r="C5681" s="30">
        <v>2</v>
      </c>
      <c r="D5681" s="30">
        <v>2</v>
      </c>
      <c r="E5681" s="30">
        <v>2</v>
      </c>
      <c r="F5681" s="30">
        <v>2</v>
      </c>
      <c r="G5681">
        <v>1</v>
      </c>
      <c r="H5681">
        <v>1</v>
      </c>
    </row>
    <row r="5682" spans="1:8" x14ac:dyDescent="0.3">
      <c r="C5682" s="30"/>
      <c r="D5682" s="30"/>
      <c r="E5682" s="30"/>
      <c r="F5682" s="30"/>
    </row>
    <row r="5683" spans="1:8" ht="57.6" x14ac:dyDescent="0.3">
      <c r="A5683" s="22" t="s">
        <v>1277</v>
      </c>
      <c r="C5683" s="30"/>
      <c r="D5683" s="30"/>
      <c r="E5683" s="30"/>
      <c r="F5683" s="30"/>
    </row>
    <row r="5684" spans="1:8" x14ac:dyDescent="0.3">
      <c r="A5684" s="22" t="s">
        <v>57</v>
      </c>
      <c r="B5684" t="s">
        <v>66</v>
      </c>
      <c r="C5684" s="30" t="s">
        <v>58</v>
      </c>
      <c r="D5684" s="30" t="s">
        <v>59</v>
      </c>
      <c r="E5684" s="30" t="s">
        <v>60</v>
      </c>
      <c r="F5684" s="30" t="s">
        <v>61</v>
      </c>
      <c r="G5684" t="s">
        <v>62</v>
      </c>
      <c r="H5684" t="s">
        <v>63</v>
      </c>
    </row>
    <row r="5685" spans="1:8" x14ac:dyDescent="0.3">
      <c r="A5685" s="22" t="s">
        <v>64</v>
      </c>
      <c r="B5685" t="s">
        <v>67</v>
      </c>
      <c r="C5685" s="30">
        <v>2</v>
      </c>
      <c r="D5685" s="30">
        <v>2</v>
      </c>
      <c r="E5685" s="30">
        <v>2</v>
      </c>
      <c r="F5685" s="30">
        <v>2</v>
      </c>
      <c r="G5685">
        <v>1</v>
      </c>
      <c r="H5685">
        <v>1</v>
      </c>
    </row>
    <row r="5686" spans="1:8" x14ac:dyDescent="0.3">
      <c r="C5686" s="30"/>
      <c r="D5686" s="30"/>
      <c r="E5686" s="30"/>
      <c r="F5686" s="30"/>
    </row>
    <row r="5687" spans="1:8" ht="72" x14ac:dyDescent="0.3">
      <c r="A5687" s="22" t="s">
        <v>1278</v>
      </c>
      <c r="C5687" s="30"/>
      <c r="D5687" s="30"/>
      <c r="E5687" s="30"/>
      <c r="F5687" s="30"/>
    </row>
    <row r="5688" spans="1:8" x14ac:dyDescent="0.3">
      <c r="A5688" s="22" t="s">
        <v>57</v>
      </c>
      <c r="B5688" t="s">
        <v>66</v>
      </c>
      <c r="C5688" s="30" t="s">
        <v>58</v>
      </c>
      <c r="D5688" s="30" t="s">
        <v>59</v>
      </c>
      <c r="E5688" s="30" t="s">
        <v>60</v>
      </c>
      <c r="F5688" s="30" t="s">
        <v>61</v>
      </c>
      <c r="G5688" t="s">
        <v>62</v>
      </c>
      <c r="H5688" t="s">
        <v>63</v>
      </c>
    </row>
    <row r="5689" spans="1:8" x14ac:dyDescent="0.3">
      <c r="A5689" s="22" t="s">
        <v>64</v>
      </c>
      <c r="B5689" t="s">
        <v>68</v>
      </c>
      <c r="C5689" s="30">
        <v>2</v>
      </c>
      <c r="D5689" s="30">
        <v>2</v>
      </c>
      <c r="E5689" s="30">
        <v>2</v>
      </c>
      <c r="F5689" s="30">
        <v>2</v>
      </c>
      <c r="G5689">
        <v>1</v>
      </c>
      <c r="H5689">
        <v>1</v>
      </c>
    </row>
    <row r="5690" spans="1:8" x14ac:dyDescent="0.3">
      <c r="C5690" s="30"/>
      <c r="D5690" s="30"/>
      <c r="E5690" s="30"/>
      <c r="F5690" s="30"/>
    </row>
    <row r="5691" spans="1:8" ht="72" x14ac:dyDescent="0.3">
      <c r="A5691" s="22" t="s">
        <v>1279</v>
      </c>
      <c r="C5691" s="30"/>
      <c r="D5691" s="30"/>
      <c r="E5691" s="30"/>
      <c r="F5691" s="30"/>
    </row>
    <row r="5692" spans="1:8" x14ac:dyDescent="0.3">
      <c r="A5692" s="22" t="s">
        <v>57</v>
      </c>
      <c r="B5692" t="s">
        <v>66</v>
      </c>
      <c r="C5692" s="30" t="s">
        <v>58</v>
      </c>
      <c r="D5692" s="30" t="s">
        <v>59</v>
      </c>
      <c r="E5692" s="30" t="s">
        <v>60</v>
      </c>
      <c r="F5692" s="30" t="s">
        <v>61</v>
      </c>
      <c r="G5692" t="s">
        <v>62</v>
      </c>
      <c r="H5692" t="s">
        <v>63</v>
      </c>
    </row>
    <row r="5693" spans="1:8" x14ac:dyDescent="0.3">
      <c r="A5693" s="22" t="s">
        <v>64</v>
      </c>
      <c r="B5693" t="s">
        <v>67</v>
      </c>
      <c r="C5693" s="30">
        <v>2</v>
      </c>
      <c r="D5693" s="30">
        <v>2</v>
      </c>
      <c r="E5693" s="30">
        <v>2</v>
      </c>
      <c r="F5693" s="30">
        <v>2</v>
      </c>
      <c r="G5693">
        <v>1</v>
      </c>
      <c r="H5693">
        <v>1</v>
      </c>
    </row>
    <row r="5694" spans="1:8" x14ac:dyDescent="0.3">
      <c r="C5694" s="30"/>
      <c r="D5694" s="30"/>
      <c r="E5694" s="30"/>
      <c r="F5694" s="30"/>
    </row>
    <row r="5695" spans="1:8" ht="57.6" x14ac:dyDescent="0.3">
      <c r="A5695" s="22" t="s">
        <v>1280</v>
      </c>
      <c r="C5695" s="30"/>
      <c r="D5695" s="30"/>
      <c r="E5695" s="30"/>
      <c r="F5695" s="30"/>
    </row>
    <row r="5696" spans="1:8" x14ac:dyDescent="0.3">
      <c r="A5696" s="22" t="s">
        <v>57</v>
      </c>
      <c r="B5696" t="s">
        <v>66</v>
      </c>
      <c r="C5696" s="30" t="s">
        <v>58</v>
      </c>
      <c r="D5696" s="30" t="s">
        <v>59</v>
      </c>
      <c r="E5696" s="30" t="s">
        <v>60</v>
      </c>
      <c r="F5696" s="30" t="s">
        <v>61</v>
      </c>
      <c r="G5696" t="s">
        <v>62</v>
      </c>
      <c r="H5696" t="s">
        <v>63</v>
      </c>
    </row>
    <row r="5697" spans="1:8" x14ac:dyDescent="0.3">
      <c r="A5697" s="22" t="s">
        <v>64</v>
      </c>
      <c r="B5697" t="s">
        <v>68</v>
      </c>
      <c r="C5697" s="30">
        <v>2</v>
      </c>
      <c r="D5697" s="30">
        <v>2</v>
      </c>
      <c r="E5697" s="30">
        <v>2</v>
      </c>
      <c r="F5697" s="30">
        <v>2</v>
      </c>
      <c r="G5697">
        <v>1</v>
      </c>
      <c r="H5697">
        <v>1</v>
      </c>
    </row>
    <row r="5698" spans="1:8" x14ac:dyDescent="0.3">
      <c r="C5698" s="30"/>
      <c r="D5698" s="30"/>
      <c r="E5698" s="30"/>
      <c r="F5698" s="30"/>
    </row>
    <row r="5699" spans="1:8" ht="57.6" x14ac:dyDescent="0.3">
      <c r="A5699" s="22" t="s">
        <v>1281</v>
      </c>
      <c r="C5699" s="30"/>
      <c r="D5699" s="30"/>
      <c r="E5699" s="30"/>
      <c r="F5699" s="30"/>
    </row>
    <row r="5700" spans="1:8" x14ac:dyDescent="0.3">
      <c r="A5700" s="22" t="s">
        <v>57</v>
      </c>
      <c r="B5700" t="s">
        <v>66</v>
      </c>
      <c r="C5700" s="30" t="s">
        <v>58</v>
      </c>
      <c r="D5700" s="30" t="s">
        <v>59</v>
      </c>
      <c r="E5700" s="30" t="s">
        <v>60</v>
      </c>
      <c r="F5700" s="30" t="s">
        <v>61</v>
      </c>
      <c r="G5700" t="s">
        <v>62</v>
      </c>
      <c r="H5700" t="s">
        <v>63</v>
      </c>
    </row>
    <row r="5701" spans="1:8" x14ac:dyDescent="0.3">
      <c r="A5701" s="22" t="s">
        <v>64</v>
      </c>
      <c r="B5701" t="s">
        <v>67</v>
      </c>
      <c r="C5701" s="30">
        <v>2</v>
      </c>
      <c r="D5701" s="30">
        <v>2</v>
      </c>
      <c r="E5701" s="30">
        <v>2</v>
      </c>
      <c r="F5701" s="30">
        <v>2</v>
      </c>
      <c r="G5701">
        <v>1</v>
      </c>
      <c r="H5701">
        <v>1</v>
      </c>
    </row>
    <row r="5703" spans="1:8" ht="43.2" x14ac:dyDescent="0.3">
      <c r="A5703" s="27" t="s">
        <v>1282</v>
      </c>
    </row>
    <row r="5704" spans="1:8" x14ac:dyDescent="0.3">
      <c r="A5704" s="22" t="s">
        <v>57</v>
      </c>
      <c r="B5704" t="s">
        <v>66</v>
      </c>
      <c r="C5704" t="s">
        <v>58</v>
      </c>
      <c r="D5704" t="s">
        <v>59</v>
      </c>
      <c r="E5704" t="s">
        <v>60</v>
      </c>
      <c r="F5704" t="s">
        <v>61</v>
      </c>
      <c r="G5704" t="s">
        <v>62</v>
      </c>
      <c r="H5704" t="s">
        <v>63</v>
      </c>
    </row>
    <row r="5705" spans="1:8" x14ac:dyDescent="0.3">
      <c r="A5705" s="22" t="s">
        <v>64</v>
      </c>
      <c r="B5705" t="s">
        <v>83</v>
      </c>
      <c r="C5705" s="30">
        <v>2</v>
      </c>
      <c r="D5705" s="30">
        <v>2</v>
      </c>
      <c r="E5705" s="30">
        <v>2</v>
      </c>
      <c r="F5705" s="30">
        <v>2</v>
      </c>
      <c r="G5705">
        <v>1</v>
      </c>
      <c r="H5705">
        <v>1</v>
      </c>
    </row>
    <row r="5707" spans="1:8" ht="43.2" x14ac:dyDescent="0.3">
      <c r="A5707" s="27" t="s">
        <v>1283</v>
      </c>
    </row>
    <row r="5708" spans="1:8" x14ac:dyDescent="0.3">
      <c r="A5708" s="22" t="s">
        <v>57</v>
      </c>
      <c r="B5708" t="s">
        <v>58</v>
      </c>
      <c r="C5708" t="s">
        <v>59</v>
      </c>
      <c r="D5708" t="s">
        <v>60</v>
      </c>
      <c r="E5708" t="s">
        <v>61</v>
      </c>
      <c r="F5708" t="s">
        <v>62</v>
      </c>
      <c r="G5708" t="s">
        <v>63</v>
      </c>
    </row>
    <row r="5709" spans="1:8" x14ac:dyDescent="0.3">
      <c r="A5709" s="22" t="s">
        <v>64</v>
      </c>
      <c r="B5709" s="30">
        <v>24.324999999999999</v>
      </c>
      <c r="C5709" s="30">
        <v>20</v>
      </c>
      <c r="D5709" s="30">
        <v>1</v>
      </c>
      <c r="E5709" s="30">
        <v>100</v>
      </c>
      <c r="F5709">
        <v>80</v>
      </c>
      <c r="G5709">
        <v>80</v>
      </c>
    </row>
    <row r="5711" spans="1:8" ht="57.6" x14ac:dyDescent="0.3">
      <c r="A5711" s="22" t="s">
        <v>1284</v>
      </c>
    </row>
    <row r="5712" spans="1:8" x14ac:dyDescent="0.3">
      <c r="A5712" s="22" t="s">
        <v>57</v>
      </c>
      <c r="B5712" t="s">
        <v>66</v>
      </c>
      <c r="C5712" t="s">
        <v>58</v>
      </c>
      <c r="D5712" t="s">
        <v>59</v>
      </c>
      <c r="E5712" t="s">
        <v>60</v>
      </c>
      <c r="F5712" t="s">
        <v>61</v>
      </c>
      <c r="G5712" t="s">
        <v>62</v>
      </c>
      <c r="H5712" t="s">
        <v>63</v>
      </c>
    </row>
    <row r="5713" spans="1:8" x14ac:dyDescent="0.3">
      <c r="A5713" s="22" t="s">
        <v>64</v>
      </c>
      <c r="B5713" t="s">
        <v>67</v>
      </c>
      <c r="C5713" s="30">
        <v>24.88311688311688</v>
      </c>
      <c r="D5713" s="30">
        <v>20</v>
      </c>
      <c r="E5713" s="30">
        <v>1</v>
      </c>
      <c r="F5713" s="30">
        <v>100</v>
      </c>
      <c r="G5713">
        <v>77</v>
      </c>
      <c r="H5713">
        <v>80</v>
      </c>
    </row>
    <row r="5714" spans="1:8" x14ac:dyDescent="0.3">
      <c r="A5714" s="22" t="s">
        <v>64</v>
      </c>
      <c r="B5714" t="s">
        <v>68</v>
      </c>
      <c r="C5714" s="30">
        <v>10</v>
      </c>
      <c r="D5714" s="30">
        <v>10</v>
      </c>
      <c r="E5714" s="30">
        <v>10</v>
      </c>
      <c r="F5714" s="30">
        <v>10</v>
      </c>
      <c r="G5714">
        <v>3</v>
      </c>
      <c r="H5714">
        <v>80</v>
      </c>
    </row>
    <row r="5715" spans="1:8" x14ac:dyDescent="0.3">
      <c r="C5715" s="30"/>
      <c r="D5715" s="30"/>
      <c r="E5715" s="30"/>
      <c r="F5715" s="30"/>
    </row>
    <row r="5716" spans="1:8" x14ac:dyDescent="0.3">
      <c r="A5716"/>
      <c r="C5716" s="30"/>
      <c r="D5716" s="30"/>
      <c r="E5716" s="30"/>
      <c r="F5716" s="30"/>
    </row>
    <row r="5717" spans="1:8" x14ac:dyDescent="0.3">
      <c r="A5717"/>
      <c r="C5717" s="30"/>
      <c r="D5717" s="30"/>
      <c r="E5717" s="30"/>
      <c r="F5717" s="30"/>
    </row>
    <row r="5718" spans="1:8" x14ac:dyDescent="0.3">
      <c r="A5718"/>
      <c r="C5718" s="30"/>
      <c r="D5718" s="30"/>
      <c r="E5718" s="30"/>
      <c r="F5718" s="30"/>
    </row>
    <row r="5719" spans="1:8" x14ac:dyDescent="0.3">
      <c r="A5719"/>
      <c r="C5719" s="30"/>
      <c r="D5719" s="30"/>
      <c r="E5719" s="30"/>
      <c r="F5719" s="30"/>
    </row>
    <row r="5720" spans="1:8" ht="57.6" x14ac:dyDescent="0.3">
      <c r="A5720" s="22" t="s">
        <v>1285</v>
      </c>
      <c r="C5720" s="30"/>
      <c r="D5720" s="30"/>
      <c r="E5720" s="30"/>
      <c r="F5720" s="30"/>
    </row>
    <row r="5721" spans="1:8" x14ac:dyDescent="0.3">
      <c r="A5721" s="22" t="s">
        <v>57</v>
      </c>
      <c r="B5721" t="s">
        <v>66</v>
      </c>
      <c r="C5721" s="30" t="s">
        <v>58</v>
      </c>
      <c r="D5721" s="30" t="s">
        <v>59</v>
      </c>
      <c r="E5721" s="30" t="s">
        <v>60</v>
      </c>
      <c r="F5721" s="30" t="s">
        <v>61</v>
      </c>
      <c r="G5721" t="s">
        <v>62</v>
      </c>
      <c r="H5721" t="s">
        <v>63</v>
      </c>
    </row>
    <row r="5722" spans="1:8" x14ac:dyDescent="0.3">
      <c r="A5722" s="22" t="s">
        <v>64</v>
      </c>
      <c r="B5722" t="s">
        <v>67</v>
      </c>
      <c r="C5722" s="30">
        <v>24.684210526315791</v>
      </c>
      <c r="D5722" s="30">
        <v>20</v>
      </c>
      <c r="E5722" s="30">
        <v>1</v>
      </c>
      <c r="F5722" s="30">
        <v>100</v>
      </c>
      <c r="G5722">
        <v>76</v>
      </c>
      <c r="H5722">
        <v>80</v>
      </c>
    </row>
    <row r="5723" spans="1:8" x14ac:dyDescent="0.3">
      <c r="A5723" s="22" t="s">
        <v>64</v>
      </c>
      <c r="B5723" t="s">
        <v>68</v>
      </c>
      <c r="C5723" s="30">
        <v>17.5</v>
      </c>
      <c r="D5723" s="30">
        <v>10</v>
      </c>
      <c r="E5723" s="30">
        <v>10</v>
      </c>
      <c r="F5723" s="30">
        <v>30</v>
      </c>
      <c r="G5723">
        <v>4</v>
      </c>
      <c r="H5723">
        <v>80</v>
      </c>
    </row>
    <row r="5724" spans="1:8" x14ac:dyDescent="0.3">
      <c r="C5724" s="30"/>
      <c r="D5724" s="30"/>
      <c r="E5724" s="30"/>
      <c r="F5724" s="30"/>
    </row>
    <row r="5725" spans="1:8" ht="57.6" x14ac:dyDescent="0.3">
      <c r="A5725" s="22" t="s">
        <v>1286</v>
      </c>
      <c r="C5725" s="30"/>
      <c r="D5725" s="30"/>
      <c r="E5725" s="30"/>
      <c r="F5725" s="30"/>
    </row>
    <row r="5726" spans="1:8" x14ac:dyDescent="0.3">
      <c r="A5726" s="22" t="s">
        <v>57</v>
      </c>
      <c r="B5726" t="s">
        <v>66</v>
      </c>
      <c r="C5726" s="30" t="s">
        <v>58</v>
      </c>
      <c r="D5726" s="30" t="s">
        <v>59</v>
      </c>
      <c r="E5726" s="30" t="s">
        <v>60</v>
      </c>
      <c r="F5726" s="30" t="s">
        <v>61</v>
      </c>
      <c r="G5726" t="s">
        <v>62</v>
      </c>
      <c r="H5726" t="s">
        <v>63</v>
      </c>
    </row>
    <row r="5727" spans="1:8" x14ac:dyDescent="0.3">
      <c r="A5727" s="22" t="s">
        <v>64</v>
      </c>
      <c r="B5727" t="s">
        <v>67</v>
      </c>
      <c r="C5727" s="30">
        <v>24.50632911392405</v>
      </c>
      <c r="D5727" s="30">
        <v>20</v>
      </c>
      <c r="E5727" s="30">
        <v>1</v>
      </c>
      <c r="F5727" s="30">
        <v>100</v>
      </c>
      <c r="G5727">
        <v>79</v>
      </c>
      <c r="H5727">
        <v>80</v>
      </c>
    </row>
    <row r="5728" spans="1:8" x14ac:dyDescent="0.3">
      <c r="A5728" s="22" t="s">
        <v>64</v>
      </c>
      <c r="B5728" t="s">
        <v>68</v>
      </c>
      <c r="C5728" s="30">
        <v>10</v>
      </c>
      <c r="D5728" s="30">
        <v>10</v>
      </c>
      <c r="E5728" s="30">
        <v>10</v>
      </c>
      <c r="F5728" s="30">
        <v>10</v>
      </c>
      <c r="G5728">
        <v>1</v>
      </c>
      <c r="H5728">
        <v>80</v>
      </c>
    </row>
    <row r="5729" spans="1:8" x14ac:dyDescent="0.3">
      <c r="C5729" s="30"/>
      <c r="D5729" s="30"/>
      <c r="E5729" s="30"/>
      <c r="F5729" s="30"/>
    </row>
    <row r="5730" spans="1:8" ht="57.6" x14ac:dyDescent="0.3">
      <c r="A5730" s="22" t="s">
        <v>1287</v>
      </c>
      <c r="C5730" s="30"/>
      <c r="D5730" s="30"/>
      <c r="E5730" s="30"/>
      <c r="F5730" s="30"/>
    </row>
    <row r="5731" spans="1:8" x14ac:dyDescent="0.3">
      <c r="A5731" s="22" t="s">
        <v>57</v>
      </c>
      <c r="B5731" t="s">
        <v>66</v>
      </c>
      <c r="C5731" s="30" t="s">
        <v>58</v>
      </c>
      <c r="D5731" s="30" t="s">
        <v>59</v>
      </c>
      <c r="E5731" s="30" t="s">
        <v>60</v>
      </c>
      <c r="F5731" s="30" t="s">
        <v>61</v>
      </c>
      <c r="G5731" t="s">
        <v>62</v>
      </c>
      <c r="H5731" t="s">
        <v>63</v>
      </c>
    </row>
    <row r="5732" spans="1:8" x14ac:dyDescent="0.3">
      <c r="A5732" s="22" t="s">
        <v>64</v>
      </c>
      <c r="B5732" t="s">
        <v>67</v>
      </c>
      <c r="C5732" s="30">
        <v>22.26760563380282</v>
      </c>
      <c r="D5732" s="30">
        <v>20</v>
      </c>
      <c r="E5732" s="30">
        <v>1</v>
      </c>
      <c r="F5732" s="30">
        <v>85</v>
      </c>
      <c r="G5732">
        <v>71</v>
      </c>
      <c r="H5732">
        <v>80</v>
      </c>
    </row>
    <row r="5733" spans="1:8" x14ac:dyDescent="0.3">
      <c r="A5733" s="22" t="s">
        <v>64</v>
      </c>
      <c r="B5733" t="s">
        <v>68</v>
      </c>
      <c r="C5733" s="30">
        <v>40.555555555555557</v>
      </c>
      <c r="D5733" s="30">
        <v>50</v>
      </c>
      <c r="E5733" s="30">
        <v>5</v>
      </c>
      <c r="F5733" s="30">
        <v>100</v>
      </c>
      <c r="G5733">
        <v>9</v>
      </c>
      <c r="H5733">
        <v>80</v>
      </c>
    </row>
    <row r="5734" spans="1:8" x14ac:dyDescent="0.3">
      <c r="C5734" s="30"/>
      <c r="D5734" s="30"/>
      <c r="E5734" s="30"/>
      <c r="F5734" s="30"/>
    </row>
    <row r="5735" spans="1:8" ht="57.6" x14ac:dyDescent="0.3">
      <c r="A5735" s="22" t="s">
        <v>1288</v>
      </c>
      <c r="C5735" s="30"/>
      <c r="D5735" s="30"/>
      <c r="E5735" s="30"/>
      <c r="F5735" s="30"/>
    </row>
    <row r="5736" spans="1:8" x14ac:dyDescent="0.3">
      <c r="A5736" s="22" t="s">
        <v>57</v>
      </c>
      <c r="B5736" t="s">
        <v>66</v>
      </c>
      <c r="C5736" s="30" t="s">
        <v>58</v>
      </c>
      <c r="D5736" s="30" t="s">
        <v>59</v>
      </c>
      <c r="E5736" s="30" t="s">
        <v>60</v>
      </c>
      <c r="F5736" s="30" t="s">
        <v>61</v>
      </c>
      <c r="G5736" t="s">
        <v>62</v>
      </c>
      <c r="H5736" t="s">
        <v>63</v>
      </c>
    </row>
    <row r="5737" spans="1:8" x14ac:dyDescent="0.3">
      <c r="A5737" s="22" t="s">
        <v>64</v>
      </c>
      <c r="B5737" t="s">
        <v>67</v>
      </c>
      <c r="C5737" s="30">
        <v>5</v>
      </c>
      <c r="D5737" s="30">
        <v>5</v>
      </c>
      <c r="E5737" s="30">
        <v>5</v>
      </c>
      <c r="F5737" s="30">
        <v>5</v>
      </c>
      <c r="G5737">
        <v>1</v>
      </c>
      <c r="H5737">
        <v>80</v>
      </c>
    </row>
    <row r="5738" spans="1:8" x14ac:dyDescent="0.3">
      <c r="A5738" s="22" t="s">
        <v>64</v>
      </c>
      <c r="B5738" t="s">
        <v>68</v>
      </c>
      <c r="C5738" s="30">
        <v>24.569620253164562</v>
      </c>
      <c r="D5738" s="30">
        <v>20</v>
      </c>
      <c r="E5738" s="30">
        <v>1</v>
      </c>
      <c r="F5738" s="30">
        <v>100</v>
      </c>
      <c r="G5738">
        <v>79</v>
      </c>
      <c r="H5738">
        <v>80</v>
      </c>
    </row>
    <row r="5739" spans="1:8" x14ac:dyDescent="0.3">
      <c r="C5739" s="30"/>
      <c r="D5739" s="30"/>
      <c r="E5739" s="30"/>
      <c r="F5739" s="30"/>
    </row>
    <row r="5740" spans="1:8" ht="57.6" x14ac:dyDescent="0.3">
      <c r="A5740" s="22" t="s">
        <v>1289</v>
      </c>
      <c r="C5740" s="30"/>
      <c r="D5740" s="30"/>
      <c r="E5740" s="30"/>
      <c r="F5740" s="30"/>
    </row>
    <row r="5741" spans="1:8" x14ac:dyDescent="0.3">
      <c r="A5741" s="22" t="s">
        <v>57</v>
      </c>
      <c r="B5741" t="s">
        <v>66</v>
      </c>
      <c r="C5741" s="30" t="s">
        <v>58</v>
      </c>
      <c r="D5741" s="30" t="s">
        <v>59</v>
      </c>
      <c r="E5741" s="30" t="s">
        <v>60</v>
      </c>
      <c r="F5741" s="30" t="s">
        <v>61</v>
      </c>
      <c r="G5741" t="s">
        <v>62</v>
      </c>
      <c r="H5741" t="s">
        <v>63</v>
      </c>
    </row>
    <row r="5742" spans="1:8" x14ac:dyDescent="0.3">
      <c r="A5742" s="22" t="s">
        <v>64</v>
      </c>
      <c r="B5742" t="s">
        <v>67</v>
      </c>
      <c r="C5742" s="30">
        <v>23.38095238095238</v>
      </c>
      <c r="D5742" s="30">
        <v>20</v>
      </c>
      <c r="E5742" s="30">
        <v>1</v>
      </c>
      <c r="F5742" s="30">
        <v>85</v>
      </c>
      <c r="G5742">
        <v>63</v>
      </c>
      <c r="H5742">
        <v>80</v>
      </c>
    </row>
    <row r="5743" spans="1:8" x14ac:dyDescent="0.3">
      <c r="A5743" s="22" t="s">
        <v>64</v>
      </c>
      <c r="B5743" t="s">
        <v>68</v>
      </c>
      <c r="C5743" s="30">
        <v>27.82352941176471</v>
      </c>
      <c r="D5743" s="30">
        <v>25</v>
      </c>
      <c r="E5743" s="30">
        <v>4</v>
      </c>
      <c r="F5743" s="30">
        <v>100</v>
      </c>
      <c r="G5743">
        <v>17</v>
      </c>
      <c r="H5743">
        <v>80</v>
      </c>
    </row>
    <row r="5744" spans="1:8" x14ac:dyDescent="0.3">
      <c r="C5744" s="30"/>
      <c r="D5744" s="30"/>
      <c r="E5744" s="30"/>
      <c r="F5744" s="30"/>
    </row>
    <row r="5745" spans="1:8" ht="57.6" x14ac:dyDescent="0.3">
      <c r="A5745" s="22" t="s">
        <v>1290</v>
      </c>
      <c r="C5745" s="30"/>
      <c r="D5745" s="30"/>
      <c r="E5745" s="30"/>
      <c r="F5745" s="30"/>
    </row>
    <row r="5746" spans="1:8" x14ac:dyDescent="0.3">
      <c r="A5746" s="22" t="s">
        <v>57</v>
      </c>
      <c r="B5746" t="s">
        <v>66</v>
      </c>
      <c r="C5746" s="30" t="s">
        <v>58</v>
      </c>
      <c r="D5746" s="30" t="s">
        <v>59</v>
      </c>
      <c r="E5746" s="30" t="s">
        <v>60</v>
      </c>
      <c r="F5746" s="30" t="s">
        <v>61</v>
      </c>
      <c r="G5746" t="s">
        <v>62</v>
      </c>
      <c r="H5746" t="s">
        <v>63</v>
      </c>
    </row>
    <row r="5747" spans="1:8" x14ac:dyDescent="0.3">
      <c r="A5747" s="22" t="s">
        <v>64</v>
      </c>
      <c r="B5747" t="s">
        <v>67</v>
      </c>
      <c r="C5747" s="30">
        <v>23.828125</v>
      </c>
      <c r="D5747" s="30">
        <v>20</v>
      </c>
      <c r="E5747" s="30">
        <v>1</v>
      </c>
      <c r="F5747" s="30">
        <v>100</v>
      </c>
      <c r="G5747">
        <v>64</v>
      </c>
      <c r="H5747">
        <v>80</v>
      </c>
    </row>
    <row r="5748" spans="1:8" x14ac:dyDescent="0.3">
      <c r="A5748" s="22" t="s">
        <v>64</v>
      </c>
      <c r="B5748" t="s">
        <v>68</v>
      </c>
      <c r="C5748" s="30">
        <v>26.3125</v>
      </c>
      <c r="D5748" s="30">
        <v>25</v>
      </c>
      <c r="E5748" s="30">
        <v>5</v>
      </c>
      <c r="F5748" s="30">
        <v>50</v>
      </c>
      <c r="G5748">
        <v>16</v>
      </c>
      <c r="H5748">
        <v>80</v>
      </c>
    </row>
    <row r="5749" spans="1:8" x14ac:dyDescent="0.3">
      <c r="C5749" s="30"/>
      <c r="D5749" s="30"/>
      <c r="E5749" s="30"/>
      <c r="F5749" s="30"/>
    </row>
    <row r="5750" spans="1:8" ht="57.6" x14ac:dyDescent="0.3">
      <c r="A5750" s="22" t="s">
        <v>1291</v>
      </c>
      <c r="C5750" s="30"/>
      <c r="D5750" s="30"/>
      <c r="E5750" s="30"/>
      <c r="F5750" s="30"/>
    </row>
    <row r="5751" spans="1:8" x14ac:dyDescent="0.3">
      <c r="A5751" s="22" t="s">
        <v>57</v>
      </c>
      <c r="B5751" t="s">
        <v>66</v>
      </c>
      <c r="C5751" s="30" t="s">
        <v>58</v>
      </c>
      <c r="D5751" s="30" t="s">
        <v>59</v>
      </c>
      <c r="E5751" s="30" t="s">
        <v>60</v>
      </c>
      <c r="F5751" s="30" t="s">
        <v>61</v>
      </c>
      <c r="G5751" t="s">
        <v>62</v>
      </c>
      <c r="H5751" t="s">
        <v>63</v>
      </c>
    </row>
    <row r="5752" spans="1:8" x14ac:dyDescent="0.3">
      <c r="A5752" s="22" t="s">
        <v>64</v>
      </c>
      <c r="B5752" t="s">
        <v>67</v>
      </c>
      <c r="C5752" s="30">
        <v>22.93333333333333</v>
      </c>
      <c r="D5752" s="30">
        <v>15</v>
      </c>
      <c r="E5752" s="30">
        <v>3</v>
      </c>
      <c r="F5752" s="30">
        <v>100</v>
      </c>
      <c r="G5752">
        <v>60</v>
      </c>
      <c r="H5752">
        <v>80</v>
      </c>
    </row>
    <row r="5753" spans="1:8" x14ac:dyDescent="0.3">
      <c r="A5753" s="22" t="s">
        <v>64</v>
      </c>
      <c r="B5753" t="s">
        <v>68</v>
      </c>
      <c r="C5753" s="30">
        <v>28.5</v>
      </c>
      <c r="D5753" s="30">
        <v>20</v>
      </c>
      <c r="E5753" s="30">
        <v>1</v>
      </c>
      <c r="F5753" s="30">
        <v>85</v>
      </c>
      <c r="G5753">
        <v>20</v>
      </c>
      <c r="H5753">
        <v>80</v>
      </c>
    </row>
    <row r="5754" spans="1:8" x14ac:dyDescent="0.3">
      <c r="C5754" s="30"/>
      <c r="D5754" s="30"/>
      <c r="E5754" s="30"/>
      <c r="F5754" s="30"/>
    </row>
    <row r="5755" spans="1:8" ht="72" x14ac:dyDescent="0.3">
      <c r="A5755" s="22" t="s">
        <v>1292</v>
      </c>
      <c r="C5755" s="30"/>
      <c r="D5755" s="30"/>
      <c r="E5755" s="30"/>
      <c r="F5755" s="30"/>
    </row>
    <row r="5756" spans="1:8" x14ac:dyDescent="0.3">
      <c r="A5756" s="22" t="s">
        <v>57</v>
      </c>
      <c r="B5756" t="s">
        <v>66</v>
      </c>
      <c r="C5756" s="30" t="s">
        <v>58</v>
      </c>
      <c r="D5756" s="30" t="s">
        <v>59</v>
      </c>
      <c r="E5756" s="30" t="s">
        <v>60</v>
      </c>
      <c r="F5756" s="30" t="s">
        <v>61</v>
      </c>
      <c r="G5756" t="s">
        <v>62</v>
      </c>
      <c r="H5756" t="s">
        <v>63</v>
      </c>
    </row>
    <row r="5757" spans="1:8" x14ac:dyDescent="0.3">
      <c r="A5757" s="22" t="s">
        <v>64</v>
      </c>
      <c r="B5757" t="s">
        <v>67</v>
      </c>
      <c r="C5757" s="30">
        <v>25.6056338028169</v>
      </c>
      <c r="D5757" s="30">
        <v>20</v>
      </c>
      <c r="E5757" s="30">
        <v>1</v>
      </c>
      <c r="F5757" s="30">
        <v>100</v>
      </c>
      <c r="G5757">
        <v>71</v>
      </c>
      <c r="H5757">
        <v>80</v>
      </c>
    </row>
    <row r="5758" spans="1:8" x14ac:dyDescent="0.3">
      <c r="A5758" s="22" t="s">
        <v>64</v>
      </c>
      <c r="B5758" t="s">
        <v>68</v>
      </c>
      <c r="C5758" s="30">
        <v>14.22222222222222</v>
      </c>
      <c r="D5758" s="30">
        <v>15</v>
      </c>
      <c r="E5758" s="30">
        <v>5</v>
      </c>
      <c r="F5758" s="30">
        <v>30</v>
      </c>
      <c r="G5758">
        <v>9</v>
      </c>
      <c r="H5758">
        <v>80</v>
      </c>
    </row>
    <row r="5759" spans="1:8" x14ac:dyDescent="0.3">
      <c r="C5759" s="30"/>
      <c r="D5759" s="30"/>
      <c r="E5759" s="30"/>
      <c r="F5759" s="30"/>
    </row>
    <row r="5760" spans="1:8" ht="72" x14ac:dyDescent="0.3">
      <c r="A5760" s="22" t="s">
        <v>1293</v>
      </c>
      <c r="C5760" s="30"/>
      <c r="D5760" s="30"/>
      <c r="E5760" s="30"/>
      <c r="F5760" s="30"/>
    </row>
    <row r="5761" spans="1:8" x14ac:dyDescent="0.3">
      <c r="A5761" s="22" t="s">
        <v>57</v>
      </c>
      <c r="B5761" t="s">
        <v>66</v>
      </c>
      <c r="C5761" s="30" t="s">
        <v>58</v>
      </c>
      <c r="D5761" s="30" t="s">
        <v>59</v>
      </c>
      <c r="E5761" s="30" t="s">
        <v>60</v>
      </c>
      <c r="F5761" s="30" t="s">
        <v>61</v>
      </c>
      <c r="G5761" t="s">
        <v>62</v>
      </c>
      <c r="H5761" t="s">
        <v>63</v>
      </c>
    </row>
    <row r="5762" spans="1:8" x14ac:dyDescent="0.3">
      <c r="A5762" s="22" t="s">
        <v>64</v>
      </c>
      <c r="B5762" t="s">
        <v>67</v>
      </c>
      <c r="C5762" s="30">
        <v>24.324999999999999</v>
      </c>
      <c r="D5762" s="30">
        <v>20</v>
      </c>
      <c r="E5762" s="30">
        <v>1</v>
      </c>
      <c r="F5762" s="30">
        <v>100</v>
      </c>
      <c r="G5762">
        <v>80</v>
      </c>
      <c r="H5762">
        <v>80</v>
      </c>
    </row>
    <row r="5763" spans="1:8" x14ac:dyDescent="0.3">
      <c r="C5763" s="30"/>
      <c r="D5763" s="30"/>
      <c r="E5763" s="30"/>
      <c r="F5763" s="30"/>
    </row>
    <row r="5764" spans="1:8" ht="57.6" x14ac:dyDescent="0.3">
      <c r="A5764" s="22" t="s">
        <v>1294</v>
      </c>
      <c r="C5764" s="30"/>
      <c r="D5764" s="30"/>
      <c r="E5764" s="30"/>
      <c r="F5764" s="30"/>
    </row>
    <row r="5765" spans="1:8" x14ac:dyDescent="0.3">
      <c r="A5765" s="22" t="s">
        <v>57</v>
      </c>
      <c r="B5765" t="s">
        <v>66</v>
      </c>
      <c r="C5765" s="30" t="s">
        <v>58</v>
      </c>
      <c r="D5765" s="30" t="s">
        <v>59</v>
      </c>
      <c r="E5765" s="30" t="s">
        <v>60</v>
      </c>
      <c r="F5765" s="30" t="s">
        <v>61</v>
      </c>
      <c r="G5765" t="s">
        <v>62</v>
      </c>
      <c r="H5765" t="s">
        <v>63</v>
      </c>
    </row>
    <row r="5766" spans="1:8" x14ac:dyDescent="0.3">
      <c r="A5766" s="22" t="s">
        <v>64</v>
      </c>
      <c r="B5766" t="s">
        <v>67</v>
      </c>
      <c r="C5766" s="30">
        <v>25.387755102040821</v>
      </c>
      <c r="D5766" s="30">
        <v>20</v>
      </c>
      <c r="E5766" s="30">
        <v>3</v>
      </c>
      <c r="F5766" s="30">
        <v>100</v>
      </c>
      <c r="G5766">
        <v>49</v>
      </c>
      <c r="H5766">
        <v>80</v>
      </c>
    </row>
    <row r="5767" spans="1:8" x14ac:dyDescent="0.3">
      <c r="A5767" s="22" t="s">
        <v>64</v>
      </c>
      <c r="B5767" t="s">
        <v>68</v>
      </c>
      <c r="C5767" s="30">
        <v>22.64516129032258</v>
      </c>
      <c r="D5767" s="30">
        <v>20</v>
      </c>
      <c r="E5767" s="30">
        <v>1</v>
      </c>
      <c r="F5767" s="30">
        <v>80</v>
      </c>
      <c r="G5767">
        <v>31</v>
      </c>
      <c r="H5767">
        <v>80</v>
      </c>
    </row>
    <row r="5768" spans="1:8" x14ac:dyDescent="0.3">
      <c r="C5768" s="30"/>
      <c r="D5768" s="30"/>
      <c r="E5768" s="30"/>
      <c r="F5768" s="30"/>
    </row>
    <row r="5769" spans="1:8" ht="57.6" x14ac:dyDescent="0.3">
      <c r="A5769" s="22" t="s">
        <v>1295</v>
      </c>
      <c r="C5769" s="30"/>
      <c r="D5769" s="30"/>
      <c r="E5769" s="30"/>
      <c r="F5769" s="30"/>
    </row>
    <row r="5770" spans="1:8" x14ac:dyDescent="0.3">
      <c r="A5770" s="22" t="s">
        <v>57</v>
      </c>
      <c r="B5770" t="s">
        <v>66</v>
      </c>
      <c r="C5770" s="30" t="s">
        <v>58</v>
      </c>
      <c r="D5770" s="30" t="s">
        <v>59</v>
      </c>
      <c r="E5770" s="30" t="s">
        <v>60</v>
      </c>
      <c r="F5770" s="30" t="s">
        <v>61</v>
      </c>
      <c r="G5770" t="s">
        <v>62</v>
      </c>
      <c r="H5770" t="s">
        <v>63</v>
      </c>
    </row>
    <row r="5771" spans="1:8" x14ac:dyDescent="0.3">
      <c r="A5771" s="22" t="s">
        <v>64</v>
      </c>
      <c r="B5771" t="s">
        <v>67</v>
      </c>
      <c r="C5771" s="30">
        <v>25.4</v>
      </c>
      <c r="D5771" s="30">
        <v>20</v>
      </c>
      <c r="E5771" s="30">
        <v>1</v>
      </c>
      <c r="F5771" s="30">
        <v>100</v>
      </c>
      <c r="G5771">
        <v>70</v>
      </c>
      <c r="H5771">
        <v>80</v>
      </c>
    </row>
    <row r="5772" spans="1:8" x14ac:dyDescent="0.3">
      <c r="A5772" s="22" t="s">
        <v>64</v>
      </c>
      <c r="B5772" t="s">
        <v>68</v>
      </c>
      <c r="C5772" s="30">
        <v>16.8</v>
      </c>
      <c r="D5772" s="30">
        <v>15</v>
      </c>
      <c r="E5772" s="30">
        <v>4</v>
      </c>
      <c r="F5772" s="30">
        <v>30</v>
      </c>
      <c r="G5772">
        <v>10</v>
      </c>
      <c r="H5772">
        <v>80</v>
      </c>
    </row>
    <row r="5773" spans="1:8" x14ac:dyDescent="0.3">
      <c r="C5773" s="30"/>
      <c r="D5773" s="30"/>
      <c r="E5773" s="30"/>
      <c r="F5773" s="30"/>
    </row>
    <row r="5774" spans="1:8" ht="43.2" x14ac:dyDescent="0.3">
      <c r="A5774" s="27" t="s">
        <v>1296</v>
      </c>
      <c r="C5774" s="30"/>
      <c r="D5774" s="30"/>
      <c r="E5774" s="30"/>
      <c r="F5774" s="30"/>
    </row>
    <row r="5775" spans="1:8" x14ac:dyDescent="0.3">
      <c r="A5775" s="22" t="s">
        <v>57</v>
      </c>
      <c r="B5775" t="s">
        <v>66</v>
      </c>
      <c r="C5775" s="30" t="s">
        <v>58</v>
      </c>
      <c r="D5775" s="30" t="s">
        <v>59</v>
      </c>
      <c r="E5775" s="30" t="s">
        <v>60</v>
      </c>
      <c r="F5775" s="30" t="s">
        <v>61</v>
      </c>
      <c r="G5775" t="s">
        <v>62</v>
      </c>
      <c r="H5775" t="s">
        <v>63</v>
      </c>
    </row>
    <row r="5776" spans="1:8" x14ac:dyDescent="0.3">
      <c r="A5776" s="22" t="s">
        <v>64</v>
      </c>
      <c r="B5776" t="s">
        <v>81</v>
      </c>
      <c r="C5776" s="30">
        <v>29.913043478260871</v>
      </c>
      <c r="D5776" s="30">
        <v>25</v>
      </c>
      <c r="E5776" s="30">
        <v>5</v>
      </c>
      <c r="F5776" s="30">
        <v>100</v>
      </c>
      <c r="G5776">
        <v>23</v>
      </c>
      <c r="H5776">
        <v>80</v>
      </c>
    </row>
    <row r="5777" spans="1:8" x14ac:dyDescent="0.3">
      <c r="A5777" s="22" t="s">
        <v>64</v>
      </c>
      <c r="B5777" t="s">
        <v>82</v>
      </c>
      <c r="C5777" s="30">
        <v>22.84210526315789</v>
      </c>
      <c r="D5777" s="30">
        <v>20</v>
      </c>
      <c r="E5777" s="30">
        <v>3</v>
      </c>
      <c r="F5777" s="30">
        <v>50</v>
      </c>
      <c r="G5777">
        <v>19</v>
      </c>
      <c r="H5777">
        <v>80</v>
      </c>
    </row>
    <row r="5778" spans="1:8" x14ac:dyDescent="0.3">
      <c r="A5778" s="22" t="s">
        <v>64</v>
      </c>
      <c r="B5778" t="s">
        <v>83</v>
      </c>
      <c r="C5778" s="30">
        <v>24.333333333333329</v>
      </c>
      <c r="D5778" s="30">
        <v>20</v>
      </c>
      <c r="E5778" s="30">
        <v>5</v>
      </c>
      <c r="F5778" s="30">
        <v>80</v>
      </c>
      <c r="G5778">
        <v>15</v>
      </c>
      <c r="H5778">
        <v>80</v>
      </c>
    </row>
    <row r="5779" spans="1:8" x14ac:dyDescent="0.3">
      <c r="A5779" s="22" t="s">
        <v>64</v>
      </c>
      <c r="B5779" t="s">
        <v>84</v>
      </c>
      <c r="C5779" s="30">
        <v>19.95652173913043</v>
      </c>
      <c r="D5779" s="30">
        <v>15</v>
      </c>
      <c r="E5779" s="30">
        <v>1</v>
      </c>
      <c r="F5779" s="30">
        <v>80</v>
      </c>
      <c r="G5779">
        <v>23</v>
      </c>
      <c r="H5779">
        <v>80</v>
      </c>
    </row>
    <row r="5780" spans="1:8" x14ac:dyDescent="0.3">
      <c r="C5780" s="30"/>
      <c r="D5780" s="30"/>
      <c r="E5780" s="30"/>
      <c r="F5780" s="30"/>
    </row>
    <row r="5781" spans="1:8" ht="43.2" x14ac:dyDescent="0.3">
      <c r="A5781" s="27" t="s">
        <v>1297</v>
      </c>
    </row>
    <row r="5782" spans="1:8" x14ac:dyDescent="0.3">
      <c r="A5782" s="22" t="s">
        <v>57</v>
      </c>
      <c r="B5782" t="s">
        <v>58</v>
      </c>
      <c r="C5782" t="s">
        <v>59</v>
      </c>
      <c r="D5782" t="s">
        <v>60</v>
      </c>
      <c r="E5782" t="s">
        <v>61</v>
      </c>
      <c r="F5782" t="s">
        <v>62</v>
      </c>
      <c r="G5782" t="s">
        <v>63</v>
      </c>
    </row>
    <row r="5783" spans="1:8" x14ac:dyDescent="0.3">
      <c r="A5783" s="22" t="s">
        <v>64</v>
      </c>
      <c r="B5783" s="30">
        <v>26.666666666666671</v>
      </c>
      <c r="C5783" s="30">
        <v>20</v>
      </c>
      <c r="D5783" s="30">
        <v>10</v>
      </c>
      <c r="E5783" s="30">
        <v>50</v>
      </c>
      <c r="F5783">
        <v>6</v>
      </c>
      <c r="G5783">
        <v>6</v>
      </c>
    </row>
    <row r="5785" spans="1:8" ht="57.6" x14ac:dyDescent="0.3">
      <c r="A5785" s="22" t="s">
        <v>1298</v>
      </c>
      <c r="C5785" s="30"/>
      <c r="D5785" s="30"/>
      <c r="E5785" s="30"/>
      <c r="F5785" s="30"/>
    </row>
    <row r="5786" spans="1:8" x14ac:dyDescent="0.3">
      <c r="A5786" s="22" t="s">
        <v>57</v>
      </c>
      <c r="B5786" t="s">
        <v>66</v>
      </c>
      <c r="C5786" s="30" t="s">
        <v>58</v>
      </c>
      <c r="D5786" s="30" t="s">
        <v>59</v>
      </c>
      <c r="E5786" s="30" t="s">
        <v>60</v>
      </c>
      <c r="F5786" s="30" t="s">
        <v>61</v>
      </c>
      <c r="G5786" t="s">
        <v>62</v>
      </c>
      <c r="H5786" t="s">
        <v>63</v>
      </c>
    </row>
    <row r="5787" spans="1:8" x14ac:dyDescent="0.3">
      <c r="A5787" s="22" t="s">
        <v>64</v>
      </c>
      <c r="B5787" t="s">
        <v>67</v>
      </c>
      <c r="C5787" s="30">
        <v>24</v>
      </c>
      <c r="D5787" s="30">
        <v>30</v>
      </c>
      <c r="E5787" s="30">
        <v>10</v>
      </c>
      <c r="F5787" s="30">
        <v>50</v>
      </c>
      <c r="G5787">
        <v>5</v>
      </c>
      <c r="H5787">
        <v>6</v>
      </c>
    </row>
    <row r="5788" spans="1:8" x14ac:dyDescent="0.3">
      <c r="A5788" s="22" t="s">
        <v>64</v>
      </c>
      <c r="B5788" t="s">
        <v>68</v>
      </c>
      <c r="C5788" s="30">
        <v>40</v>
      </c>
      <c r="D5788" s="30">
        <v>40</v>
      </c>
      <c r="E5788" s="30">
        <v>40</v>
      </c>
      <c r="F5788" s="30">
        <v>40</v>
      </c>
      <c r="G5788">
        <v>1</v>
      </c>
      <c r="H5788">
        <v>6</v>
      </c>
    </row>
    <row r="5789" spans="1:8" x14ac:dyDescent="0.3">
      <c r="C5789" s="30"/>
      <c r="D5789" s="30"/>
      <c r="E5789" s="30"/>
      <c r="F5789" s="30"/>
    </row>
    <row r="5790" spans="1:8" x14ac:dyDescent="0.3">
      <c r="A5790"/>
      <c r="C5790" s="30"/>
      <c r="D5790" s="30"/>
      <c r="E5790" s="30"/>
      <c r="F5790" s="30"/>
    </row>
    <row r="5791" spans="1:8" x14ac:dyDescent="0.3">
      <c r="A5791"/>
      <c r="C5791" s="30"/>
      <c r="D5791" s="30"/>
      <c r="E5791" s="30"/>
      <c r="F5791" s="30"/>
    </row>
    <row r="5792" spans="1:8" x14ac:dyDescent="0.3">
      <c r="A5792"/>
      <c r="C5792" s="30"/>
      <c r="D5792" s="30"/>
      <c r="E5792" s="30"/>
      <c r="F5792" s="30"/>
    </row>
    <row r="5793" spans="1:8" x14ac:dyDescent="0.3">
      <c r="C5793" s="30"/>
      <c r="D5793" s="30"/>
      <c r="E5793" s="30"/>
      <c r="F5793" s="30"/>
    </row>
    <row r="5794" spans="1:8" ht="57.6" x14ac:dyDescent="0.3">
      <c r="A5794" s="22" t="s">
        <v>1299</v>
      </c>
      <c r="C5794" s="30"/>
      <c r="D5794" s="30"/>
      <c r="E5794" s="30"/>
      <c r="F5794" s="30"/>
    </row>
    <row r="5795" spans="1:8" x14ac:dyDescent="0.3">
      <c r="A5795" s="22" t="s">
        <v>57</v>
      </c>
      <c r="B5795" t="s">
        <v>66</v>
      </c>
      <c r="C5795" s="30" t="s">
        <v>58</v>
      </c>
      <c r="D5795" s="30" t="s">
        <v>59</v>
      </c>
      <c r="E5795" s="30" t="s">
        <v>60</v>
      </c>
      <c r="F5795" s="30" t="s">
        <v>61</v>
      </c>
      <c r="G5795" t="s">
        <v>62</v>
      </c>
      <c r="H5795" t="s">
        <v>63</v>
      </c>
    </row>
    <row r="5796" spans="1:8" x14ac:dyDescent="0.3">
      <c r="A5796" s="22" t="s">
        <v>64</v>
      </c>
      <c r="B5796" t="s">
        <v>67</v>
      </c>
      <c r="C5796" s="30">
        <v>26.666666666666671</v>
      </c>
      <c r="D5796" s="30">
        <v>20</v>
      </c>
      <c r="E5796" s="30">
        <v>10</v>
      </c>
      <c r="F5796" s="30">
        <v>50</v>
      </c>
      <c r="G5796">
        <v>6</v>
      </c>
      <c r="H5796">
        <v>6</v>
      </c>
    </row>
    <row r="5797" spans="1:8" x14ac:dyDescent="0.3">
      <c r="C5797" s="30"/>
      <c r="D5797" s="30"/>
      <c r="E5797" s="30"/>
      <c r="F5797" s="30"/>
    </row>
    <row r="5798" spans="1:8" ht="57.6" x14ac:dyDescent="0.3">
      <c r="A5798" s="22" t="s">
        <v>1300</v>
      </c>
      <c r="C5798" s="30"/>
      <c r="D5798" s="30"/>
      <c r="E5798" s="30"/>
      <c r="F5798" s="30"/>
    </row>
    <row r="5799" spans="1:8" x14ac:dyDescent="0.3">
      <c r="A5799" s="22" t="s">
        <v>57</v>
      </c>
      <c r="B5799" t="s">
        <v>66</v>
      </c>
      <c r="C5799" s="30" t="s">
        <v>58</v>
      </c>
      <c r="D5799" s="30" t="s">
        <v>59</v>
      </c>
      <c r="E5799" s="30" t="s">
        <v>60</v>
      </c>
      <c r="F5799" s="30" t="s">
        <v>61</v>
      </c>
      <c r="G5799" t="s">
        <v>62</v>
      </c>
      <c r="H5799" t="s">
        <v>63</v>
      </c>
    </row>
    <row r="5800" spans="1:8" x14ac:dyDescent="0.3">
      <c r="A5800" s="22" t="s">
        <v>64</v>
      </c>
      <c r="B5800" t="s">
        <v>67</v>
      </c>
      <c r="C5800" s="30">
        <v>26.666666666666671</v>
      </c>
      <c r="D5800" s="30">
        <v>20</v>
      </c>
      <c r="E5800" s="30">
        <v>10</v>
      </c>
      <c r="F5800" s="30">
        <v>50</v>
      </c>
      <c r="G5800">
        <v>6</v>
      </c>
      <c r="H5800">
        <v>6</v>
      </c>
    </row>
    <row r="5801" spans="1:8" x14ac:dyDescent="0.3">
      <c r="C5801" s="30"/>
      <c r="D5801" s="30"/>
      <c r="E5801" s="30"/>
      <c r="F5801" s="30"/>
    </row>
    <row r="5802" spans="1:8" ht="57.6" x14ac:dyDescent="0.3">
      <c r="A5802" s="22" t="s">
        <v>1301</v>
      </c>
      <c r="C5802" s="30"/>
      <c r="D5802" s="30"/>
      <c r="E5802" s="30"/>
      <c r="F5802" s="30"/>
    </row>
    <row r="5803" spans="1:8" x14ac:dyDescent="0.3">
      <c r="A5803" s="22" t="s">
        <v>57</v>
      </c>
      <c r="B5803" t="s">
        <v>66</v>
      </c>
      <c r="C5803" s="30" t="s">
        <v>58</v>
      </c>
      <c r="D5803" s="30" t="s">
        <v>59</v>
      </c>
      <c r="E5803" s="30" t="s">
        <v>60</v>
      </c>
      <c r="F5803" s="30" t="s">
        <v>61</v>
      </c>
      <c r="G5803" t="s">
        <v>62</v>
      </c>
      <c r="H5803" t="s">
        <v>63</v>
      </c>
    </row>
    <row r="5804" spans="1:8" x14ac:dyDescent="0.3">
      <c r="A5804" s="22" t="s">
        <v>64</v>
      </c>
      <c r="B5804" t="s">
        <v>67</v>
      </c>
      <c r="C5804" s="30">
        <v>30</v>
      </c>
      <c r="D5804" s="30">
        <v>40</v>
      </c>
      <c r="E5804" s="30">
        <v>10</v>
      </c>
      <c r="F5804" s="30">
        <v>50</v>
      </c>
      <c r="G5804">
        <v>5</v>
      </c>
      <c r="H5804">
        <v>6</v>
      </c>
    </row>
    <row r="5805" spans="1:8" x14ac:dyDescent="0.3">
      <c r="A5805" s="22" t="s">
        <v>64</v>
      </c>
      <c r="B5805" t="s">
        <v>68</v>
      </c>
      <c r="C5805" s="30">
        <v>10</v>
      </c>
      <c r="D5805" s="30">
        <v>10</v>
      </c>
      <c r="E5805" s="30">
        <v>10</v>
      </c>
      <c r="F5805" s="30">
        <v>10</v>
      </c>
      <c r="G5805">
        <v>1</v>
      </c>
      <c r="H5805">
        <v>6</v>
      </c>
    </row>
    <row r="5806" spans="1:8" x14ac:dyDescent="0.3">
      <c r="C5806" s="30"/>
      <c r="D5806" s="30"/>
      <c r="E5806" s="30"/>
      <c r="F5806" s="30"/>
    </row>
    <row r="5807" spans="1:8" ht="57.6" x14ac:dyDescent="0.3">
      <c r="A5807" s="22" t="s">
        <v>1302</v>
      </c>
      <c r="C5807" s="30"/>
      <c r="D5807" s="30"/>
      <c r="E5807" s="30"/>
      <c r="F5807" s="30"/>
    </row>
    <row r="5808" spans="1:8" x14ac:dyDescent="0.3">
      <c r="A5808" s="22" t="s">
        <v>57</v>
      </c>
      <c r="B5808" t="s">
        <v>66</v>
      </c>
      <c r="C5808" s="30" t="s">
        <v>58</v>
      </c>
      <c r="D5808" s="30" t="s">
        <v>59</v>
      </c>
      <c r="E5808" s="30" t="s">
        <v>60</v>
      </c>
      <c r="F5808" s="30" t="s">
        <v>61</v>
      </c>
      <c r="G5808" t="s">
        <v>62</v>
      </c>
      <c r="H5808" t="s">
        <v>63</v>
      </c>
    </row>
    <row r="5809" spans="1:8" x14ac:dyDescent="0.3">
      <c r="A5809" s="22" t="s">
        <v>64</v>
      </c>
      <c r="B5809" t="s">
        <v>68</v>
      </c>
      <c r="C5809" s="30">
        <v>26.666666666666671</v>
      </c>
      <c r="D5809" s="30">
        <v>20</v>
      </c>
      <c r="E5809" s="30">
        <v>10</v>
      </c>
      <c r="F5809" s="30">
        <v>50</v>
      </c>
      <c r="G5809">
        <v>6</v>
      </c>
      <c r="H5809">
        <v>6</v>
      </c>
    </row>
    <row r="5810" spans="1:8" x14ac:dyDescent="0.3">
      <c r="C5810" s="30"/>
      <c r="D5810" s="30"/>
      <c r="E5810" s="30"/>
      <c r="F5810" s="30"/>
    </row>
    <row r="5811" spans="1:8" ht="57.6" x14ac:dyDescent="0.3">
      <c r="A5811" s="22" t="s">
        <v>1303</v>
      </c>
      <c r="C5811" s="30"/>
      <c r="D5811" s="30"/>
      <c r="E5811" s="30"/>
      <c r="F5811" s="30"/>
    </row>
    <row r="5812" spans="1:8" x14ac:dyDescent="0.3">
      <c r="A5812" s="22" t="s">
        <v>57</v>
      </c>
      <c r="B5812" t="s">
        <v>66</v>
      </c>
      <c r="C5812" s="30" t="s">
        <v>58</v>
      </c>
      <c r="D5812" s="30" t="s">
        <v>59</v>
      </c>
      <c r="E5812" s="30" t="s">
        <v>60</v>
      </c>
      <c r="F5812" s="30" t="s">
        <v>61</v>
      </c>
      <c r="G5812" t="s">
        <v>62</v>
      </c>
      <c r="H5812" t="s">
        <v>63</v>
      </c>
    </row>
    <row r="5813" spans="1:8" x14ac:dyDescent="0.3">
      <c r="A5813" s="22" t="s">
        <v>64</v>
      </c>
      <c r="B5813" t="s">
        <v>67</v>
      </c>
      <c r="C5813" s="30">
        <v>28</v>
      </c>
      <c r="D5813" s="30">
        <v>40</v>
      </c>
      <c r="E5813" s="30">
        <v>10</v>
      </c>
      <c r="F5813" s="30">
        <v>50</v>
      </c>
      <c r="G5813">
        <v>5</v>
      </c>
      <c r="H5813">
        <v>6</v>
      </c>
    </row>
    <row r="5814" spans="1:8" x14ac:dyDescent="0.3">
      <c r="A5814" s="22" t="s">
        <v>64</v>
      </c>
      <c r="B5814" t="s">
        <v>68</v>
      </c>
      <c r="C5814" s="30">
        <v>20</v>
      </c>
      <c r="D5814" s="30">
        <v>20</v>
      </c>
      <c r="E5814" s="30">
        <v>20</v>
      </c>
      <c r="F5814" s="30">
        <v>20</v>
      </c>
      <c r="G5814">
        <v>1</v>
      </c>
      <c r="H5814">
        <v>6</v>
      </c>
    </row>
    <row r="5815" spans="1:8" x14ac:dyDescent="0.3">
      <c r="C5815" s="30"/>
      <c r="D5815" s="30"/>
      <c r="E5815" s="30"/>
      <c r="F5815" s="30"/>
    </row>
    <row r="5816" spans="1:8" ht="57.6" x14ac:dyDescent="0.3">
      <c r="A5816" s="22" t="s">
        <v>1304</v>
      </c>
      <c r="C5816" s="30"/>
      <c r="D5816" s="30"/>
      <c r="E5816" s="30"/>
      <c r="F5816" s="30"/>
    </row>
    <row r="5817" spans="1:8" x14ac:dyDescent="0.3">
      <c r="A5817" s="22" t="s">
        <v>57</v>
      </c>
      <c r="B5817" t="s">
        <v>66</v>
      </c>
      <c r="C5817" s="30" t="s">
        <v>58</v>
      </c>
      <c r="D5817" s="30" t="s">
        <v>59</v>
      </c>
      <c r="E5817" s="30" t="s">
        <v>60</v>
      </c>
      <c r="F5817" s="30" t="s">
        <v>61</v>
      </c>
      <c r="G5817" t="s">
        <v>62</v>
      </c>
      <c r="H5817" t="s">
        <v>63</v>
      </c>
    </row>
    <row r="5818" spans="1:8" x14ac:dyDescent="0.3">
      <c r="A5818" s="22" t="s">
        <v>64</v>
      </c>
      <c r="B5818" t="s">
        <v>67</v>
      </c>
      <c r="C5818" s="30">
        <v>26.666666666666671</v>
      </c>
      <c r="D5818" s="30">
        <v>20</v>
      </c>
      <c r="E5818" s="30">
        <v>10</v>
      </c>
      <c r="F5818" s="30">
        <v>50</v>
      </c>
      <c r="G5818">
        <v>6</v>
      </c>
      <c r="H5818">
        <v>6</v>
      </c>
    </row>
    <row r="5819" spans="1:8" x14ac:dyDescent="0.3">
      <c r="C5819" s="30"/>
      <c r="D5819" s="30"/>
      <c r="E5819" s="30"/>
      <c r="F5819" s="30"/>
    </row>
    <row r="5820" spans="1:8" ht="57.6" x14ac:dyDescent="0.3">
      <c r="A5820" s="22" t="s">
        <v>1305</v>
      </c>
      <c r="C5820" s="30"/>
      <c r="D5820" s="30"/>
      <c r="E5820" s="30"/>
      <c r="F5820" s="30"/>
    </row>
    <row r="5821" spans="1:8" x14ac:dyDescent="0.3">
      <c r="A5821" s="22" t="s">
        <v>57</v>
      </c>
      <c r="B5821" t="s">
        <v>66</v>
      </c>
      <c r="C5821" s="30" t="s">
        <v>58</v>
      </c>
      <c r="D5821" s="30" t="s">
        <v>59</v>
      </c>
      <c r="E5821" s="30" t="s">
        <v>60</v>
      </c>
      <c r="F5821" s="30" t="s">
        <v>61</v>
      </c>
      <c r="G5821" t="s">
        <v>62</v>
      </c>
      <c r="H5821" t="s">
        <v>63</v>
      </c>
    </row>
    <row r="5822" spans="1:8" x14ac:dyDescent="0.3">
      <c r="A5822" s="22" t="s">
        <v>64</v>
      </c>
      <c r="B5822" t="s">
        <v>67</v>
      </c>
      <c r="C5822" s="30">
        <v>30</v>
      </c>
      <c r="D5822" s="30">
        <v>20</v>
      </c>
      <c r="E5822" s="30">
        <v>10</v>
      </c>
      <c r="F5822" s="30">
        <v>50</v>
      </c>
      <c r="G5822">
        <v>4</v>
      </c>
      <c r="H5822">
        <v>6</v>
      </c>
    </row>
    <row r="5823" spans="1:8" x14ac:dyDescent="0.3">
      <c r="A5823" s="22" t="s">
        <v>64</v>
      </c>
      <c r="B5823" t="s">
        <v>68</v>
      </c>
      <c r="C5823" s="30">
        <v>20</v>
      </c>
      <c r="D5823" s="30">
        <v>10</v>
      </c>
      <c r="E5823" s="30">
        <v>10</v>
      </c>
      <c r="F5823" s="30">
        <v>30</v>
      </c>
      <c r="G5823">
        <v>2</v>
      </c>
      <c r="H5823">
        <v>6</v>
      </c>
    </row>
    <row r="5824" spans="1:8" x14ac:dyDescent="0.3">
      <c r="C5824" s="30"/>
      <c r="D5824" s="30"/>
      <c r="E5824" s="30"/>
      <c r="F5824" s="30"/>
    </row>
    <row r="5825" spans="1:8" ht="72" x14ac:dyDescent="0.3">
      <c r="A5825" s="22" t="s">
        <v>1306</v>
      </c>
      <c r="C5825" s="30"/>
      <c r="D5825" s="30"/>
      <c r="E5825" s="30"/>
      <c r="F5825" s="30"/>
    </row>
    <row r="5826" spans="1:8" x14ac:dyDescent="0.3">
      <c r="A5826" s="22" t="s">
        <v>57</v>
      </c>
      <c r="B5826" t="s">
        <v>66</v>
      </c>
      <c r="C5826" s="30" t="s">
        <v>58</v>
      </c>
      <c r="D5826" s="30" t="s">
        <v>59</v>
      </c>
      <c r="E5826" s="30" t="s">
        <v>60</v>
      </c>
      <c r="F5826" s="30" t="s">
        <v>61</v>
      </c>
      <c r="G5826" t="s">
        <v>62</v>
      </c>
      <c r="H5826" t="s">
        <v>63</v>
      </c>
    </row>
    <row r="5827" spans="1:8" x14ac:dyDescent="0.3">
      <c r="A5827" s="22" t="s">
        <v>64</v>
      </c>
      <c r="B5827" t="s">
        <v>67</v>
      </c>
      <c r="C5827" s="30">
        <v>26.666666666666671</v>
      </c>
      <c r="D5827" s="30">
        <v>20</v>
      </c>
      <c r="E5827" s="30">
        <v>10</v>
      </c>
      <c r="F5827" s="30">
        <v>50</v>
      </c>
      <c r="G5827">
        <v>6</v>
      </c>
      <c r="H5827">
        <v>6</v>
      </c>
    </row>
    <row r="5828" spans="1:8" x14ac:dyDescent="0.3">
      <c r="C5828" s="30"/>
      <c r="D5828" s="30"/>
      <c r="E5828" s="30"/>
      <c r="F5828" s="30"/>
    </row>
    <row r="5829" spans="1:8" ht="72" x14ac:dyDescent="0.3">
      <c r="A5829" s="22" t="s">
        <v>1307</v>
      </c>
      <c r="C5829" s="30"/>
      <c r="D5829" s="30"/>
      <c r="E5829" s="30"/>
      <c r="F5829" s="30"/>
    </row>
    <row r="5830" spans="1:8" x14ac:dyDescent="0.3">
      <c r="A5830" s="22" t="s">
        <v>57</v>
      </c>
      <c r="B5830" t="s">
        <v>66</v>
      </c>
      <c r="C5830" s="30" t="s">
        <v>58</v>
      </c>
      <c r="D5830" s="30" t="s">
        <v>59</v>
      </c>
      <c r="E5830" s="30" t="s">
        <v>60</v>
      </c>
      <c r="F5830" s="30" t="s">
        <v>61</v>
      </c>
      <c r="G5830" t="s">
        <v>62</v>
      </c>
      <c r="H5830" t="s">
        <v>63</v>
      </c>
    </row>
    <row r="5831" spans="1:8" x14ac:dyDescent="0.3">
      <c r="A5831" s="22" t="s">
        <v>64</v>
      </c>
      <c r="B5831" t="s">
        <v>67</v>
      </c>
      <c r="C5831" s="30">
        <v>26.666666666666671</v>
      </c>
      <c r="D5831" s="30">
        <v>20</v>
      </c>
      <c r="E5831" s="30">
        <v>10</v>
      </c>
      <c r="F5831" s="30">
        <v>50</v>
      </c>
      <c r="G5831">
        <v>6</v>
      </c>
      <c r="H5831">
        <v>6</v>
      </c>
    </row>
    <row r="5832" spans="1:8" x14ac:dyDescent="0.3">
      <c r="C5832" s="30"/>
      <c r="D5832" s="30"/>
      <c r="E5832" s="30"/>
      <c r="F5832" s="30"/>
    </row>
    <row r="5833" spans="1:8" ht="57.6" x14ac:dyDescent="0.3">
      <c r="A5833" s="22" t="s">
        <v>1308</v>
      </c>
      <c r="C5833" s="30"/>
      <c r="D5833" s="30"/>
      <c r="E5833" s="30"/>
      <c r="F5833" s="30"/>
    </row>
    <row r="5834" spans="1:8" x14ac:dyDescent="0.3">
      <c r="A5834" s="22" t="s">
        <v>57</v>
      </c>
      <c r="B5834" t="s">
        <v>66</v>
      </c>
      <c r="C5834" s="30" t="s">
        <v>58</v>
      </c>
      <c r="D5834" s="30" t="s">
        <v>59</v>
      </c>
      <c r="E5834" s="30" t="s">
        <v>60</v>
      </c>
      <c r="F5834" s="30" t="s">
        <v>61</v>
      </c>
      <c r="G5834" t="s">
        <v>62</v>
      </c>
      <c r="H5834" t="s">
        <v>63</v>
      </c>
    </row>
    <row r="5835" spans="1:8" x14ac:dyDescent="0.3">
      <c r="A5835" s="22" t="s">
        <v>64</v>
      </c>
      <c r="B5835" t="s">
        <v>67</v>
      </c>
      <c r="C5835" s="30">
        <v>27.5</v>
      </c>
      <c r="D5835" s="30">
        <v>20</v>
      </c>
      <c r="E5835" s="30">
        <v>10</v>
      </c>
      <c r="F5835" s="30">
        <v>50</v>
      </c>
      <c r="G5835">
        <v>4</v>
      </c>
      <c r="H5835">
        <v>6</v>
      </c>
    </row>
    <row r="5836" spans="1:8" x14ac:dyDescent="0.3">
      <c r="A5836" s="22" t="s">
        <v>64</v>
      </c>
      <c r="B5836" t="s">
        <v>68</v>
      </c>
      <c r="C5836" s="30">
        <v>25</v>
      </c>
      <c r="D5836" s="30">
        <v>10</v>
      </c>
      <c r="E5836" s="30">
        <v>10</v>
      </c>
      <c r="F5836" s="30">
        <v>40</v>
      </c>
      <c r="G5836">
        <v>2</v>
      </c>
      <c r="H5836">
        <v>6</v>
      </c>
    </row>
    <row r="5837" spans="1:8" x14ac:dyDescent="0.3">
      <c r="C5837" s="30"/>
      <c r="D5837" s="30"/>
      <c r="E5837" s="30"/>
      <c r="F5837" s="30"/>
    </row>
    <row r="5838" spans="1:8" ht="72" x14ac:dyDescent="0.3">
      <c r="A5838" s="22" t="s">
        <v>1309</v>
      </c>
      <c r="C5838" s="30"/>
      <c r="D5838" s="30"/>
      <c r="E5838" s="30"/>
      <c r="F5838" s="30"/>
    </row>
    <row r="5839" spans="1:8" x14ac:dyDescent="0.3">
      <c r="A5839" s="22" t="s">
        <v>57</v>
      </c>
      <c r="B5839" t="s">
        <v>66</v>
      </c>
      <c r="C5839" s="30" t="s">
        <v>58</v>
      </c>
      <c r="D5839" s="30" t="s">
        <v>59</v>
      </c>
      <c r="E5839" s="30" t="s">
        <v>60</v>
      </c>
      <c r="F5839" s="30" t="s">
        <v>61</v>
      </c>
      <c r="G5839" t="s">
        <v>62</v>
      </c>
      <c r="H5839" t="s">
        <v>63</v>
      </c>
    </row>
    <row r="5840" spans="1:8" x14ac:dyDescent="0.3">
      <c r="A5840" s="22" t="s">
        <v>64</v>
      </c>
      <c r="B5840" t="s">
        <v>67</v>
      </c>
      <c r="C5840" s="30">
        <v>26</v>
      </c>
      <c r="D5840" s="30">
        <v>40</v>
      </c>
      <c r="E5840" s="30">
        <v>10</v>
      </c>
      <c r="F5840" s="30">
        <v>50</v>
      </c>
      <c r="G5840">
        <v>5</v>
      </c>
      <c r="H5840">
        <v>6</v>
      </c>
    </row>
    <row r="5841" spans="1:8" x14ac:dyDescent="0.3">
      <c r="A5841" s="22" t="s">
        <v>64</v>
      </c>
      <c r="B5841" t="s">
        <v>68</v>
      </c>
      <c r="C5841" s="30">
        <v>30</v>
      </c>
      <c r="D5841" s="30">
        <v>30</v>
      </c>
      <c r="E5841" s="30">
        <v>30</v>
      </c>
      <c r="F5841" s="30">
        <v>30</v>
      </c>
      <c r="G5841">
        <v>1</v>
      </c>
      <c r="H5841">
        <v>6</v>
      </c>
    </row>
    <row r="5842" spans="1:8" x14ac:dyDescent="0.3">
      <c r="C5842" s="30"/>
      <c r="D5842" s="30"/>
      <c r="E5842" s="30"/>
      <c r="F5842" s="30"/>
    </row>
    <row r="5843" spans="1:8" ht="57.6" x14ac:dyDescent="0.3">
      <c r="A5843" s="27" t="s">
        <v>1310</v>
      </c>
      <c r="C5843" s="30"/>
      <c r="D5843" s="30"/>
      <c r="E5843" s="30"/>
      <c r="F5843" s="30"/>
    </row>
    <row r="5844" spans="1:8" x14ac:dyDescent="0.3">
      <c r="A5844" s="22" t="s">
        <v>57</v>
      </c>
      <c r="B5844" t="s">
        <v>66</v>
      </c>
      <c r="C5844" s="30" t="s">
        <v>58</v>
      </c>
      <c r="D5844" s="30" t="s">
        <v>59</v>
      </c>
      <c r="E5844" s="30" t="s">
        <v>60</v>
      </c>
      <c r="F5844" s="30" t="s">
        <v>61</v>
      </c>
      <c r="G5844" t="s">
        <v>62</v>
      </c>
      <c r="H5844" t="s">
        <v>63</v>
      </c>
    </row>
    <row r="5845" spans="1:8" x14ac:dyDescent="0.3">
      <c r="A5845" s="22" t="s">
        <v>64</v>
      </c>
      <c r="B5845" t="s">
        <v>81</v>
      </c>
      <c r="C5845" s="30">
        <v>20</v>
      </c>
      <c r="D5845" s="30">
        <v>20</v>
      </c>
      <c r="E5845" s="30">
        <v>20</v>
      </c>
      <c r="F5845" s="30">
        <v>20</v>
      </c>
      <c r="G5845">
        <v>1</v>
      </c>
      <c r="H5845">
        <v>6</v>
      </c>
    </row>
    <row r="5846" spans="1:8" x14ac:dyDescent="0.3">
      <c r="A5846" s="22" t="s">
        <v>64</v>
      </c>
      <c r="B5846" t="s">
        <v>83</v>
      </c>
      <c r="C5846" s="30">
        <v>30</v>
      </c>
      <c r="D5846" s="30">
        <v>10</v>
      </c>
      <c r="E5846" s="30">
        <v>10</v>
      </c>
      <c r="F5846" s="30">
        <v>50</v>
      </c>
      <c r="G5846">
        <v>2</v>
      </c>
      <c r="H5846">
        <v>6</v>
      </c>
    </row>
    <row r="5847" spans="1:8" x14ac:dyDescent="0.3">
      <c r="A5847" s="22" t="s">
        <v>64</v>
      </c>
      <c r="B5847" t="s">
        <v>84</v>
      </c>
      <c r="C5847" s="30">
        <v>26.666666666666671</v>
      </c>
      <c r="D5847" s="30">
        <v>40</v>
      </c>
      <c r="E5847" s="30">
        <v>10</v>
      </c>
      <c r="F5847" s="30">
        <v>40</v>
      </c>
      <c r="G5847">
        <v>3</v>
      </c>
      <c r="H5847">
        <v>6</v>
      </c>
    </row>
    <row r="5848" spans="1:8" x14ac:dyDescent="0.3">
      <c r="C5848" s="30"/>
      <c r="D5848" s="30"/>
      <c r="E5848" s="30"/>
      <c r="F5848" s="30"/>
    </row>
    <row r="5849" spans="1:8" ht="43.2" x14ac:dyDescent="0.3">
      <c r="A5849" s="27" t="s">
        <v>1311</v>
      </c>
    </row>
    <row r="5850" spans="1:8" x14ac:dyDescent="0.3">
      <c r="A5850" s="22" t="s">
        <v>57</v>
      </c>
      <c r="B5850" t="s">
        <v>58</v>
      </c>
      <c r="C5850" t="s">
        <v>59</v>
      </c>
      <c r="D5850" t="s">
        <v>60</v>
      </c>
      <c r="E5850" t="s">
        <v>61</v>
      </c>
      <c r="F5850" t="s">
        <v>62</v>
      </c>
      <c r="G5850" t="s">
        <v>63</v>
      </c>
    </row>
    <row r="5851" spans="1:8" x14ac:dyDescent="0.3">
      <c r="A5851" s="22" t="s">
        <v>64</v>
      </c>
      <c r="B5851" s="30">
        <v>32.307692307692307</v>
      </c>
      <c r="C5851" s="30">
        <v>35</v>
      </c>
      <c r="D5851" s="30">
        <v>7</v>
      </c>
      <c r="E5851" s="30">
        <v>90</v>
      </c>
      <c r="F5851">
        <v>13</v>
      </c>
      <c r="G5851">
        <v>13</v>
      </c>
    </row>
    <row r="5853" spans="1:8" ht="57.6" x14ac:dyDescent="0.3">
      <c r="A5853" s="22" t="s">
        <v>1312</v>
      </c>
      <c r="C5853" s="30"/>
      <c r="D5853" s="30"/>
      <c r="E5853" s="30"/>
      <c r="F5853" s="30"/>
    </row>
    <row r="5854" spans="1:8" x14ac:dyDescent="0.3">
      <c r="A5854" s="22" t="s">
        <v>57</v>
      </c>
      <c r="B5854" t="s">
        <v>66</v>
      </c>
      <c r="C5854" s="30" t="s">
        <v>58</v>
      </c>
      <c r="D5854" s="30" t="s">
        <v>59</v>
      </c>
      <c r="E5854" s="30" t="s">
        <v>60</v>
      </c>
      <c r="F5854" s="30" t="s">
        <v>61</v>
      </c>
      <c r="G5854" t="s">
        <v>62</v>
      </c>
      <c r="H5854" t="s">
        <v>63</v>
      </c>
    </row>
    <row r="5855" spans="1:8" x14ac:dyDescent="0.3">
      <c r="A5855" s="22" t="s">
        <v>64</v>
      </c>
      <c r="B5855" t="s">
        <v>67</v>
      </c>
      <c r="C5855" s="30">
        <v>31.666666666666671</v>
      </c>
      <c r="D5855" s="30">
        <v>20</v>
      </c>
      <c r="E5855" s="30">
        <v>7</v>
      </c>
      <c r="F5855" s="30">
        <v>90</v>
      </c>
      <c r="G5855">
        <v>12</v>
      </c>
      <c r="H5855">
        <v>13</v>
      </c>
    </row>
    <row r="5856" spans="1:8" x14ac:dyDescent="0.3">
      <c r="A5856" s="22" t="s">
        <v>64</v>
      </c>
      <c r="B5856" t="s">
        <v>68</v>
      </c>
      <c r="C5856" s="30">
        <v>40</v>
      </c>
      <c r="D5856" s="30">
        <v>40</v>
      </c>
      <c r="E5856" s="30">
        <v>40</v>
      </c>
      <c r="F5856" s="30">
        <v>40</v>
      </c>
      <c r="G5856">
        <v>1</v>
      </c>
      <c r="H5856">
        <v>13</v>
      </c>
    </row>
    <row r="5857" spans="1:8" x14ac:dyDescent="0.3">
      <c r="C5857" s="30"/>
      <c r="D5857" s="30"/>
      <c r="E5857" s="30"/>
      <c r="F5857" s="30"/>
    </row>
    <row r="5858" spans="1:8" x14ac:dyDescent="0.3">
      <c r="A5858"/>
      <c r="C5858" s="30"/>
      <c r="D5858" s="30"/>
      <c r="E5858" s="30"/>
      <c r="F5858" s="30"/>
    </row>
    <row r="5859" spans="1:8" x14ac:dyDescent="0.3">
      <c r="A5859"/>
      <c r="C5859" s="30"/>
      <c r="D5859" s="30"/>
      <c r="E5859" s="30"/>
      <c r="F5859" s="30"/>
    </row>
    <row r="5860" spans="1:8" x14ac:dyDescent="0.3">
      <c r="A5860"/>
      <c r="C5860" s="30"/>
      <c r="D5860" s="30"/>
      <c r="E5860" s="30"/>
      <c r="F5860" s="30"/>
    </row>
    <row r="5861" spans="1:8" x14ac:dyDescent="0.3">
      <c r="C5861" s="30"/>
      <c r="D5861" s="30"/>
      <c r="E5861" s="30"/>
      <c r="F5861" s="30"/>
    </row>
    <row r="5862" spans="1:8" ht="57.6" x14ac:dyDescent="0.3">
      <c r="A5862" s="22" t="s">
        <v>1313</v>
      </c>
      <c r="C5862" s="30"/>
      <c r="D5862" s="30"/>
      <c r="E5862" s="30"/>
      <c r="F5862" s="30"/>
    </row>
    <row r="5863" spans="1:8" x14ac:dyDescent="0.3">
      <c r="A5863" s="22" t="s">
        <v>57</v>
      </c>
      <c r="B5863" t="s">
        <v>66</v>
      </c>
      <c r="C5863" s="30" t="s">
        <v>58</v>
      </c>
      <c r="D5863" s="30" t="s">
        <v>59</v>
      </c>
      <c r="E5863" s="30" t="s">
        <v>60</v>
      </c>
      <c r="F5863" s="30" t="s">
        <v>61</v>
      </c>
      <c r="G5863" t="s">
        <v>62</v>
      </c>
      <c r="H5863" t="s">
        <v>63</v>
      </c>
    </row>
    <row r="5864" spans="1:8" x14ac:dyDescent="0.3">
      <c r="A5864" s="22" t="s">
        <v>64</v>
      </c>
      <c r="B5864" t="s">
        <v>67</v>
      </c>
      <c r="C5864" s="30">
        <v>25.45454545454545</v>
      </c>
      <c r="D5864" s="30">
        <v>30</v>
      </c>
      <c r="E5864" s="30">
        <v>7</v>
      </c>
      <c r="F5864" s="30">
        <v>50</v>
      </c>
      <c r="G5864">
        <v>11</v>
      </c>
      <c r="H5864">
        <v>13</v>
      </c>
    </row>
    <row r="5865" spans="1:8" x14ac:dyDescent="0.3">
      <c r="A5865" s="22" t="s">
        <v>64</v>
      </c>
      <c r="B5865" t="s">
        <v>68</v>
      </c>
      <c r="C5865" s="30">
        <v>70</v>
      </c>
      <c r="D5865" s="30">
        <v>50</v>
      </c>
      <c r="E5865" s="30">
        <v>50</v>
      </c>
      <c r="F5865" s="30">
        <v>90</v>
      </c>
      <c r="G5865">
        <v>2</v>
      </c>
      <c r="H5865">
        <v>13</v>
      </c>
    </row>
    <row r="5866" spans="1:8" x14ac:dyDescent="0.3">
      <c r="C5866" s="30"/>
      <c r="D5866" s="30"/>
      <c r="E5866" s="30"/>
      <c r="F5866" s="30"/>
    </row>
    <row r="5867" spans="1:8" ht="57.6" x14ac:dyDescent="0.3">
      <c r="A5867" s="22" t="s">
        <v>1314</v>
      </c>
      <c r="C5867" s="30"/>
      <c r="D5867" s="30"/>
      <c r="E5867" s="30"/>
      <c r="F5867" s="30"/>
    </row>
    <row r="5868" spans="1:8" x14ac:dyDescent="0.3">
      <c r="A5868" s="22" t="s">
        <v>57</v>
      </c>
      <c r="B5868" t="s">
        <v>66</v>
      </c>
      <c r="C5868" s="30" t="s">
        <v>58</v>
      </c>
      <c r="D5868" s="30" t="s">
        <v>59</v>
      </c>
      <c r="E5868" s="30" t="s">
        <v>60</v>
      </c>
      <c r="F5868" s="30" t="s">
        <v>61</v>
      </c>
      <c r="G5868" t="s">
        <v>62</v>
      </c>
      <c r="H5868" t="s">
        <v>63</v>
      </c>
    </row>
    <row r="5869" spans="1:8" x14ac:dyDescent="0.3">
      <c r="A5869" s="22" t="s">
        <v>64</v>
      </c>
      <c r="B5869" t="s">
        <v>67</v>
      </c>
      <c r="C5869" s="30">
        <v>32.307692307692307</v>
      </c>
      <c r="D5869" s="30">
        <v>35</v>
      </c>
      <c r="E5869" s="30">
        <v>7</v>
      </c>
      <c r="F5869" s="30">
        <v>90</v>
      </c>
      <c r="G5869">
        <v>13</v>
      </c>
      <c r="H5869">
        <v>13</v>
      </c>
    </row>
    <row r="5870" spans="1:8" x14ac:dyDescent="0.3">
      <c r="C5870" s="30"/>
      <c r="D5870" s="30"/>
      <c r="E5870" s="30"/>
      <c r="F5870" s="30"/>
    </row>
    <row r="5871" spans="1:8" ht="57.6" x14ac:dyDescent="0.3">
      <c r="A5871" s="22" t="s">
        <v>1315</v>
      </c>
      <c r="C5871" s="30"/>
      <c r="D5871" s="30"/>
      <c r="E5871" s="30"/>
      <c r="F5871" s="30"/>
    </row>
    <row r="5872" spans="1:8" x14ac:dyDescent="0.3">
      <c r="A5872" s="22" t="s">
        <v>57</v>
      </c>
      <c r="B5872" t="s">
        <v>66</v>
      </c>
      <c r="C5872" s="30" t="s">
        <v>58</v>
      </c>
      <c r="D5872" s="30" t="s">
        <v>59</v>
      </c>
      <c r="E5872" s="30" t="s">
        <v>60</v>
      </c>
      <c r="F5872" s="30" t="s">
        <v>61</v>
      </c>
      <c r="G5872" t="s">
        <v>62</v>
      </c>
      <c r="H5872" t="s">
        <v>63</v>
      </c>
    </row>
    <row r="5873" spans="1:8" x14ac:dyDescent="0.3">
      <c r="A5873" s="22" t="s">
        <v>64</v>
      </c>
      <c r="B5873" t="s">
        <v>67</v>
      </c>
      <c r="C5873" s="30">
        <v>31.666666666666671</v>
      </c>
      <c r="D5873" s="30">
        <v>20</v>
      </c>
      <c r="E5873" s="30">
        <v>7</v>
      </c>
      <c r="F5873" s="30">
        <v>90</v>
      </c>
      <c r="G5873">
        <v>12</v>
      </c>
      <c r="H5873">
        <v>13</v>
      </c>
    </row>
    <row r="5874" spans="1:8" x14ac:dyDescent="0.3">
      <c r="A5874" s="22" t="s">
        <v>64</v>
      </c>
      <c r="B5874" t="s">
        <v>68</v>
      </c>
      <c r="C5874" s="30">
        <v>40</v>
      </c>
      <c r="D5874" s="30">
        <v>40</v>
      </c>
      <c r="E5874" s="30">
        <v>40</v>
      </c>
      <c r="F5874" s="30">
        <v>40</v>
      </c>
      <c r="G5874">
        <v>1</v>
      </c>
      <c r="H5874">
        <v>13</v>
      </c>
    </row>
    <row r="5875" spans="1:8" x14ac:dyDescent="0.3">
      <c r="C5875" s="30"/>
      <c r="D5875" s="30"/>
      <c r="E5875" s="30"/>
      <c r="F5875" s="30"/>
    </row>
    <row r="5876" spans="1:8" ht="57.6" x14ac:dyDescent="0.3">
      <c r="A5876" s="22" t="s">
        <v>1316</v>
      </c>
      <c r="C5876" s="30"/>
      <c r="D5876" s="30"/>
      <c r="E5876" s="30"/>
      <c r="F5876" s="30"/>
    </row>
    <row r="5877" spans="1:8" x14ac:dyDescent="0.3">
      <c r="A5877" s="22" t="s">
        <v>57</v>
      </c>
      <c r="B5877" t="s">
        <v>66</v>
      </c>
      <c r="C5877" s="30" t="s">
        <v>58</v>
      </c>
      <c r="D5877" s="30" t="s">
        <v>59</v>
      </c>
      <c r="E5877" s="30" t="s">
        <v>60</v>
      </c>
      <c r="F5877" s="30" t="s">
        <v>61</v>
      </c>
      <c r="G5877" t="s">
        <v>62</v>
      </c>
      <c r="H5877" t="s">
        <v>63</v>
      </c>
    </row>
    <row r="5878" spans="1:8" x14ac:dyDescent="0.3">
      <c r="A5878" s="22" t="s">
        <v>64</v>
      </c>
      <c r="B5878" t="s">
        <v>67</v>
      </c>
      <c r="C5878" s="30">
        <v>90</v>
      </c>
      <c r="D5878" s="30">
        <v>90</v>
      </c>
      <c r="E5878" s="30">
        <v>90</v>
      </c>
      <c r="F5878" s="30">
        <v>90</v>
      </c>
      <c r="G5878">
        <v>1</v>
      </c>
      <c r="H5878">
        <v>13</v>
      </c>
    </row>
    <row r="5879" spans="1:8" x14ac:dyDescent="0.3">
      <c r="A5879" s="22" t="s">
        <v>64</v>
      </c>
      <c r="B5879" t="s">
        <v>68</v>
      </c>
      <c r="C5879" s="30">
        <v>27.5</v>
      </c>
      <c r="D5879" s="30">
        <v>20</v>
      </c>
      <c r="E5879" s="30">
        <v>7</v>
      </c>
      <c r="F5879" s="30">
        <v>50</v>
      </c>
      <c r="G5879">
        <v>12</v>
      </c>
      <c r="H5879">
        <v>13</v>
      </c>
    </row>
    <row r="5880" spans="1:8" x14ac:dyDescent="0.3">
      <c r="C5880" s="30"/>
      <c r="D5880" s="30"/>
      <c r="E5880" s="30"/>
      <c r="F5880" s="30"/>
    </row>
    <row r="5881" spans="1:8" ht="57.6" x14ac:dyDescent="0.3">
      <c r="A5881" s="22" t="s">
        <v>1317</v>
      </c>
      <c r="C5881" s="30"/>
      <c r="D5881" s="30"/>
      <c r="E5881" s="30"/>
      <c r="F5881" s="30"/>
    </row>
    <row r="5882" spans="1:8" x14ac:dyDescent="0.3">
      <c r="A5882" s="22" t="s">
        <v>57</v>
      </c>
      <c r="B5882" t="s">
        <v>66</v>
      </c>
      <c r="C5882" s="30" t="s">
        <v>58</v>
      </c>
      <c r="D5882" s="30" t="s">
        <v>59</v>
      </c>
      <c r="E5882" s="30" t="s">
        <v>60</v>
      </c>
      <c r="F5882" s="30" t="s">
        <v>61</v>
      </c>
      <c r="G5882" t="s">
        <v>62</v>
      </c>
      <c r="H5882" t="s">
        <v>63</v>
      </c>
    </row>
    <row r="5883" spans="1:8" x14ac:dyDescent="0.3">
      <c r="A5883" s="22" t="s">
        <v>64</v>
      </c>
      <c r="B5883" t="s">
        <v>67</v>
      </c>
      <c r="C5883" s="30">
        <v>29.09090909090909</v>
      </c>
      <c r="D5883" s="30">
        <v>30</v>
      </c>
      <c r="E5883" s="30">
        <v>7</v>
      </c>
      <c r="F5883" s="30">
        <v>90</v>
      </c>
      <c r="G5883">
        <v>11</v>
      </c>
      <c r="H5883">
        <v>13</v>
      </c>
    </row>
    <row r="5884" spans="1:8" x14ac:dyDescent="0.3">
      <c r="A5884" s="22" t="s">
        <v>64</v>
      </c>
      <c r="B5884" t="s">
        <v>68</v>
      </c>
      <c r="C5884" s="30">
        <v>50</v>
      </c>
      <c r="D5884" s="30">
        <v>50</v>
      </c>
      <c r="E5884" s="30">
        <v>50</v>
      </c>
      <c r="F5884" s="30">
        <v>50</v>
      </c>
      <c r="G5884">
        <v>2</v>
      </c>
      <c r="H5884">
        <v>13</v>
      </c>
    </row>
    <row r="5885" spans="1:8" x14ac:dyDescent="0.3">
      <c r="C5885" s="30"/>
      <c r="D5885" s="30"/>
      <c r="E5885" s="30"/>
      <c r="F5885" s="30"/>
    </row>
    <row r="5886" spans="1:8" ht="57.6" x14ac:dyDescent="0.3">
      <c r="A5886" s="22" t="s">
        <v>1318</v>
      </c>
      <c r="C5886" s="30"/>
      <c r="D5886" s="30"/>
      <c r="E5886" s="30"/>
      <c r="F5886" s="30"/>
    </row>
    <row r="5887" spans="1:8" x14ac:dyDescent="0.3">
      <c r="A5887" s="22" t="s">
        <v>57</v>
      </c>
      <c r="B5887" t="s">
        <v>66</v>
      </c>
      <c r="C5887" s="30" t="s">
        <v>58</v>
      </c>
      <c r="D5887" s="30" t="s">
        <v>59</v>
      </c>
      <c r="E5887" s="30" t="s">
        <v>60</v>
      </c>
      <c r="F5887" s="30" t="s">
        <v>61</v>
      </c>
      <c r="G5887" t="s">
        <v>62</v>
      </c>
      <c r="H5887" t="s">
        <v>63</v>
      </c>
    </row>
    <row r="5888" spans="1:8" x14ac:dyDescent="0.3">
      <c r="A5888" s="22" t="s">
        <v>64</v>
      </c>
      <c r="B5888" t="s">
        <v>67</v>
      </c>
      <c r="C5888" s="30">
        <v>36.666666666666657</v>
      </c>
      <c r="D5888" s="30">
        <v>50</v>
      </c>
      <c r="E5888" s="30">
        <v>7</v>
      </c>
      <c r="F5888" s="30">
        <v>90</v>
      </c>
      <c r="G5888">
        <v>9</v>
      </c>
      <c r="H5888">
        <v>13</v>
      </c>
    </row>
    <row r="5889" spans="1:8" x14ac:dyDescent="0.3">
      <c r="A5889" s="22" t="s">
        <v>64</v>
      </c>
      <c r="B5889" t="s">
        <v>68</v>
      </c>
      <c r="C5889" s="30">
        <v>22.5</v>
      </c>
      <c r="D5889" s="30">
        <v>20</v>
      </c>
      <c r="E5889" s="30">
        <v>10</v>
      </c>
      <c r="F5889" s="30">
        <v>40</v>
      </c>
      <c r="G5889">
        <v>4</v>
      </c>
      <c r="H5889">
        <v>13</v>
      </c>
    </row>
    <row r="5890" spans="1:8" x14ac:dyDescent="0.3">
      <c r="C5890" s="30"/>
      <c r="D5890" s="30"/>
      <c r="E5890" s="30"/>
      <c r="F5890" s="30"/>
    </row>
    <row r="5891" spans="1:8" ht="57.6" x14ac:dyDescent="0.3">
      <c r="A5891" s="22" t="s">
        <v>1319</v>
      </c>
      <c r="C5891" s="30"/>
      <c r="D5891" s="30"/>
      <c r="E5891" s="30"/>
      <c r="F5891" s="30"/>
    </row>
    <row r="5892" spans="1:8" x14ac:dyDescent="0.3">
      <c r="A5892" s="22" t="s">
        <v>57</v>
      </c>
      <c r="B5892" t="s">
        <v>66</v>
      </c>
      <c r="C5892" s="30" t="s">
        <v>58</v>
      </c>
      <c r="D5892" s="30" t="s">
        <v>59</v>
      </c>
      <c r="E5892" s="30" t="s">
        <v>60</v>
      </c>
      <c r="F5892" s="30" t="s">
        <v>61</v>
      </c>
      <c r="G5892" t="s">
        <v>62</v>
      </c>
      <c r="H5892" t="s">
        <v>63</v>
      </c>
    </row>
    <row r="5893" spans="1:8" x14ac:dyDescent="0.3">
      <c r="A5893" s="22" t="s">
        <v>64</v>
      </c>
      <c r="B5893" t="s">
        <v>67</v>
      </c>
      <c r="C5893" s="30">
        <v>36.666666666666657</v>
      </c>
      <c r="D5893" s="30">
        <v>50</v>
      </c>
      <c r="E5893" s="30">
        <v>7</v>
      </c>
      <c r="F5893" s="30">
        <v>90</v>
      </c>
      <c r="G5893">
        <v>9</v>
      </c>
      <c r="H5893">
        <v>13</v>
      </c>
    </row>
    <row r="5894" spans="1:8" x14ac:dyDescent="0.3">
      <c r="A5894" s="22" t="s">
        <v>64</v>
      </c>
      <c r="B5894" t="s">
        <v>68</v>
      </c>
      <c r="C5894" s="30">
        <v>22.5</v>
      </c>
      <c r="D5894" s="30">
        <v>20</v>
      </c>
      <c r="E5894" s="30">
        <v>10</v>
      </c>
      <c r="F5894" s="30">
        <v>40</v>
      </c>
      <c r="G5894">
        <v>4</v>
      </c>
      <c r="H5894">
        <v>13</v>
      </c>
    </row>
    <row r="5895" spans="1:8" x14ac:dyDescent="0.3">
      <c r="C5895" s="30"/>
      <c r="D5895" s="30"/>
      <c r="E5895" s="30"/>
      <c r="F5895" s="30"/>
    </row>
    <row r="5896" spans="1:8" ht="72" x14ac:dyDescent="0.3">
      <c r="A5896" s="22" t="s">
        <v>1320</v>
      </c>
      <c r="C5896" s="30"/>
      <c r="D5896" s="30"/>
      <c r="E5896" s="30"/>
      <c r="F5896" s="30"/>
    </row>
    <row r="5897" spans="1:8" x14ac:dyDescent="0.3">
      <c r="A5897" s="22" t="s">
        <v>57</v>
      </c>
      <c r="B5897" t="s">
        <v>66</v>
      </c>
      <c r="C5897" s="30" t="s">
        <v>58</v>
      </c>
      <c r="D5897" s="30" t="s">
        <v>59</v>
      </c>
      <c r="E5897" s="30" t="s">
        <v>60</v>
      </c>
      <c r="F5897" s="30" t="s">
        <v>61</v>
      </c>
      <c r="G5897" t="s">
        <v>62</v>
      </c>
      <c r="H5897" t="s">
        <v>63</v>
      </c>
    </row>
    <row r="5898" spans="1:8" x14ac:dyDescent="0.3">
      <c r="A5898" s="22" t="s">
        <v>64</v>
      </c>
      <c r="B5898" t="s">
        <v>67</v>
      </c>
      <c r="C5898" s="30">
        <v>34.333333333333343</v>
      </c>
      <c r="D5898" s="30">
        <v>30</v>
      </c>
      <c r="E5898" s="30">
        <v>7</v>
      </c>
      <c r="F5898" s="30">
        <v>90</v>
      </c>
      <c r="G5898">
        <v>12</v>
      </c>
      <c r="H5898">
        <v>13</v>
      </c>
    </row>
    <row r="5899" spans="1:8" x14ac:dyDescent="0.3">
      <c r="A5899" s="22" t="s">
        <v>64</v>
      </c>
      <c r="B5899" t="s">
        <v>68</v>
      </c>
      <c r="C5899" s="30">
        <v>8</v>
      </c>
      <c r="D5899" s="30">
        <v>8</v>
      </c>
      <c r="E5899" s="30">
        <v>8</v>
      </c>
      <c r="F5899" s="30">
        <v>8</v>
      </c>
      <c r="G5899">
        <v>1</v>
      </c>
      <c r="H5899">
        <v>13</v>
      </c>
    </row>
    <row r="5900" spans="1:8" x14ac:dyDescent="0.3">
      <c r="C5900" s="30"/>
      <c r="D5900" s="30"/>
      <c r="E5900" s="30"/>
      <c r="F5900" s="30"/>
    </row>
    <row r="5901" spans="1:8" ht="72" x14ac:dyDescent="0.3">
      <c r="A5901" s="22" t="s">
        <v>1321</v>
      </c>
      <c r="C5901" s="30"/>
      <c r="D5901" s="30"/>
      <c r="E5901" s="30"/>
      <c r="F5901" s="30"/>
    </row>
    <row r="5902" spans="1:8" x14ac:dyDescent="0.3">
      <c r="A5902" s="22" t="s">
        <v>57</v>
      </c>
      <c r="B5902" t="s">
        <v>66</v>
      </c>
      <c r="C5902" s="30" t="s">
        <v>58</v>
      </c>
      <c r="D5902" s="30" t="s">
        <v>59</v>
      </c>
      <c r="E5902" s="30" t="s">
        <v>60</v>
      </c>
      <c r="F5902" s="30" t="s">
        <v>61</v>
      </c>
      <c r="G5902" t="s">
        <v>62</v>
      </c>
      <c r="H5902" t="s">
        <v>63</v>
      </c>
    </row>
    <row r="5903" spans="1:8" x14ac:dyDescent="0.3">
      <c r="A5903" s="22" t="s">
        <v>64</v>
      </c>
      <c r="B5903" t="s">
        <v>67</v>
      </c>
      <c r="C5903" s="30">
        <v>32.307692307692307</v>
      </c>
      <c r="D5903" s="30">
        <v>35</v>
      </c>
      <c r="E5903" s="30">
        <v>7</v>
      </c>
      <c r="F5903" s="30">
        <v>90</v>
      </c>
      <c r="G5903">
        <v>13</v>
      </c>
      <c r="H5903">
        <v>13</v>
      </c>
    </row>
    <row r="5904" spans="1:8" x14ac:dyDescent="0.3">
      <c r="C5904" s="30"/>
      <c r="D5904" s="30"/>
      <c r="E5904" s="30"/>
      <c r="F5904" s="30"/>
    </row>
    <row r="5905" spans="1:8" ht="57.6" x14ac:dyDescent="0.3">
      <c r="A5905" s="22" t="s">
        <v>1322</v>
      </c>
      <c r="C5905" s="30"/>
      <c r="D5905" s="30"/>
      <c r="E5905" s="30"/>
      <c r="F5905" s="30"/>
    </row>
    <row r="5906" spans="1:8" x14ac:dyDescent="0.3">
      <c r="A5906" s="22" t="s">
        <v>57</v>
      </c>
      <c r="B5906" t="s">
        <v>66</v>
      </c>
      <c r="C5906" s="30" t="s">
        <v>58</v>
      </c>
      <c r="D5906" s="30" t="s">
        <v>59</v>
      </c>
      <c r="E5906" s="30" t="s">
        <v>60</v>
      </c>
      <c r="F5906" s="30" t="s">
        <v>61</v>
      </c>
      <c r="G5906" t="s">
        <v>62</v>
      </c>
      <c r="H5906" t="s">
        <v>63</v>
      </c>
    </row>
    <row r="5907" spans="1:8" x14ac:dyDescent="0.3">
      <c r="A5907" s="22" t="s">
        <v>64</v>
      </c>
      <c r="B5907" t="s">
        <v>67</v>
      </c>
      <c r="C5907" s="30">
        <v>30.625</v>
      </c>
      <c r="D5907" s="30">
        <v>30</v>
      </c>
      <c r="E5907" s="30">
        <v>10</v>
      </c>
      <c r="F5907" s="30">
        <v>50</v>
      </c>
      <c r="G5907">
        <v>8</v>
      </c>
      <c r="H5907">
        <v>13</v>
      </c>
    </row>
    <row r="5908" spans="1:8" x14ac:dyDescent="0.3">
      <c r="A5908" s="22" t="s">
        <v>64</v>
      </c>
      <c r="B5908" t="s">
        <v>68</v>
      </c>
      <c r="C5908" s="30">
        <v>35</v>
      </c>
      <c r="D5908" s="30">
        <v>50</v>
      </c>
      <c r="E5908" s="30">
        <v>7</v>
      </c>
      <c r="F5908" s="30">
        <v>90</v>
      </c>
      <c r="G5908">
        <v>5</v>
      </c>
      <c r="H5908">
        <v>13</v>
      </c>
    </row>
    <row r="5909" spans="1:8" x14ac:dyDescent="0.3">
      <c r="C5909" s="30"/>
      <c r="D5909" s="30"/>
      <c r="E5909" s="30"/>
      <c r="F5909" s="30"/>
    </row>
    <row r="5910" spans="1:8" ht="57.6" x14ac:dyDescent="0.3">
      <c r="A5910" s="22" t="s">
        <v>1323</v>
      </c>
      <c r="C5910" s="30"/>
      <c r="D5910" s="30"/>
      <c r="E5910" s="30"/>
      <c r="F5910" s="30"/>
    </row>
    <row r="5911" spans="1:8" x14ac:dyDescent="0.3">
      <c r="A5911" s="22" t="s">
        <v>57</v>
      </c>
      <c r="B5911" t="s">
        <v>66</v>
      </c>
      <c r="C5911" s="30" t="s">
        <v>58</v>
      </c>
      <c r="D5911" s="30" t="s">
        <v>59</v>
      </c>
      <c r="E5911" s="30" t="s">
        <v>60</v>
      </c>
      <c r="F5911" s="30" t="s">
        <v>61</v>
      </c>
      <c r="G5911" t="s">
        <v>62</v>
      </c>
      <c r="H5911" t="s">
        <v>63</v>
      </c>
    </row>
    <row r="5912" spans="1:8" x14ac:dyDescent="0.3">
      <c r="A5912" s="22" t="s">
        <v>64</v>
      </c>
      <c r="B5912" t="s">
        <v>67</v>
      </c>
      <c r="C5912" s="30">
        <v>34.333333333333343</v>
      </c>
      <c r="D5912" s="30">
        <v>30</v>
      </c>
      <c r="E5912" s="30">
        <v>7</v>
      </c>
      <c r="F5912" s="30">
        <v>90</v>
      </c>
      <c r="G5912">
        <v>12</v>
      </c>
      <c r="H5912">
        <v>13</v>
      </c>
    </row>
    <row r="5913" spans="1:8" x14ac:dyDescent="0.3">
      <c r="A5913" s="22" t="s">
        <v>64</v>
      </c>
      <c r="B5913" t="s">
        <v>68</v>
      </c>
      <c r="C5913" s="30">
        <v>8</v>
      </c>
      <c r="D5913" s="30">
        <v>8</v>
      </c>
      <c r="E5913" s="30">
        <v>8</v>
      </c>
      <c r="F5913" s="30">
        <v>8</v>
      </c>
      <c r="G5913">
        <v>1</v>
      </c>
      <c r="H5913">
        <v>13</v>
      </c>
    </row>
    <row r="5914" spans="1:8" x14ac:dyDescent="0.3">
      <c r="C5914" s="30"/>
      <c r="D5914" s="30"/>
      <c r="E5914" s="30"/>
      <c r="F5914" s="30"/>
    </row>
    <row r="5915" spans="1:8" ht="43.2" x14ac:dyDescent="0.3">
      <c r="A5915" s="27" t="s">
        <v>1324</v>
      </c>
      <c r="C5915" s="30"/>
      <c r="D5915" s="30"/>
      <c r="E5915" s="30"/>
      <c r="F5915" s="30"/>
    </row>
    <row r="5916" spans="1:8" x14ac:dyDescent="0.3">
      <c r="A5916" s="22" t="s">
        <v>57</v>
      </c>
      <c r="B5916" t="s">
        <v>66</v>
      </c>
      <c r="C5916" s="30" t="s">
        <v>58</v>
      </c>
      <c r="D5916" s="30" t="s">
        <v>59</v>
      </c>
      <c r="E5916" s="30" t="s">
        <v>60</v>
      </c>
      <c r="F5916" s="30" t="s">
        <v>61</v>
      </c>
      <c r="G5916" t="s">
        <v>62</v>
      </c>
      <c r="H5916" t="s">
        <v>63</v>
      </c>
    </row>
    <row r="5917" spans="1:8" x14ac:dyDescent="0.3">
      <c r="A5917" s="22" t="s">
        <v>64</v>
      </c>
      <c r="B5917" t="s">
        <v>81</v>
      </c>
      <c r="C5917" s="30">
        <v>35</v>
      </c>
      <c r="D5917" s="30">
        <v>20</v>
      </c>
      <c r="E5917" s="30">
        <v>20</v>
      </c>
      <c r="F5917" s="30">
        <v>50</v>
      </c>
      <c r="G5917">
        <v>2</v>
      </c>
      <c r="H5917">
        <v>13</v>
      </c>
    </row>
    <row r="5918" spans="1:8" x14ac:dyDescent="0.3">
      <c r="A5918" s="22" t="s">
        <v>64</v>
      </c>
      <c r="B5918" t="s">
        <v>82</v>
      </c>
      <c r="C5918" s="30">
        <v>36</v>
      </c>
      <c r="D5918" s="30">
        <v>50</v>
      </c>
      <c r="E5918" s="30">
        <v>7</v>
      </c>
      <c r="F5918" s="30">
        <v>90</v>
      </c>
      <c r="G5918">
        <v>7</v>
      </c>
      <c r="H5918">
        <v>13</v>
      </c>
    </row>
    <row r="5919" spans="1:8" x14ac:dyDescent="0.3">
      <c r="A5919" s="22" t="s">
        <v>64</v>
      </c>
      <c r="B5919" t="s">
        <v>83</v>
      </c>
      <c r="C5919" s="30">
        <v>30</v>
      </c>
      <c r="D5919" s="30">
        <v>40</v>
      </c>
      <c r="E5919" s="30">
        <v>20</v>
      </c>
      <c r="F5919" s="30">
        <v>40</v>
      </c>
      <c r="G5919">
        <v>3</v>
      </c>
      <c r="H5919">
        <v>13</v>
      </c>
    </row>
    <row r="5920" spans="1:8" x14ac:dyDescent="0.3">
      <c r="A5920" s="22" t="s">
        <v>64</v>
      </c>
      <c r="B5920" t="s">
        <v>84</v>
      </c>
      <c r="C5920" s="30">
        <v>8</v>
      </c>
      <c r="D5920" s="30">
        <v>8</v>
      </c>
      <c r="E5920" s="30">
        <v>8</v>
      </c>
      <c r="F5920" s="30">
        <v>8</v>
      </c>
      <c r="G5920">
        <v>1</v>
      </c>
      <c r="H5920">
        <v>13</v>
      </c>
    </row>
    <row r="5921" spans="1:8" x14ac:dyDescent="0.3">
      <c r="C5921" s="30"/>
      <c r="D5921" s="30"/>
      <c r="E5921" s="30"/>
      <c r="F5921" s="30"/>
    </row>
    <row r="5922" spans="1:8" ht="28.8" x14ac:dyDescent="0.3">
      <c r="A5922" s="27" t="s">
        <v>1325</v>
      </c>
    </row>
    <row r="5923" spans="1:8" x14ac:dyDescent="0.3">
      <c r="A5923" s="22" t="s">
        <v>57</v>
      </c>
      <c r="B5923" t="s">
        <v>58</v>
      </c>
      <c r="C5923" t="s">
        <v>59</v>
      </c>
      <c r="D5923" t="s">
        <v>60</v>
      </c>
      <c r="E5923" t="s">
        <v>61</v>
      </c>
      <c r="F5923" t="s">
        <v>62</v>
      </c>
      <c r="G5923" t="s">
        <v>63</v>
      </c>
    </row>
    <row r="5924" spans="1:8" x14ac:dyDescent="0.3">
      <c r="A5924" s="22" t="s">
        <v>64</v>
      </c>
      <c r="B5924" s="30">
        <v>28.09090909090909</v>
      </c>
      <c r="C5924" s="30">
        <v>30</v>
      </c>
      <c r="D5924" s="30">
        <v>4</v>
      </c>
      <c r="E5924" s="30">
        <v>55</v>
      </c>
      <c r="F5924">
        <v>11</v>
      </c>
      <c r="G5924">
        <v>11</v>
      </c>
    </row>
    <row r="5926" spans="1:8" ht="57.6" x14ac:dyDescent="0.3">
      <c r="A5926" s="22" t="s">
        <v>1326</v>
      </c>
    </row>
    <row r="5927" spans="1:8" x14ac:dyDescent="0.3">
      <c r="A5927" s="22" t="s">
        <v>57</v>
      </c>
      <c r="B5927" t="s">
        <v>66</v>
      </c>
      <c r="C5927" t="s">
        <v>58</v>
      </c>
      <c r="D5927" t="s">
        <v>59</v>
      </c>
      <c r="E5927" t="s">
        <v>60</v>
      </c>
      <c r="F5927" t="s">
        <v>61</v>
      </c>
      <c r="G5927" t="s">
        <v>62</v>
      </c>
      <c r="H5927" t="s">
        <v>63</v>
      </c>
    </row>
    <row r="5928" spans="1:8" x14ac:dyDescent="0.3">
      <c r="A5928" s="22" t="s">
        <v>64</v>
      </c>
      <c r="B5928" t="s">
        <v>67</v>
      </c>
      <c r="C5928" s="30">
        <v>28.09090909090909</v>
      </c>
      <c r="D5928" s="30">
        <v>30</v>
      </c>
      <c r="E5928" s="30">
        <v>4</v>
      </c>
      <c r="F5928" s="30">
        <v>55</v>
      </c>
      <c r="G5928">
        <v>11</v>
      </c>
      <c r="H5928">
        <v>11</v>
      </c>
    </row>
    <row r="5929" spans="1:8" x14ac:dyDescent="0.3">
      <c r="C5929" s="30"/>
      <c r="D5929" s="30"/>
      <c r="E5929" s="30"/>
      <c r="F5929" s="30"/>
    </row>
    <row r="5930" spans="1:8" x14ac:dyDescent="0.3">
      <c r="A5930"/>
      <c r="C5930" s="30"/>
      <c r="D5930" s="30"/>
      <c r="E5930" s="30"/>
      <c r="F5930" s="30"/>
    </row>
    <row r="5931" spans="1:8" x14ac:dyDescent="0.3">
      <c r="A5931"/>
      <c r="C5931" s="30"/>
      <c r="D5931" s="30"/>
      <c r="E5931" s="30"/>
      <c r="F5931" s="30"/>
    </row>
    <row r="5932" spans="1:8" x14ac:dyDescent="0.3">
      <c r="A5932"/>
      <c r="C5932" s="30"/>
      <c r="D5932" s="30"/>
      <c r="E5932" s="30"/>
      <c r="F5932" s="30"/>
    </row>
    <row r="5933" spans="1:8" x14ac:dyDescent="0.3">
      <c r="A5933"/>
      <c r="C5933" s="30"/>
      <c r="D5933" s="30"/>
      <c r="E5933" s="30"/>
      <c r="F5933" s="30"/>
    </row>
    <row r="5934" spans="1:8" ht="57.6" x14ac:dyDescent="0.3">
      <c r="A5934" s="22" t="s">
        <v>1327</v>
      </c>
      <c r="C5934" s="30"/>
      <c r="D5934" s="30"/>
      <c r="E5934" s="30"/>
      <c r="F5934" s="30"/>
    </row>
    <row r="5935" spans="1:8" x14ac:dyDescent="0.3">
      <c r="A5935" s="22" t="s">
        <v>57</v>
      </c>
      <c r="B5935" t="s">
        <v>66</v>
      </c>
      <c r="C5935" s="30" t="s">
        <v>58</v>
      </c>
      <c r="D5935" s="30" t="s">
        <v>59</v>
      </c>
      <c r="E5935" s="30" t="s">
        <v>60</v>
      </c>
      <c r="F5935" s="30" t="s">
        <v>61</v>
      </c>
      <c r="G5935" t="s">
        <v>62</v>
      </c>
      <c r="H5935" t="s">
        <v>63</v>
      </c>
    </row>
    <row r="5936" spans="1:8" x14ac:dyDescent="0.3">
      <c r="A5936" s="22" t="s">
        <v>64</v>
      </c>
      <c r="B5936" t="s">
        <v>67</v>
      </c>
      <c r="C5936" s="30">
        <v>28.09090909090909</v>
      </c>
      <c r="D5936" s="30">
        <v>30</v>
      </c>
      <c r="E5936" s="30">
        <v>4</v>
      </c>
      <c r="F5936" s="30">
        <v>55</v>
      </c>
      <c r="G5936">
        <v>11</v>
      </c>
      <c r="H5936">
        <v>11</v>
      </c>
    </row>
    <row r="5937" spans="1:8" x14ac:dyDescent="0.3">
      <c r="C5937" s="30"/>
      <c r="D5937" s="30"/>
      <c r="E5937" s="30"/>
      <c r="F5937" s="30"/>
    </row>
    <row r="5938" spans="1:8" ht="57.6" x14ac:dyDescent="0.3">
      <c r="A5938" s="22" t="s">
        <v>1328</v>
      </c>
      <c r="C5938" s="30"/>
      <c r="D5938" s="30"/>
      <c r="E5938" s="30"/>
      <c r="F5938" s="30"/>
    </row>
    <row r="5939" spans="1:8" x14ac:dyDescent="0.3">
      <c r="A5939" s="22" t="s">
        <v>57</v>
      </c>
      <c r="B5939" t="s">
        <v>66</v>
      </c>
      <c r="C5939" s="30" t="s">
        <v>58</v>
      </c>
      <c r="D5939" s="30" t="s">
        <v>59</v>
      </c>
      <c r="E5939" s="30" t="s">
        <v>60</v>
      </c>
      <c r="F5939" s="30" t="s">
        <v>61</v>
      </c>
      <c r="G5939" t="s">
        <v>62</v>
      </c>
      <c r="H5939" t="s">
        <v>63</v>
      </c>
    </row>
    <row r="5940" spans="1:8" x14ac:dyDescent="0.3">
      <c r="A5940" s="22" t="s">
        <v>64</v>
      </c>
      <c r="B5940" t="s">
        <v>67</v>
      </c>
      <c r="C5940" s="30">
        <v>28.09090909090909</v>
      </c>
      <c r="D5940" s="30">
        <v>30</v>
      </c>
      <c r="E5940" s="30">
        <v>4</v>
      </c>
      <c r="F5940" s="30">
        <v>55</v>
      </c>
      <c r="G5940">
        <v>11</v>
      </c>
      <c r="H5940">
        <v>11</v>
      </c>
    </row>
    <row r="5941" spans="1:8" x14ac:dyDescent="0.3">
      <c r="C5941" s="30"/>
      <c r="D5941" s="30"/>
      <c r="E5941" s="30"/>
      <c r="F5941" s="30"/>
    </row>
    <row r="5942" spans="1:8" ht="57.6" x14ac:dyDescent="0.3">
      <c r="A5942" s="22" t="s">
        <v>1329</v>
      </c>
      <c r="C5942" s="30"/>
      <c r="D5942" s="30"/>
      <c r="E5942" s="30"/>
      <c r="F5942" s="30"/>
    </row>
    <row r="5943" spans="1:8" x14ac:dyDescent="0.3">
      <c r="A5943" s="22" t="s">
        <v>57</v>
      </c>
      <c r="B5943" t="s">
        <v>66</v>
      </c>
      <c r="C5943" s="30" t="s">
        <v>58</v>
      </c>
      <c r="D5943" s="30" t="s">
        <v>59</v>
      </c>
      <c r="E5943" s="30" t="s">
        <v>60</v>
      </c>
      <c r="F5943" s="30" t="s">
        <v>61</v>
      </c>
      <c r="G5943" t="s">
        <v>62</v>
      </c>
      <c r="H5943" t="s">
        <v>63</v>
      </c>
    </row>
    <row r="5944" spans="1:8" x14ac:dyDescent="0.3">
      <c r="A5944" s="22" t="s">
        <v>64</v>
      </c>
      <c r="B5944" t="s">
        <v>67</v>
      </c>
      <c r="C5944" s="30">
        <v>28.09090909090909</v>
      </c>
      <c r="D5944" s="30">
        <v>30</v>
      </c>
      <c r="E5944" s="30">
        <v>4</v>
      </c>
      <c r="F5944" s="30">
        <v>55</v>
      </c>
      <c r="G5944">
        <v>11</v>
      </c>
      <c r="H5944">
        <v>11</v>
      </c>
    </row>
    <row r="5945" spans="1:8" x14ac:dyDescent="0.3">
      <c r="C5945" s="30"/>
      <c r="D5945" s="30"/>
      <c r="E5945" s="30"/>
      <c r="F5945" s="30"/>
    </row>
    <row r="5946" spans="1:8" ht="57.6" x14ac:dyDescent="0.3">
      <c r="A5946" s="22" t="s">
        <v>1330</v>
      </c>
      <c r="C5946" s="30"/>
      <c r="D5946" s="30"/>
      <c r="E5946" s="30"/>
      <c r="F5946" s="30"/>
    </row>
    <row r="5947" spans="1:8" x14ac:dyDescent="0.3">
      <c r="A5947" s="22" t="s">
        <v>57</v>
      </c>
      <c r="B5947" t="s">
        <v>66</v>
      </c>
      <c r="C5947" s="30" t="s">
        <v>58</v>
      </c>
      <c r="D5947" s="30" t="s">
        <v>59</v>
      </c>
      <c r="E5947" s="30" t="s">
        <v>60</v>
      </c>
      <c r="F5947" s="30" t="s">
        <v>61</v>
      </c>
      <c r="G5947" t="s">
        <v>62</v>
      </c>
      <c r="H5947" t="s">
        <v>63</v>
      </c>
    </row>
    <row r="5948" spans="1:8" x14ac:dyDescent="0.3">
      <c r="A5948" s="22" t="s">
        <v>64</v>
      </c>
      <c r="B5948" t="s">
        <v>67</v>
      </c>
      <c r="C5948" s="30">
        <v>15</v>
      </c>
      <c r="D5948" s="30">
        <v>15</v>
      </c>
      <c r="E5948" s="30">
        <v>15</v>
      </c>
      <c r="F5948" s="30">
        <v>15</v>
      </c>
      <c r="G5948">
        <v>1</v>
      </c>
      <c r="H5948">
        <v>11</v>
      </c>
    </row>
    <row r="5949" spans="1:8" x14ac:dyDescent="0.3">
      <c r="A5949" s="22" t="s">
        <v>64</v>
      </c>
      <c r="B5949" t="s">
        <v>68</v>
      </c>
      <c r="C5949" s="30">
        <v>29.4</v>
      </c>
      <c r="D5949" s="30">
        <v>30</v>
      </c>
      <c r="E5949" s="30">
        <v>4</v>
      </c>
      <c r="F5949" s="30">
        <v>55</v>
      </c>
      <c r="G5949">
        <v>10</v>
      </c>
      <c r="H5949">
        <v>11</v>
      </c>
    </row>
    <row r="5950" spans="1:8" x14ac:dyDescent="0.3">
      <c r="C5950" s="30"/>
      <c r="D5950" s="30"/>
      <c r="E5950" s="30"/>
      <c r="F5950" s="30"/>
    </row>
    <row r="5951" spans="1:8" ht="57.6" x14ac:dyDescent="0.3">
      <c r="A5951" s="22" t="s">
        <v>1331</v>
      </c>
      <c r="C5951" s="30"/>
      <c r="D5951" s="30"/>
      <c r="E5951" s="30"/>
      <c r="F5951" s="30"/>
    </row>
    <row r="5952" spans="1:8" x14ac:dyDescent="0.3">
      <c r="A5952" s="22" t="s">
        <v>57</v>
      </c>
      <c r="B5952" t="s">
        <v>66</v>
      </c>
      <c r="C5952" s="30" t="s">
        <v>58</v>
      </c>
      <c r="D5952" s="30" t="s">
        <v>59</v>
      </c>
      <c r="E5952" s="30" t="s">
        <v>60</v>
      </c>
      <c r="F5952" s="30" t="s">
        <v>61</v>
      </c>
      <c r="G5952" t="s">
        <v>62</v>
      </c>
      <c r="H5952" t="s">
        <v>63</v>
      </c>
    </row>
    <row r="5953" spans="1:8" x14ac:dyDescent="0.3">
      <c r="A5953" s="22" t="s">
        <v>64</v>
      </c>
      <c r="B5953" t="s">
        <v>67</v>
      </c>
      <c r="C5953" s="30">
        <v>27.142857142857139</v>
      </c>
      <c r="D5953" s="30">
        <v>30</v>
      </c>
      <c r="E5953" s="30">
        <v>15</v>
      </c>
      <c r="F5953" s="30">
        <v>50</v>
      </c>
      <c r="G5953">
        <v>7</v>
      </c>
      <c r="H5953">
        <v>11</v>
      </c>
    </row>
    <row r="5954" spans="1:8" x14ac:dyDescent="0.3">
      <c r="A5954" s="22" t="s">
        <v>64</v>
      </c>
      <c r="B5954" t="s">
        <v>68</v>
      </c>
      <c r="C5954" s="30">
        <v>29.75</v>
      </c>
      <c r="D5954" s="30">
        <v>30</v>
      </c>
      <c r="E5954" s="30">
        <v>4</v>
      </c>
      <c r="F5954" s="30">
        <v>55</v>
      </c>
      <c r="G5954">
        <v>4</v>
      </c>
      <c r="H5954">
        <v>11</v>
      </c>
    </row>
    <row r="5955" spans="1:8" x14ac:dyDescent="0.3">
      <c r="C5955" s="30"/>
      <c r="D5955" s="30"/>
      <c r="E5955" s="30"/>
      <c r="F5955" s="30"/>
    </row>
    <row r="5956" spans="1:8" ht="57.6" x14ac:dyDescent="0.3">
      <c r="A5956" s="22" t="s">
        <v>1332</v>
      </c>
      <c r="C5956" s="30"/>
      <c r="D5956" s="30"/>
      <c r="E5956" s="30"/>
      <c r="F5956" s="30"/>
    </row>
    <row r="5957" spans="1:8" x14ac:dyDescent="0.3">
      <c r="A5957" s="22" t="s">
        <v>57</v>
      </c>
      <c r="B5957" t="s">
        <v>66</v>
      </c>
      <c r="C5957" s="30" t="s">
        <v>58</v>
      </c>
      <c r="D5957" s="30" t="s">
        <v>59</v>
      </c>
      <c r="E5957" s="30" t="s">
        <v>60</v>
      </c>
      <c r="F5957" s="30" t="s">
        <v>61</v>
      </c>
      <c r="G5957" t="s">
        <v>62</v>
      </c>
      <c r="H5957" t="s">
        <v>63</v>
      </c>
    </row>
    <row r="5958" spans="1:8" x14ac:dyDescent="0.3">
      <c r="A5958" s="22" t="s">
        <v>64</v>
      </c>
      <c r="B5958" t="s">
        <v>67</v>
      </c>
      <c r="C5958" s="30">
        <v>27.333333333333329</v>
      </c>
      <c r="D5958" s="30">
        <v>30</v>
      </c>
      <c r="E5958" s="30">
        <v>4</v>
      </c>
      <c r="F5958" s="30">
        <v>50</v>
      </c>
      <c r="G5958">
        <v>6</v>
      </c>
      <c r="H5958">
        <v>11</v>
      </c>
    </row>
    <row r="5959" spans="1:8" x14ac:dyDescent="0.3">
      <c r="A5959" s="22" t="s">
        <v>64</v>
      </c>
      <c r="B5959" t="s">
        <v>68</v>
      </c>
      <c r="C5959" s="30">
        <v>29</v>
      </c>
      <c r="D5959" s="30">
        <v>30</v>
      </c>
      <c r="E5959" s="30">
        <v>15</v>
      </c>
      <c r="F5959" s="30">
        <v>55</v>
      </c>
      <c r="G5959">
        <v>5</v>
      </c>
      <c r="H5959">
        <v>11</v>
      </c>
    </row>
    <row r="5960" spans="1:8" x14ac:dyDescent="0.3">
      <c r="C5960" s="30"/>
      <c r="D5960" s="30"/>
      <c r="E5960" s="30"/>
      <c r="F5960" s="30"/>
    </row>
    <row r="5961" spans="1:8" ht="57.6" x14ac:dyDescent="0.3">
      <c r="A5961" s="22" t="s">
        <v>1333</v>
      </c>
      <c r="C5961" s="30"/>
      <c r="D5961" s="30"/>
      <c r="E5961" s="30"/>
      <c r="F5961" s="30"/>
    </row>
    <row r="5962" spans="1:8" x14ac:dyDescent="0.3">
      <c r="A5962" s="22" t="s">
        <v>57</v>
      </c>
      <c r="B5962" t="s">
        <v>66</v>
      </c>
      <c r="C5962" s="30" t="s">
        <v>58</v>
      </c>
      <c r="D5962" s="30" t="s">
        <v>59</v>
      </c>
      <c r="E5962" s="30" t="s">
        <v>60</v>
      </c>
      <c r="F5962" s="30" t="s">
        <v>61</v>
      </c>
      <c r="G5962" t="s">
        <v>62</v>
      </c>
      <c r="H5962" t="s">
        <v>63</v>
      </c>
    </row>
    <row r="5963" spans="1:8" x14ac:dyDescent="0.3">
      <c r="A5963" s="22" t="s">
        <v>64</v>
      </c>
      <c r="B5963" t="s">
        <v>67</v>
      </c>
      <c r="C5963" s="30">
        <v>28.428571428571431</v>
      </c>
      <c r="D5963" s="30">
        <v>30</v>
      </c>
      <c r="E5963" s="30">
        <v>4</v>
      </c>
      <c r="F5963" s="30">
        <v>55</v>
      </c>
      <c r="G5963">
        <v>7</v>
      </c>
      <c r="H5963">
        <v>11</v>
      </c>
    </row>
    <row r="5964" spans="1:8" x14ac:dyDescent="0.3">
      <c r="A5964" s="22" t="s">
        <v>64</v>
      </c>
      <c r="B5964" t="s">
        <v>68</v>
      </c>
      <c r="C5964" s="30">
        <v>27.5</v>
      </c>
      <c r="D5964" s="30">
        <v>15</v>
      </c>
      <c r="E5964" s="30">
        <v>15</v>
      </c>
      <c r="F5964" s="30">
        <v>50</v>
      </c>
      <c r="G5964">
        <v>4</v>
      </c>
      <c r="H5964">
        <v>11</v>
      </c>
    </row>
    <row r="5965" spans="1:8" x14ac:dyDescent="0.3">
      <c r="C5965" s="30"/>
      <c r="D5965" s="30"/>
      <c r="E5965" s="30"/>
      <c r="F5965" s="30"/>
    </row>
    <row r="5966" spans="1:8" ht="72" x14ac:dyDescent="0.3">
      <c r="A5966" s="22" t="s">
        <v>1334</v>
      </c>
      <c r="C5966" s="30"/>
      <c r="D5966" s="30"/>
      <c r="E5966" s="30"/>
      <c r="F5966" s="30"/>
    </row>
    <row r="5967" spans="1:8" x14ac:dyDescent="0.3">
      <c r="A5967" s="22" t="s">
        <v>57</v>
      </c>
      <c r="B5967" t="s">
        <v>66</v>
      </c>
      <c r="C5967" s="30" t="s">
        <v>58</v>
      </c>
      <c r="D5967" s="30" t="s">
        <v>59</v>
      </c>
      <c r="E5967" s="30" t="s">
        <v>60</v>
      </c>
      <c r="F5967" s="30" t="s">
        <v>61</v>
      </c>
      <c r="G5967" t="s">
        <v>62</v>
      </c>
      <c r="H5967" t="s">
        <v>63</v>
      </c>
    </row>
    <row r="5968" spans="1:8" x14ac:dyDescent="0.3">
      <c r="A5968" s="22" t="s">
        <v>64</v>
      </c>
      <c r="B5968" t="s">
        <v>67</v>
      </c>
      <c r="C5968" s="30">
        <v>25.9</v>
      </c>
      <c r="D5968" s="30">
        <v>30</v>
      </c>
      <c r="E5968" s="30">
        <v>4</v>
      </c>
      <c r="F5968" s="30">
        <v>55</v>
      </c>
      <c r="G5968">
        <v>10</v>
      </c>
      <c r="H5968">
        <v>11</v>
      </c>
    </row>
    <row r="5969" spans="1:8" x14ac:dyDescent="0.3">
      <c r="A5969" s="22" t="s">
        <v>64</v>
      </c>
      <c r="B5969" t="s">
        <v>68</v>
      </c>
      <c r="C5969" s="30">
        <v>50</v>
      </c>
      <c r="D5969" s="30">
        <v>50</v>
      </c>
      <c r="E5969" s="30">
        <v>50</v>
      </c>
      <c r="F5969" s="30">
        <v>50</v>
      </c>
      <c r="G5969">
        <v>1</v>
      </c>
      <c r="H5969">
        <v>11</v>
      </c>
    </row>
    <row r="5970" spans="1:8" x14ac:dyDescent="0.3">
      <c r="C5970" s="30"/>
      <c r="D5970" s="30"/>
      <c r="E5970" s="30"/>
      <c r="F5970" s="30"/>
    </row>
    <row r="5971" spans="1:8" ht="72" x14ac:dyDescent="0.3">
      <c r="A5971" s="22" t="s">
        <v>1335</v>
      </c>
      <c r="C5971" s="30"/>
      <c r="D5971" s="30"/>
      <c r="E5971" s="30"/>
      <c r="F5971" s="30"/>
    </row>
    <row r="5972" spans="1:8" x14ac:dyDescent="0.3">
      <c r="A5972" s="22" t="s">
        <v>57</v>
      </c>
      <c r="B5972" t="s">
        <v>66</v>
      </c>
      <c r="C5972" s="30" t="s">
        <v>58</v>
      </c>
      <c r="D5972" s="30" t="s">
        <v>59</v>
      </c>
      <c r="E5972" s="30" t="s">
        <v>60</v>
      </c>
      <c r="F5972" s="30" t="s">
        <v>61</v>
      </c>
      <c r="G5972" t="s">
        <v>62</v>
      </c>
      <c r="H5972" t="s">
        <v>63</v>
      </c>
    </row>
    <row r="5973" spans="1:8" x14ac:dyDescent="0.3">
      <c r="A5973" s="22" t="s">
        <v>64</v>
      </c>
      <c r="B5973" t="s">
        <v>67</v>
      </c>
      <c r="C5973" s="30">
        <v>28.09090909090909</v>
      </c>
      <c r="D5973" s="30">
        <v>30</v>
      </c>
      <c r="E5973" s="30">
        <v>4</v>
      </c>
      <c r="F5973" s="30">
        <v>55</v>
      </c>
      <c r="G5973">
        <v>11</v>
      </c>
      <c r="H5973">
        <v>11</v>
      </c>
    </row>
    <row r="5974" spans="1:8" x14ac:dyDescent="0.3">
      <c r="C5974" s="30"/>
      <c r="D5974" s="30"/>
      <c r="E5974" s="30"/>
      <c r="F5974" s="30"/>
    </row>
    <row r="5975" spans="1:8" ht="57.6" x14ac:dyDescent="0.3">
      <c r="A5975" s="22" t="s">
        <v>1336</v>
      </c>
      <c r="C5975" s="30"/>
      <c r="D5975" s="30"/>
      <c r="E5975" s="30"/>
      <c r="F5975" s="30"/>
    </row>
    <row r="5976" spans="1:8" x14ac:dyDescent="0.3">
      <c r="A5976" s="22" t="s">
        <v>57</v>
      </c>
      <c r="B5976" t="s">
        <v>66</v>
      </c>
      <c r="C5976" s="30" t="s">
        <v>58</v>
      </c>
      <c r="D5976" s="30" t="s">
        <v>59</v>
      </c>
      <c r="E5976" s="30" t="s">
        <v>60</v>
      </c>
      <c r="F5976" s="30" t="s">
        <v>61</v>
      </c>
      <c r="G5976" t="s">
        <v>62</v>
      </c>
      <c r="H5976" t="s">
        <v>63</v>
      </c>
    </row>
    <row r="5977" spans="1:8" x14ac:dyDescent="0.3">
      <c r="A5977" s="22" t="s">
        <v>64</v>
      </c>
      <c r="B5977" t="s">
        <v>67</v>
      </c>
      <c r="C5977" s="30">
        <v>27.857142857142861</v>
      </c>
      <c r="D5977" s="30">
        <v>30</v>
      </c>
      <c r="E5977" s="30">
        <v>15</v>
      </c>
      <c r="F5977" s="30">
        <v>55</v>
      </c>
      <c r="G5977">
        <v>7</v>
      </c>
      <c r="H5977">
        <v>11</v>
      </c>
    </row>
    <row r="5978" spans="1:8" x14ac:dyDescent="0.3">
      <c r="A5978" s="22" t="s">
        <v>64</v>
      </c>
      <c r="B5978" t="s">
        <v>68</v>
      </c>
      <c r="C5978" s="30">
        <v>28.5</v>
      </c>
      <c r="D5978" s="30">
        <v>30</v>
      </c>
      <c r="E5978" s="30">
        <v>4</v>
      </c>
      <c r="F5978" s="30">
        <v>50</v>
      </c>
      <c r="G5978">
        <v>4</v>
      </c>
      <c r="H5978">
        <v>11</v>
      </c>
    </row>
    <row r="5979" spans="1:8" x14ac:dyDescent="0.3">
      <c r="C5979" s="30"/>
      <c r="D5979" s="30"/>
      <c r="E5979" s="30"/>
      <c r="F5979" s="30"/>
    </row>
    <row r="5980" spans="1:8" ht="57.6" x14ac:dyDescent="0.3">
      <c r="A5980" s="22" t="s">
        <v>1337</v>
      </c>
      <c r="C5980" s="30"/>
      <c r="D5980" s="30"/>
      <c r="E5980" s="30"/>
      <c r="F5980" s="30"/>
    </row>
    <row r="5981" spans="1:8" x14ac:dyDescent="0.3">
      <c r="A5981" s="22" t="s">
        <v>57</v>
      </c>
      <c r="B5981" t="s">
        <v>66</v>
      </c>
      <c r="C5981" s="30" t="s">
        <v>58</v>
      </c>
      <c r="D5981" s="30" t="s">
        <v>59</v>
      </c>
      <c r="E5981" s="30" t="s">
        <v>60</v>
      </c>
      <c r="F5981" s="30" t="s">
        <v>61</v>
      </c>
      <c r="G5981" t="s">
        <v>62</v>
      </c>
      <c r="H5981" t="s">
        <v>63</v>
      </c>
    </row>
    <row r="5982" spans="1:8" x14ac:dyDescent="0.3">
      <c r="A5982" s="22" t="s">
        <v>64</v>
      </c>
      <c r="B5982" t="s">
        <v>67</v>
      </c>
      <c r="C5982" s="30">
        <v>30.5</v>
      </c>
      <c r="D5982" s="30">
        <v>30</v>
      </c>
      <c r="E5982" s="30">
        <v>15</v>
      </c>
      <c r="F5982" s="30">
        <v>55</v>
      </c>
      <c r="G5982">
        <v>10</v>
      </c>
      <c r="H5982">
        <v>11</v>
      </c>
    </row>
    <row r="5983" spans="1:8" x14ac:dyDescent="0.3">
      <c r="A5983" s="22" t="s">
        <v>64</v>
      </c>
      <c r="B5983" t="s">
        <v>68</v>
      </c>
      <c r="C5983" s="30">
        <v>4</v>
      </c>
      <c r="D5983" s="30">
        <v>4</v>
      </c>
      <c r="E5983" s="30">
        <v>4</v>
      </c>
      <c r="F5983" s="30">
        <v>4</v>
      </c>
      <c r="G5983">
        <v>1</v>
      </c>
      <c r="H5983">
        <v>11</v>
      </c>
    </row>
    <row r="5984" spans="1:8" x14ac:dyDescent="0.3">
      <c r="C5984" s="30"/>
      <c r="D5984" s="30"/>
      <c r="E5984" s="30"/>
      <c r="F5984" s="30"/>
    </row>
    <row r="5985" spans="1:8" ht="43.2" x14ac:dyDescent="0.3">
      <c r="A5985" s="27" t="s">
        <v>1338</v>
      </c>
      <c r="C5985" s="30"/>
      <c r="D5985" s="30"/>
      <c r="E5985" s="30"/>
      <c r="F5985" s="30"/>
    </row>
    <row r="5986" spans="1:8" x14ac:dyDescent="0.3">
      <c r="A5986" s="22" t="s">
        <v>57</v>
      </c>
      <c r="B5986" t="s">
        <v>66</v>
      </c>
      <c r="C5986" s="30" t="s">
        <v>58</v>
      </c>
      <c r="D5986" s="30" t="s">
        <v>59</v>
      </c>
      <c r="E5986" s="30" t="s">
        <v>60</v>
      </c>
      <c r="F5986" s="30" t="s">
        <v>61</v>
      </c>
      <c r="G5986" t="s">
        <v>62</v>
      </c>
      <c r="H5986" t="s">
        <v>63</v>
      </c>
    </row>
    <row r="5987" spans="1:8" x14ac:dyDescent="0.3">
      <c r="A5987" s="22" t="s">
        <v>64</v>
      </c>
      <c r="B5987" t="s">
        <v>81</v>
      </c>
      <c r="C5987" s="30">
        <v>30</v>
      </c>
      <c r="D5987" s="30">
        <v>20</v>
      </c>
      <c r="E5987" s="30">
        <v>15</v>
      </c>
      <c r="F5987" s="30">
        <v>55</v>
      </c>
      <c r="G5987">
        <v>4</v>
      </c>
      <c r="H5987">
        <v>11</v>
      </c>
    </row>
    <row r="5988" spans="1:8" x14ac:dyDescent="0.3">
      <c r="A5988" s="22" t="s">
        <v>64</v>
      </c>
      <c r="B5988" t="s">
        <v>82</v>
      </c>
      <c r="C5988" s="30">
        <v>25</v>
      </c>
      <c r="D5988" s="30">
        <v>30</v>
      </c>
      <c r="E5988" s="30">
        <v>15</v>
      </c>
      <c r="F5988" s="30">
        <v>30</v>
      </c>
      <c r="G5988">
        <v>3</v>
      </c>
      <c r="H5988">
        <v>11</v>
      </c>
    </row>
    <row r="5989" spans="1:8" x14ac:dyDescent="0.3">
      <c r="A5989" s="22" t="s">
        <v>64</v>
      </c>
      <c r="B5989" t="s">
        <v>83</v>
      </c>
      <c r="C5989" s="30">
        <v>30</v>
      </c>
      <c r="D5989" s="30">
        <v>30</v>
      </c>
      <c r="E5989" s="30">
        <v>30</v>
      </c>
      <c r="F5989" s="30">
        <v>30</v>
      </c>
      <c r="G5989">
        <v>2</v>
      </c>
      <c r="H5989">
        <v>11</v>
      </c>
    </row>
    <row r="5990" spans="1:8" x14ac:dyDescent="0.3">
      <c r="A5990" s="22" t="s">
        <v>64</v>
      </c>
      <c r="B5990" t="s">
        <v>84</v>
      </c>
      <c r="C5990" s="30">
        <v>27</v>
      </c>
      <c r="D5990" s="30">
        <v>4</v>
      </c>
      <c r="E5990" s="30">
        <v>4</v>
      </c>
      <c r="F5990" s="30">
        <v>50</v>
      </c>
      <c r="G5990">
        <v>2</v>
      </c>
      <c r="H5990">
        <v>11</v>
      </c>
    </row>
    <row r="5992" spans="1:8" ht="43.2" x14ac:dyDescent="0.3">
      <c r="A5992" s="27" t="s">
        <v>1339</v>
      </c>
    </row>
    <row r="5993" spans="1:8" x14ac:dyDescent="0.3">
      <c r="A5993" s="22" t="s">
        <v>57</v>
      </c>
      <c r="B5993" t="s">
        <v>58</v>
      </c>
      <c r="C5993" t="s">
        <v>59</v>
      </c>
      <c r="D5993" t="s">
        <v>60</v>
      </c>
      <c r="E5993" t="s">
        <v>61</v>
      </c>
      <c r="F5993" t="s">
        <v>62</v>
      </c>
      <c r="G5993" t="s">
        <v>63</v>
      </c>
    </row>
    <row r="5994" spans="1:8" x14ac:dyDescent="0.3">
      <c r="A5994" s="22" t="s">
        <v>64</v>
      </c>
      <c r="B5994" s="30">
        <v>37.5</v>
      </c>
      <c r="C5994" s="30">
        <v>25</v>
      </c>
      <c r="D5994" s="30">
        <v>5</v>
      </c>
      <c r="E5994" s="30">
        <v>70</v>
      </c>
      <c r="F5994">
        <v>4</v>
      </c>
      <c r="G5994">
        <v>4</v>
      </c>
    </row>
    <row r="5996" spans="1:8" ht="57.6" x14ac:dyDescent="0.3">
      <c r="A5996" s="22" t="s">
        <v>1340</v>
      </c>
    </row>
    <row r="5997" spans="1:8" x14ac:dyDescent="0.3">
      <c r="A5997" s="22" t="s">
        <v>57</v>
      </c>
      <c r="B5997" t="s">
        <v>66</v>
      </c>
      <c r="C5997" t="s">
        <v>58</v>
      </c>
      <c r="D5997" t="s">
        <v>59</v>
      </c>
      <c r="E5997" t="s">
        <v>60</v>
      </c>
      <c r="F5997" t="s">
        <v>61</v>
      </c>
      <c r="G5997" t="s">
        <v>62</v>
      </c>
      <c r="H5997" t="s">
        <v>63</v>
      </c>
    </row>
    <row r="5998" spans="1:8" x14ac:dyDescent="0.3">
      <c r="A5998" s="22" t="s">
        <v>64</v>
      </c>
      <c r="B5998" t="s">
        <v>67</v>
      </c>
      <c r="C5998" s="30">
        <v>37.5</v>
      </c>
      <c r="D5998" s="30">
        <v>25</v>
      </c>
      <c r="E5998" s="30">
        <v>5</v>
      </c>
      <c r="F5998" s="30">
        <v>70</v>
      </c>
      <c r="G5998">
        <v>4</v>
      </c>
      <c r="H5998">
        <v>4</v>
      </c>
    </row>
    <row r="5999" spans="1:8" x14ac:dyDescent="0.3">
      <c r="C5999" s="30"/>
      <c r="D5999" s="30"/>
      <c r="E5999" s="30"/>
      <c r="F5999" s="30"/>
    </row>
    <row r="6000" spans="1:8" x14ac:dyDescent="0.3">
      <c r="A6000"/>
      <c r="C6000" s="30"/>
      <c r="D6000" s="30"/>
      <c r="E6000" s="30"/>
      <c r="F6000" s="30"/>
    </row>
    <row r="6001" spans="1:8" x14ac:dyDescent="0.3">
      <c r="A6001"/>
      <c r="C6001" s="30"/>
      <c r="D6001" s="30"/>
      <c r="E6001" s="30"/>
      <c r="F6001" s="30"/>
    </row>
    <row r="6002" spans="1:8" x14ac:dyDescent="0.3">
      <c r="A6002"/>
      <c r="C6002" s="30"/>
      <c r="D6002" s="30"/>
      <c r="E6002" s="30"/>
      <c r="F6002" s="30"/>
    </row>
    <row r="6003" spans="1:8" x14ac:dyDescent="0.3">
      <c r="C6003" s="30"/>
      <c r="D6003" s="30"/>
      <c r="E6003" s="30"/>
      <c r="F6003" s="30"/>
    </row>
    <row r="6004" spans="1:8" ht="57.6" x14ac:dyDescent="0.3">
      <c r="A6004" s="22" t="s">
        <v>1341</v>
      </c>
      <c r="C6004" s="30"/>
      <c r="D6004" s="30"/>
      <c r="E6004" s="30"/>
      <c r="F6004" s="30"/>
    </row>
    <row r="6005" spans="1:8" x14ac:dyDescent="0.3">
      <c r="A6005" s="22" t="s">
        <v>57</v>
      </c>
      <c r="B6005" t="s">
        <v>66</v>
      </c>
      <c r="C6005" s="30" t="s">
        <v>58</v>
      </c>
      <c r="D6005" s="30" t="s">
        <v>59</v>
      </c>
      <c r="E6005" s="30" t="s">
        <v>60</v>
      </c>
      <c r="F6005" s="30" t="s">
        <v>61</v>
      </c>
      <c r="G6005" t="s">
        <v>62</v>
      </c>
      <c r="H6005" t="s">
        <v>63</v>
      </c>
    </row>
    <row r="6006" spans="1:8" x14ac:dyDescent="0.3">
      <c r="A6006" s="22" t="s">
        <v>64</v>
      </c>
      <c r="B6006" t="s">
        <v>67</v>
      </c>
      <c r="C6006" s="30">
        <v>37.5</v>
      </c>
      <c r="D6006" s="30">
        <v>25</v>
      </c>
      <c r="E6006" s="30">
        <v>5</v>
      </c>
      <c r="F6006" s="30">
        <v>70</v>
      </c>
      <c r="G6006">
        <v>4</v>
      </c>
      <c r="H6006">
        <v>4</v>
      </c>
    </row>
    <row r="6007" spans="1:8" x14ac:dyDescent="0.3">
      <c r="C6007" s="30"/>
      <c r="D6007" s="30"/>
      <c r="E6007" s="30"/>
      <c r="F6007" s="30"/>
    </row>
    <row r="6008" spans="1:8" ht="57.6" x14ac:dyDescent="0.3">
      <c r="A6008" s="22" t="s">
        <v>1342</v>
      </c>
      <c r="C6008" s="30"/>
      <c r="D6008" s="30"/>
      <c r="E6008" s="30"/>
      <c r="F6008" s="30"/>
    </row>
    <row r="6009" spans="1:8" x14ac:dyDescent="0.3">
      <c r="A6009" s="22" t="s">
        <v>57</v>
      </c>
      <c r="B6009" t="s">
        <v>66</v>
      </c>
      <c r="C6009" s="30" t="s">
        <v>58</v>
      </c>
      <c r="D6009" s="30" t="s">
        <v>59</v>
      </c>
      <c r="E6009" s="30" t="s">
        <v>60</v>
      </c>
      <c r="F6009" s="30" t="s">
        <v>61</v>
      </c>
      <c r="G6009" t="s">
        <v>62</v>
      </c>
      <c r="H6009" t="s">
        <v>63</v>
      </c>
    </row>
    <row r="6010" spans="1:8" x14ac:dyDescent="0.3">
      <c r="A6010" s="22" t="s">
        <v>64</v>
      </c>
      <c r="B6010" t="s">
        <v>67</v>
      </c>
      <c r="C6010" s="30">
        <v>37.5</v>
      </c>
      <c r="D6010" s="30">
        <v>25</v>
      </c>
      <c r="E6010" s="30">
        <v>5</v>
      </c>
      <c r="F6010" s="30">
        <v>70</v>
      </c>
      <c r="G6010">
        <v>4</v>
      </c>
      <c r="H6010">
        <v>4</v>
      </c>
    </row>
    <row r="6011" spans="1:8" x14ac:dyDescent="0.3">
      <c r="C6011" s="30"/>
      <c r="D6011" s="30"/>
      <c r="E6011" s="30"/>
      <c r="F6011" s="30"/>
    </row>
    <row r="6012" spans="1:8" ht="57.6" x14ac:dyDescent="0.3">
      <c r="A6012" s="22" t="s">
        <v>1343</v>
      </c>
      <c r="C6012" s="30"/>
      <c r="D6012" s="30"/>
      <c r="E6012" s="30"/>
      <c r="F6012" s="30"/>
    </row>
    <row r="6013" spans="1:8" x14ac:dyDescent="0.3">
      <c r="A6013" s="22" t="s">
        <v>57</v>
      </c>
      <c r="B6013" t="s">
        <v>66</v>
      </c>
      <c r="C6013" s="30" t="s">
        <v>58</v>
      </c>
      <c r="D6013" s="30" t="s">
        <v>59</v>
      </c>
      <c r="E6013" s="30" t="s">
        <v>60</v>
      </c>
      <c r="F6013" s="30" t="s">
        <v>61</v>
      </c>
      <c r="G6013" t="s">
        <v>62</v>
      </c>
      <c r="H6013" t="s">
        <v>63</v>
      </c>
    </row>
    <row r="6014" spans="1:8" x14ac:dyDescent="0.3">
      <c r="A6014" s="22" t="s">
        <v>64</v>
      </c>
      <c r="B6014" t="s">
        <v>67</v>
      </c>
      <c r="C6014" s="30">
        <v>37.5</v>
      </c>
      <c r="D6014" s="30">
        <v>25</v>
      </c>
      <c r="E6014" s="30">
        <v>5</v>
      </c>
      <c r="F6014" s="30">
        <v>70</v>
      </c>
      <c r="G6014">
        <v>4</v>
      </c>
      <c r="H6014">
        <v>4</v>
      </c>
    </row>
    <row r="6015" spans="1:8" x14ac:dyDescent="0.3">
      <c r="C6015" s="30"/>
      <c r="D6015" s="30"/>
      <c r="E6015" s="30"/>
      <c r="F6015" s="30"/>
    </row>
    <row r="6016" spans="1:8" ht="57.6" x14ac:dyDescent="0.3">
      <c r="A6016" s="22" t="s">
        <v>1344</v>
      </c>
      <c r="C6016" s="30"/>
      <c r="D6016" s="30"/>
      <c r="E6016" s="30"/>
      <c r="F6016" s="30"/>
    </row>
    <row r="6017" spans="1:8" x14ac:dyDescent="0.3">
      <c r="A6017" s="22" t="s">
        <v>57</v>
      </c>
      <c r="B6017" t="s">
        <v>66</v>
      </c>
      <c r="C6017" s="30" t="s">
        <v>58</v>
      </c>
      <c r="D6017" s="30" t="s">
        <v>59</v>
      </c>
      <c r="E6017" s="30" t="s">
        <v>60</v>
      </c>
      <c r="F6017" s="30" t="s">
        <v>61</v>
      </c>
      <c r="G6017" t="s">
        <v>62</v>
      </c>
      <c r="H6017" t="s">
        <v>63</v>
      </c>
    </row>
    <row r="6018" spans="1:8" x14ac:dyDescent="0.3">
      <c r="A6018" s="22" t="s">
        <v>64</v>
      </c>
      <c r="B6018" t="s">
        <v>68</v>
      </c>
      <c r="C6018" s="30">
        <v>37.5</v>
      </c>
      <c r="D6018" s="30">
        <v>25</v>
      </c>
      <c r="E6018" s="30">
        <v>5</v>
      </c>
      <c r="F6018" s="30">
        <v>70</v>
      </c>
      <c r="G6018">
        <v>4</v>
      </c>
      <c r="H6018">
        <v>4</v>
      </c>
    </row>
    <row r="6019" spans="1:8" x14ac:dyDescent="0.3">
      <c r="C6019" s="30"/>
      <c r="D6019" s="30"/>
      <c r="E6019" s="30"/>
      <c r="F6019" s="30"/>
    </row>
    <row r="6020" spans="1:8" ht="57.6" x14ac:dyDescent="0.3">
      <c r="A6020" s="22" t="s">
        <v>1345</v>
      </c>
      <c r="C6020" s="30"/>
      <c r="D6020" s="30"/>
      <c r="E6020" s="30"/>
      <c r="F6020" s="30"/>
    </row>
    <row r="6021" spans="1:8" x14ac:dyDescent="0.3">
      <c r="A6021" s="22" t="s">
        <v>57</v>
      </c>
      <c r="B6021" t="s">
        <v>66</v>
      </c>
      <c r="C6021" s="30" t="s">
        <v>58</v>
      </c>
      <c r="D6021" s="30" t="s">
        <v>59</v>
      </c>
      <c r="E6021" s="30" t="s">
        <v>60</v>
      </c>
      <c r="F6021" s="30" t="s">
        <v>61</v>
      </c>
      <c r="G6021" t="s">
        <v>62</v>
      </c>
      <c r="H6021" t="s">
        <v>63</v>
      </c>
    </row>
    <row r="6022" spans="1:8" x14ac:dyDescent="0.3">
      <c r="A6022" s="22" t="s">
        <v>64</v>
      </c>
      <c r="B6022" t="s">
        <v>67</v>
      </c>
      <c r="C6022" s="30">
        <v>26.666666666666671</v>
      </c>
      <c r="D6022" s="30">
        <v>50</v>
      </c>
      <c r="E6022" s="30">
        <v>5</v>
      </c>
      <c r="F6022" s="30">
        <v>50</v>
      </c>
      <c r="G6022">
        <v>3</v>
      </c>
      <c r="H6022">
        <v>4</v>
      </c>
    </row>
    <row r="6023" spans="1:8" x14ac:dyDescent="0.3">
      <c r="A6023" s="22" t="s">
        <v>64</v>
      </c>
      <c r="B6023" t="s">
        <v>68</v>
      </c>
      <c r="C6023" s="30">
        <v>70</v>
      </c>
      <c r="D6023" s="30">
        <v>70</v>
      </c>
      <c r="E6023" s="30">
        <v>70</v>
      </c>
      <c r="F6023" s="30">
        <v>70</v>
      </c>
      <c r="G6023">
        <v>1</v>
      </c>
      <c r="H6023">
        <v>4</v>
      </c>
    </row>
    <row r="6024" spans="1:8" x14ac:dyDescent="0.3">
      <c r="C6024" s="30"/>
      <c r="D6024" s="30"/>
      <c r="E6024" s="30"/>
      <c r="F6024" s="30"/>
    </row>
    <row r="6025" spans="1:8" ht="57.6" x14ac:dyDescent="0.3">
      <c r="A6025" s="22" t="s">
        <v>1346</v>
      </c>
      <c r="C6025" s="30"/>
      <c r="D6025" s="30"/>
      <c r="E6025" s="30"/>
      <c r="F6025" s="30"/>
    </row>
    <row r="6026" spans="1:8" x14ac:dyDescent="0.3">
      <c r="A6026" s="22" t="s">
        <v>57</v>
      </c>
      <c r="B6026" t="s">
        <v>66</v>
      </c>
      <c r="C6026" s="30" t="s">
        <v>58</v>
      </c>
      <c r="D6026" s="30" t="s">
        <v>59</v>
      </c>
      <c r="E6026" s="30" t="s">
        <v>60</v>
      </c>
      <c r="F6026" s="30" t="s">
        <v>61</v>
      </c>
      <c r="G6026" t="s">
        <v>62</v>
      </c>
      <c r="H6026" t="s">
        <v>63</v>
      </c>
    </row>
    <row r="6027" spans="1:8" x14ac:dyDescent="0.3">
      <c r="A6027" s="22" t="s">
        <v>64</v>
      </c>
      <c r="B6027" t="s">
        <v>67</v>
      </c>
      <c r="C6027" s="30">
        <v>37.5</v>
      </c>
      <c r="D6027" s="30">
        <v>25</v>
      </c>
      <c r="E6027" s="30">
        <v>5</v>
      </c>
      <c r="F6027" s="30">
        <v>70</v>
      </c>
      <c r="G6027">
        <v>4</v>
      </c>
      <c r="H6027">
        <v>4</v>
      </c>
    </row>
    <row r="6028" spans="1:8" x14ac:dyDescent="0.3">
      <c r="C6028" s="30"/>
      <c r="D6028" s="30"/>
      <c r="E6028" s="30"/>
      <c r="F6028" s="30"/>
    </row>
    <row r="6029" spans="1:8" ht="57.6" x14ac:dyDescent="0.3">
      <c r="A6029" s="22" t="s">
        <v>1347</v>
      </c>
      <c r="C6029" s="30"/>
      <c r="D6029" s="30"/>
      <c r="E6029" s="30"/>
      <c r="F6029" s="30"/>
    </row>
    <row r="6030" spans="1:8" x14ac:dyDescent="0.3">
      <c r="A6030" s="22" t="s">
        <v>57</v>
      </c>
      <c r="B6030" t="s">
        <v>66</v>
      </c>
      <c r="C6030" s="30" t="s">
        <v>58</v>
      </c>
      <c r="D6030" s="30" t="s">
        <v>59</v>
      </c>
      <c r="E6030" s="30" t="s">
        <v>60</v>
      </c>
      <c r="F6030" s="30" t="s">
        <v>61</v>
      </c>
      <c r="G6030" t="s">
        <v>62</v>
      </c>
      <c r="H6030" t="s">
        <v>63</v>
      </c>
    </row>
    <row r="6031" spans="1:8" x14ac:dyDescent="0.3">
      <c r="A6031" s="22" t="s">
        <v>64</v>
      </c>
      <c r="B6031" t="s">
        <v>67</v>
      </c>
      <c r="C6031" s="30">
        <v>33.333333333333343</v>
      </c>
      <c r="D6031" s="30">
        <v>70</v>
      </c>
      <c r="E6031" s="30">
        <v>5</v>
      </c>
      <c r="F6031" s="30">
        <v>70</v>
      </c>
      <c r="G6031">
        <v>3</v>
      </c>
      <c r="H6031">
        <v>4</v>
      </c>
    </row>
    <row r="6032" spans="1:8" x14ac:dyDescent="0.3">
      <c r="A6032" s="22" t="s">
        <v>64</v>
      </c>
      <c r="B6032" t="s">
        <v>68</v>
      </c>
      <c r="C6032" s="30">
        <v>50</v>
      </c>
      <c r="D6032" s="30">
        <v>50</v>
      </c>
      <c r="E6032" s="30">
        <v>50</v>
      </c>
      <c r="F6032" s="30">
        <v>50</v>
      </c>
      <c r="G6032">
        <v>1</v>
      </c>
      <c r="H6032">
        <v>4</v>
      </c>
    </row>
    <row r="6033" spans="1:8" x14ac:dyDescent="0.3">
      <c r="C6033" s="30"/>
      <c r="D6033" s="30"/>
      <c r="E6033" s="30"/>
      <c r="F6033" s="30"/>
    </row>
    <row r="6034" spans="1:8" ht="72" x14ac:dyDescent="0.3">
      <c r="A6034" s="22" t="s">
        <v>1348</v>
      </c>
      <c r="C6034" s="30"/>
      <c r="D6034" s="30"/>
      <c r="E6034" s="30"/>
      <c r="F6034" s="30"/>
    </row>
    <row r="6035" spans="1:8" x14ac:dyDescent="0.3">
      <c r="A6035" s="22" t="s">
        <v>57</v>
      </c>
      <c r="B6035" t="s">
        <v>66</v>
      </c>
      <c r="C6035" s="30" t="s">
        <v>58</v>
      </c>
      <c r="D6035" s="30" t="s">
        <v>59</v>
      </c>
      <c r="E6035" s="30" t="s">
        <v>60</v>
      </c>
      <c r="F6035" s="30" t="s">
        <v>61</v>
      </c>
      <c r="G6035" t="s">
        <v>62</v>
      </c>
      <c r="H6035" t="s">
        <v>63</v>
      </c>
    </row>
    <row r="6036" spans="1:8" x14ac:dyDescent="0.3">
      <c r="A6036" s="22" t="s">
        <v>64</v>
      </c>
      <c r="B6036" t="s">
        <v>67</v>
      </c>
      <c r="C6036" s="30">
        <v>37.5</v>
      </c>
      <c r="D6036" s="30">
        <v>25</v>
      </c>
      <c r="E6036" s="30">
        <v>5</v>
      </c>
      <c r="F6036" s="30">
        <v>70</v>
      </c>
      <c r="G6036">
        <v>4</v>
      </c>
      <c r="H6036">
        <v>4</v>
      </c>
    </row>
    <row r="6037" spans="1:8" x14ac:dyDescent="0.3">
      <c r="C6037" s="30"/>
      <c r="D6037" s="30"/>
      <c r="E6037" s="30"/>
      <c r="F6037" s="30"/>
    </row>
    <row r="6038" spans="1:8" ht="72" x14ac:dyDescent="0.3">
      <c r="A6038" s="22" t="s">
        <v>1349</v>
      </c>
      <c r="C6038" s="30"/>
      <c r="D6038" s="30"/>
      <c r="E6038" s="30"/>
      <c r="F6038" s="30"/>
    </row>
    <row r="6039" spans="1:8" x14ac:dyDescent="0.3">
      <c r="A6039" s="22" t="s">
        <v>57</v>
      </c>
      <c r="B6039" t="s">
        <v>66</v>
      </c>
      <c r="C6039" s="30" t="s">
        <v>58</v>
      </c>
      <c r="D6039" s="30" t="s">
        <v>59</v>
      </c>
      <c r="E6039" s="30" t="s">
        <v>60</v>
      </c>
      <c r="F6039" s="30" t="s">
        <v>61</v>
      </c>
      <c r="G6039" t="s">
        <v>62</v>
      </c>
      <c r="H6039" t="s">
        <v>63</v>
      </c>
    </row>
    <row r="6040" spans="1:8" x14ac:dyDescent="0.3">
      <c r="A6040" s="22" t="s">
        <v>64</v>
      </c>
      <c r="B6040" t="s">
        <v>67</v>
      </c>
      <c r="C6040" s="30">
        <v>37.5</v>
      </c>
      <c r="D6040" s="30">
        <v>25</v>
      </c>
      <c r="E6040" s="30">
        <v>5</v>
      </c>
      <c r="F6040" s="30">
        <v>70</v>
      </c>
      <c r="G6040">
        <v>4</v>
      </c>
      <c r="H6040">
        <v>4</v>
      </c>
    </row>
    <row r="6041" spans="1:8" x14ac:dyDescent="0.3">
      <c r="C6041" s="30"/>
      <c r="D6041" s="30"/>
      <c r="E6041" s="30"/>
      <c r="F6041" s="30"/>
    </row>
    <row r="6042" spans="1:8" ht="57.6" x14ac:dyDescent="0.3">
      <c r="A6042" s="22" t="s">
        <v>1350</v>
      </c>
      <c r="C6042" s="30"/>
      <c r="D6042" s="30"/>
      <c r="E6042" s="30"/>
      <c r="F6042" s="30"/>
    </row>
    <row r="6043" spans="1:8" x14ac:dyDescent="0.3">
      <c r="A6043" s="22" t="s">
        <v>57</v>
      </c>
      <c r="B6043" t="s">
        <v>66</v>
      </c>
      <c r="C6043" s="30" t="s">
        <v>58</v>
      </c>
      <c r="D6043" s="30" t="s">
        <v>59</v>
      </c>
      <c r="E6043" s="30" t="s">
        <v>60</v>
      </c>
      <c r="F6043" s="30" t="s">
        <v>61</v>
      </c>
      <c r="G6043" t="s">
        <v>62</v>
      </c>
      <c r="H6043" t="s">
        <v>63</v>
      </c>
    </row>
    <row r="6044" spans="1:8" x14ac:dyDescent="0.3">
      <c r="A6044" s="22" t="s">
        <v>64</v>
      </c>
      <c r="B6044" t="s">
        <v>67</v>
      </c>
      <c r="C6044" s="30">
        <v>26.666666666666671</v>
      </c>
      <c r="D6044" s="30">
        <v>50</v>
      </c>
      <c r="E6044" s="30">
        <v>5</v>
      </c>
      <c r="F6044" s="30">
        <v>50</v>
      </c>
      <c r="G6044">
        <v>3</v>
      </c>
      <c r="H6044">
        <v>4</v>
      </c>
    </row>
    <row r="6045" spans="1:8" x14ac:dyDescent="0.3">
      <c r="A6045" s="22" t="s">
        <v>64</v>
      </c>
      <c r="B6045" t="s">
        <v>68</v>
      </c>
      <c r="C6045" s="30">
        <v>70</v>
      </c>
      <c r="D6045" s="30">
        <v>70</v>
      </c>
      <c r="E6045" s="30">
        <v>70</v>
      </c>
      <c r="F6045" s="30">
        <v>70</v>
      </c>
      <c r="G6045">
        <v>1</v>
      </c>
      <c r="H6045">
        <v>4</v>
      </c>
    </row>
    <row r="6046" spans="1:8" x14ac:dyDescent="0.3">
      <c r="C6046" s="30"/>
      <c r="D6046" s="30"/>
      <c r="E6046" s="30"/>
      <c r="F6046" s="30"/>
    </row>
    <row r="6047" spans="1:8" ht="57.6" x14ac:dyDescent="0.3">
      <c r="A6047" s="22" t="s">
        <v>1351</v>
      </c>
      <c r="C6047" s="30"/>
      <c r="D6047" s="30"/>
      <c r="E6047" s="30"/>
      <c r="F6047" s="30"/>
    </row>
    <row r="6048" spans="1:8" x14ac:dyDescent="0.3">
      <c r="A6048" s="22" t="s">
        <v>57</v>
      </c>
      <c r="B6048" t="s">
        <v>66</v>
      </c>
      <c r="C6048" s="30" t="s">
        <v>58</v>
      </c>
      <c r="D6048" s="30" t="s">
        <v>59</v>
      </c>
      <c r="E6048" s="30" t="s">
        <v>60</v>
      </c>
      <c r="F6048" s="30" t="s">
        <v>61</v>
      </c>
      <c r="G6048" t="s">
        <v>62</v>
      </c>
      <c r="H6048" t="s">
        <v>63</v>
      </c>
    </row>
    <row r="6049" spans="1:8" x14ac:dyDescent="0.3">
      <c r="A6049" s="22" t="s">
        <v>64</v>
      </c>
      <c r="B6049" t="s">
        <v>67</v>
      </c>
      <c r="C6049" s="30">
        <v>33.333333333333343</v>
      </c>
      <c r="D6049" s="30">
        <v>70</v>
      </c>
      <c r="E6049" s="30">
        <v>5</v>
      </c>
      <c r="F6049" s="30">
        <v>70</v>
      </c>
      <c r="G6049">
        <v>3</v>
      </c>
      <c r="H6049">
        <v>4</v>
      </c>
    </row>
    <row r="6050" spans="1:8" x14ac:dyDescent="0.3">
      <c r="A6050" s="22" t="s">
        <v>64</v>
      </c>
      <c r="B6050" t="s">
        <v>68</v>
      </c>
      <c r="C6050" s="30">
        <v>50</v>
      </c>
      <c r="D6050" s="30">
        <v>50</v>
      </c>
      <c r="E6050" s="30">
        <v>50</v>
      </c>
      <c r="F6050" s="30">
        <v>50</v>
      </c>
      <c r="G6050">
        <v>1</v>
      </c>
      <c r="H6050">
        <v>4</v>
      </c>
    </row>
    <row r="6051" spans="1:8" x14ac:dyDescent="0.3">
      <c r="C6051" s="30"/>
      <c r="D6051" s="30"/>
      <c r="E6051" s="30"/>
      <c r="F6051" s="30"/>
    </row>
    <row r="6052" spans="1:8" ht="43.2" x14ac:dyDescent="0.3">
      <c r="A6052" s="27" t="s">
        <v>1352</v>
      </c>
      <c r="C6052" s="30"/>
      <c r="D6052" s="30"/>
      <c r="E6052" s="30"/>
      <c r="F6052" s="30"/>
    </row>
    <row r="6053" spans="1:8" x14ac:dyDescent="0.3">
      <c r="A6053" s="22" t="s">
        <v>57</v>
      </c>
      <c r="B6053" t="s">
        <v>66</v>
      </c>
      <c r="C6053" s="30" t="s">
        <v>58</v>
      </c>
      <c r="D6053" s="30" t="s">
        <v>59</v>
      </c>
      <c r="E6053" s="30" t="s">
        <v>60</v>
      </c>
      <c r="F6053" s="30" t="s">
        <v>61</v>
      </c>
      <c r="G6053" t="s">
        <v>62</v>
      </c>
      <c r="H6053" t="s">
        <v>63</v>
      </c>
    </row>
    <row r="6054" spans="1:8" x14ac:dyDescent="0.3">
      <c r="A6054" s="22" t="s">
        <v>64</v>
      </c>
      <c r="B6054" t="s">
        <v>81</v>
      </c>
      <c r="C6054" s="30">
        <v>15</v>
      </c>
      <c r="D6054" s="30">
        <v>5</v>
      </c>
      <c r="E6054" s="30">
        <v>5</v>
      </c>
      <c r="F6054" s="30">
        <v>25</v>
      </c>
      <c r="G6054">
        <v>2</v>
      </c>
      <c r="H6054">
        <v>4</v>
      </c>
    </row>
    <row r="6055" spans="1:8" x14ac:dyDescent="0.3">
      <c r="A6055" s="22" t="s">
        <v>64</v>
      </c>
      <c r="B6055" t="s">
        <v>82</v>
      </c>
      <c r="C6055" s="30">
        <v>70</v>
      </c>
      <c r="D6055" s="30">
        <v>70</v>
      </c>
      <c r="E6055" s="30">
        <v>70</v>
      </c>
      <c r="F6055" s="30">
        <v>70</v>
      </c>
      <c r="G6055">
        <v>1</v>
      </c>
      <c r="H6055">
        <v>4</v>
      </c>
    </row>
    <row r="6056" spans="1:8" x14ac:dyDescent="0.3">
      <c r="A6056" s="22" t="s">
        <v>64</v>
      </c>
      <c r="B6056" t="s">
        <v>84</v>
      </c>
      <c r="C6056" s="30">
        <v>50</v>
      </c>
      <c r="D6056" s="30">
        <v>50</v>
      </c>
      <c r="E6056" s="30">
        <v>50</v>
      </c>
      <c r="F6056" s="30">
        <v>50</v>
      </c>
      <c r="G6056">
        <v>1</v>
      </c>
      <c r="H6056">
        <v>4</v>
      </c>
    </row>
    <row r="6057" spans="1:8" x14ac:dyDescent="0.3">
      <c r="C6057" s="30"/>
      <c r="D6057" s="30"/>
      <c r="E6057" s="30"/>
      <c r="F6057" s="30"/>
    </row>
    <row r="6058" spans="1:8" ht="43.2" x14ac:dyDescent="0.3">
      <c r="A6058" s="27" t="s">
        <v>1353</v>
      </c>
    </row>
    <row r="6059" spans="1:8" x14ac:dyDescent="0.3">
      <c r="A6059" s="22" t="s">
        <v>57</v>
      </c>
      <c r="B6059" t="s">
        <v>58</v>
      </c>
      <c r="C6059" t="s">
        <v>59</v>
      </c>
      <c r="D6059" t="s">
        <v>60</v>
      </c>
      <c r="E6059" t="s">
        <v>61</v>
      </c>
      <c r="F6059" t="s">
        <v>62</v>
      </c>
      <c r="G6059" t="s">
        <v>63</v>
      </c>
    </row>
    <row r="6060" spans="1:8" x14ac:dyDescent="0.3">
      <c r="A6060" s="22" t="s">
        <v>64</v>
      </c>
      <c r="B6060" s="29">
        <v>10.199999999999999</v>
      </c>
      <c r="C6060" s="29">
        <v>10</v>
      </c>
      <c r="D6060" s="29">
        <v>1</v>
      </c>
      <c r="E6060" s="29">
        <v>20</v>
      </c>
      <c r="F6060">
        <v>15</v>
      </c>
      <c r="G6060">
        <v>15</v>
      </c>
    </row>
    <row r="6062" spans="1:8" ht="57.6" x14ac:dyDescent="0.3">
      <c r="A6062" s="22" t="s">
        <v>1354</v>
      </c>
      <c r="C6062" s="30"/>
      <c r="D6062" s="30"/>
      <c r="E6062" s="30"/>
      <c r="F6062" s="30"/>
    </row>
    <row r="6063" spans="1:8" x14ac:dyDescent="0.3">
      <c r="A6063" s="22" t="s">
        <v>57</v>
      </c>
      <c r="B6063" t="s">
        <v>66</v>
      </c>
      <c r="C6063" s="30" t="s">
        <v>58</v>
      </c>
      <c r="D6063" s="30" t="s">
        <v>59</v>
      </c>
      <c r="E6063" s="30" t="s">
        <v>60</v>
      </c>
      <c r="F6063" s="30" t="s">
        <v>61</v>
      </c>
      <c r="G6063" t="s">
        <v>62</v>
      </c>
      <c r="H6063" t="s">
        <v>63</v>
      </c>
    </row>
    <row r="6064" spans="1:8" x14ac:dyDescent="0.3">
      <c r="A6064" s="22" t="s">
        <v>64</v>
      </c>
      <c r="B6064" t="s">
        <v>67</v>
      </c>
      <c r="C6064" s="30">
        <v>10.21428571428571</v>
      </c>
      <c r="D6064" s="30">
        <v>9</v>
      </c>
      <c r="E6064" s="30">
        <v>1</v>
      </c>
      <c r="F6064" s="30">
        <v>20</v>
      </c>
      <c r="G6064">
        <v>14</v>
      </c>
      <c r="H6064">
        <v>15</v>
      </c>
    </row>
    <row r="6065" spans="1:8" x14ac:dyDescent="0.3">
      <c r="A6065" s="22" t="s">
        <v>64</v>
      </c>
      <c r="B6065" t="s">
        <v>68</v>
      </c>
      <c r="C6065" s="30">
        <v>10</v>
      </c>
      <c r="D6065" s="30">
        <v>10</v>
      </c>
      <c r="E6065" s="30">
        <v>10</v>
      </c>
      <c r="F6065" s="30">
        <v>10</v>
      </c>
      <c r="G6065">
        <v>1</v>
      </c>
      <c r="H6065">
        <v>15</v>
      </c>
    </row>
    <row r="6066" spans="1:8" x14ac:dyDescent="0.3">
      <c r="C6066" s="30"/>
      <c r="D6066" s="30"/>
      <c r="E6066" s="30"/>
      <c r="F6066" s="30"/>
    </row>
    <row r="6067" spans="1:8" x14ac:dyDescent="0.3">
      <c r="A6067"/>
      <c r="C6067" s="30"/>
      <c r="D6067" s="30"/>
      <c r="E6067" s="30"/>
      <c r="F6067" s="30"/>
    </row>
    <row r="6068" spans="1:8" x14ac:dyDescent="0.3">
      <c r="A6068"/>
      <c r="C6068" s="30"/>
      <c r="D6068" s="30"/>
      <c r="E6068" s="30"/>
      <c r="F6068" s="30"/>
    </row>
    <row r="6069" spans="1:8" x14ac:dyDescent="0.3">
      <c r="A6069"/>
      <c r="C6069" s="30"/>
      <c r="D6069" s="30"/>
      <c r="E6069" s="30"/>
      <c r="F6069" s="30"/>
    </row>
    <row r="6070" spans="1:8" x14ac:dyDescent="0.3">
      <c r="A6070"/>
      <c r="C6070" s="30"/>
      <c r="D6070" s="30"/>
      <c r="E6070" s="30"/>
      <c r="F6070" s="30"/>
    </row>
    <row r="6071" spans="1:8" ht="57.6" x14ac:dyDescent="0.3">
      <c r="A6071" s="22" t="s">
        <v>1355</v>
      </c>
      <c r="C6071" s="30"/>
      <c r="D6071" s="30"/>
      <c r="E6071" s="30"/>
      <c r="F6071" s="30"/>
    </row>
    <row r="6072" spans="1:8" x14ac:dyDescent="0.3">
      <c r="A6072" s="22" t="s">
        <v>57</v>
      </c>
      <c r="B6072" t="s">
        <v>66</v>
      </c>
      <c r="C6072" s="30" t="s">
        <v>58</v>
      </c>
      <c r="D6072" s="30" t="s">
        <v>59</v>
      </c>
      <c r="E6072" s="30" t="s">
        <v>60</v>
      </c>
      <c r="F6072" s="30" t="s">
        <v>61</v>
      </c>
      <c r="G6072" t="s">
        <v>62</v>
      </c>
      <c r="H6072" t="s">
        <v>63</v>
      </c>
    </row>
    <row r="6073" spans="1:8" x14ac:dyDescent="0.3">
      <c r="A6073" s="22" t="s">
        <v>64</v>
      </c>
      <c r="B6073" t="s">
        <v>67</v>
      </c>
      <c r="C6073" s="30">
        <v>9.5</v>
      </c>
      <c r="D6073" s="30">
        <v>9</v>
      </c>
      <c r="E6073" s="30">
        <v>1</v>
      </c>
      <c r="F6073" s="30">
        <v>20</v>
      </c>
      <c r="G6073">
        <v>14</v>
      </c>
      <c r="H6073">
        <v>15</v>
      </c>
    </row>
    <row r="6074" spans="1:8" x14ac:dyDescent="0.3">
      <c r="A6074" s="22" t="s">
        <v>64</v>
      </c>
      <c r="B6074" t="s">
        <v>68</v>
      </c>
      <c r="C6074" s="30">
        <v>20</v>
      </c>
      <c r="D6074" s="30">
        <v>20</v>
      </c>
      <c r="E6074" s="30">
        <v>20</v>
      </c>
      <c r="F6074" s="30">
        <v>20</v>
      </c>
      <c r="G6074">
        <v>1</v>
      </c>
      <c r="H6074">
        <v>15</v>
      </c>
    </row>
    <row r="6075" spans="1:8" x14ac:dyDescent="0.3">
      <c r="C6075" s="30"/>
      <c r="D6075" s="30"/>
      <c r="E6075" s="30"/>
      <c r="F6075" s="30"/>
    </row>
    <row r="6076" spans="1:8" ht="57.6" x14ac:dyDescent="0.3">
      <c r="A6076" s="22" t="s">
        <v>1356</v>
      </c>
      <c r="C6076" s="30"/>
      <c r="D6076" s="30"/>
      <c r="E6076" s="30"/>
      <c r="F6076" s="30"/>
    </row>
    <row r="6077" spans="1:8" x14ac:dyDescent="0.3">
      <c r="A6077" s="22" t="s">
        <v>57</v>
      </c>
      <c r="B6077" t="s">
        <v>66</v>
      </c>
      <c r="C6077" s="30" t="s">
        <v>58</v>
      </c>
      <c r="D6077" s="30" t="s">
        <v>59</v>
      </c>
      <c r="E6077" s="30" t="s">
        <v>60</v>
      </c>
      <c r="F6077" s="30" t="s">
        <v>61</v>
      </c>
      <c r="G6077" t="s">
        <v>62</v>
      </c>
      <c r="H6077" t="s">
        <v>63</v>
      </c>
    </row>
    <row r="6078" spans="1:8" x14ac:dyDescent="0.3">
      <c r="A6078" s="22" t="s">
        <v>64</v>
      </c>
      <c r="B6078" t="s">
        <v>67</v>
      </c>
      <c r="C6078" s="30">
        <v>10.199999999999999</v>
      </c>
      <c r="D6078" s="30">
        <v>10</v>
      </c>
      <c r="E6078" s="30">
        <v>1</v>
      </c>
      <c r="F6078" s="30">
        <v>20</v>
      </c>
      <c r="G6078">
        <v>15</v>
      </c>
      <c r="H6078">
        <v>15</v>
      </c>
    </row>
    <row r="6079" spans="1:8" x14ac:dyDescent="0.3">
      <c r="C6079" s="30"/>
      <c r="D6079" s="30"/>
      <c r="E6079" s="30"/>
      <c r="F6079" s="30"/>
    </row>
    <row r="6080" spans="1:8" ht="57.6" x14ac:dyDescent="0.3">
      <c r="A6080" s="22" t="s">
        <v>1357</v>
      </c>
      <c r="C6080" s="30"/>
      <c r="D6080" s="30"/>
      <c r="E6080" s="30"/>
      <c r="F6080" s="30"/>
    </row>
    <row r="6081" spans="1:8" x14ac:dyDescent="0.3">
      <c r="A6081" s="22" t="s">
        <v>57</v>
      </c>
      <c r="B6081" t="s">
        <v>66</v>
      </c>
      <c r="C6081" s="30" t="s">
        <v>58</v>
      </c>
      <c r="D6081" s="30" t="s">
        <v>59</v>
      </c>
      <c r="E6081" s="30" t="s">
        <v>60</v>
      </c>
      <c r="F6081" s="30" t="s">
        <v>61</v>
      </c>
      <c r="G6081" t="s">
        <v>62</v>
      </c>
      <c r="H6081" t="s">
        <v>63</v>
      </c>
    </row>
    <row r="6082" spans="1:8" x14ac:dyDescent="0.3">
      <c r="A6082" s="22" t="s">
        <v>64</v>
      </c>
      <c r="B6082" t="s">
        <v>67</v>
      </c>
      <c r="C6082" s="30">
        <v>9.5</v>
      </c>
      <c r="D6082" s="30">
        <v>9</v>
      </c>
      <c r="E6082" s="30">
        <v>1</v>
      </c>
      <c r="F6082" s="30">
        <v>20</v>
      </c>
      <c r="G6082">
        <v>14</v>
      </c>
      <c r="H6082">
        <v>15</v>
      </c>
    </row>
    <row r="6083" spans="1:8" x14ac:dyDescent="0.3">
      <c r="A6083" s="22" t="s">
        <v>64</v>
      </c>
      <c r="B6083" t="s">
        <v>68</v>
      </c>
      <c r="C6083" s="30">
        <v>20</v>
      </c>
      <c r="D6083" s="30">
        <v>20</v>
      </c>
      <c r="E6083" s="30">
        <v>20</v>
      </c>
      <c r="F6083" s="30">
        <v>20</v>
      </c>
      <c r="G6083">
        <v>1</v>
      </c>
      <c r="H6083">
        <v>15</v>
      </c>
    </row>
    <row r="6084" spans="1:8" x14ac:dyDescent="0.3">
      <c r="C6084" s="30"/>
      <c r="D6084" s="30"/>
      <c r="E6084" s="30"/>
      <c r="F6084" s="30"/>
    </row>
    <row r="6085" spans="1:8" ht="57.6" x14ac:dyDescent="0.3">
      <c r="A6085" s="22" t="s">
        <v>1358</v>
      </c>
      <c r="C6085" s="30"/>
      <c r="D6085" s="30"/>
      <c r="E6085" s="30"/>
      <c r="F6085" s="30"/>
    </row>
    <row r="6086" spans="1:8" x14ac:dyDescent="0.3">
      <c r="A6086" s="22" t="s">
        <v>57</v>
      </c>
      <c r="B6086" t="s">
        <v>66</v>
      </c>
      <c r="C6086" s="30" t="s">
        <v>58</v>
      </c>
      <c r="D6086" s="30" t="s">
        <v>59</v>
      </c>
      <c r="E6086" s="30" t="s">
        <v>60</v>
      </c>
      <c r="F6086" s="30" t="s">
        <v>61</v>
      </c>
      <c r="G6086" t="s">
        <v>62</v>
      </c>
      <c r="H6086" t="s">
        <v>63</v>
      </c>
    </row>
    <row r="6087" spans="1:8" x14ac:dyDescent="0.3">
      <c r="A6087" s="22" t="s">
        <v>64</v>
      </c>
      <c r="B6087" t="s">
        <v>68</v>
      </c>
      <c r="C6087" s="30">
        <v>10.199999999999999</v>
      </c>
      <c r="D6087" s="30">
        <v>10</v>
      </c>
      <c r="E6087" s="30">
        <v>1</v>
      </c>
      <c r="F6087" s="30">
        <v>20</v>
      </c>
      <c r="G6087">
        <v>15</v>
      </c>
      <c r="H6087">
        <v>15</v>
      </c>
    </row>
    <row r="6088" spans="1:8" x14ac:dyDescent="0.3">
      <c r="C6088" s="30"/>
      <c r="D6088" s="30"/>
      <c r="E6088" s="30"/>
      <c r="F6088" s="30"/>
    </row>
    <row r="6089" spans="1:8" ht="57.6" x14ac:dyDescent="0.3">
      <c r="A6089" s="22" t="s">
        <v>1359</v>
      </c>
      <c r="C6089" s="30"/>
      <c r="D6089" s="30"/>
      <c r="E6089" s="30"/>
      <c r="F6089" s="30"/>
    </row>
    <row r="6090" spans="1:8" x14ac:dyDescent="0.3">
      <c r="A6090" s="22" t="s">
        <v>57</v>
      </c>
      <c r="B6090" t="s">
        <v>66</v>
      </c>
      <c r="C6090" s="30" t="s">
        <v>58</v>
      </c>
      <c r="D6090" s="30" t="s">
        <v>59</v>
      </c>
      <c r="E6090" s="30" t="s">
        <v>60</v>
      </c>
      <c r="F6090" s="30" t="s">
        <v>61</v>
      </c>
      <c r="G6090" t="s">
        <v>62</v>
      </c>
      <c r="H6090" t="s">
        <v>63</v>
      </c>
    </row>
    <row r="6091" spans="1:8" x14ac:dyDescent="0.3">
      <c r="A6091" s="22" t="s">
        <v>64</v>
      </c>
      <c r="B6091" t="s">
        <v>67</v>
      </c>
      <c r="C6091" s="30">
        <v>10.571428571428569</v>
      </c>
      <c r="D6091" s="30">
        <v>10</v>
      </c>
      <c r="E6091" s="30">
        <v>1</v>
      </c>
      <c r="F6091" s="30">
        <v>20</v>
      </c>
      <c r="G6091">
        <v>14</v>
      </c>
      <c r="H6091">
        <v>15</v>
      </c>
    </row>
    <row r="6092" spans="1:8" x14ac:dyDescent="0.3">
      <c r="A6092" s="22" t="s">
        <v>64</v>
      </c>
      <c r="B6092" t="s">
        <v>68</v>
      </c>
      <c r="C6092" s="30">
        <v>5</v>
      </c>
      <c r="D6092" s="30">
        <v>5</v>
      </c>
      <c r="E6092" s="30">
        <v>5</v>
      </c>
      <c r="F6092" s="30">
        <v>5</v>
      </c>
      <c r="G6092">
        <v>1</v>
      </c>
      <c r="H6092">
        <v>15</v>
      </c>
    </row>
    <row r="6093" spans="1:8" x14ac:dyDescent="0.3">
      <c r="C6093" s="30"/>
      <c r="D6093" s="30"/>
      <c r="E6093" s="30"/>
      <c r="F6093" s="30"/>
    </row>
    <row r="6094" spans="1:8" ht="57.6" x14ac:dyDescent="0.3">
      <c r="A6094" s="22" t="s">
        <v>1360</v>
      </c>
      <c r="C6094" s="30"/>
      <c r="D6094" s="30"/>
      <c r="E6094" s="30"/>
      <c r="F6094" s="30"/>
    </row>
    <row r="6095" spans="1:8" x14ac:dyDescent="0.3">
      <c r="A6095" s="22" t="s">
        <v>57</v>
      </c>
      <c r="B6095" t="s">
        <v>66</v>
      </c>
      <c r="C6095" s="30" t="s">
        <v>58</v>
      </c>
      <c r="D6095" s="30" t="s">
        <v>59</v>
      </c>
      <c r="E6095" s="30" t="s">
        <v>60</v>
      </c>
      <c r="F6095" s="30" t="s">
        <v>61</v>
      </c>
      <c r="G6095" t="s">
        <v>62</v>
      </c>
      <c r="H6095" t="s">
        <v>63</v>
      </c>
    </row>
    <row r="6096" spans="1:8" x14ac:dyDescent="0.3">
      <c r="A6096" s="22" t="s">
        <v>64</v>
      </c>
      <c r="B6096" t="s">
        <v>67</v>
      </c>
      <c r="C6096" s="30">
        <v>10.09090909090909</v>
      </c>
      <c r="D6096" s="30">
        <v>10</v>
      </c>
      <c r="E6096" s="30">
        <v>1</v>
      </c>
      <c r="F6096" s="30">
        <v>20</v>
      </c>
      <c r="G6096">
        <v>11</v>
      </c>
      <c r="H6096">
        <v>15</v>
      </c>
    </row>
    <row r="6097" spans="1:8" x14ac:dyDescent="0.3">
      <c r="A6097" s="22" t="s">
        <v>64</v>
      </c>
      <c r="B6097" t="s">
        <v>68</v>
      </c>
      <c r="C6097" s="30">
        <v>10.5</v>
      </c>
      <c r="D6097" s="30">
        <v>10</v>
      </c>
      <c r="E6097" s="30">
        <v>2</v>
      </c>
      <c r="F6097" s="30">
        <v>20</v>
      </c>
      <c r="G6097">
        <v>4</v>
      </c>
      <c r="H6097">
        <v>15</v>
      </c>
    </row>
    <row r="6098" spans="1:8" x14ac:dyDescent="0.3">
      <c r="C6098" s="30"/>
      <c r="D6098" s="30"/>
      <c r="E6098" s="30"/>
      <c r="F6098" s="30"/>
    </row>
    <row r="6099" spans="1:8" ht="57.6" x14ac:dyDescent="0.3">
      <c r="A6099" s="22" t="s">
        <v>1361</v>
      </c>
      <c r="C6099" s="30"/>
      <c r="D6099" s="30"/>
      <c r="E6099" s="30"/>
      <c r="F6099" s="30"/>
    </row>
    <row r="6100" spans="1:8" x14ac:dyDescent="0.3">
      <c r="A6100" s="22" t="s">
        <v>57</v>
      </c>
      <c r="B6100" t="s">
        <v>66</v>
      </c>
      <c r="C6100" s="30" t="s">
        <v>58</v>
      </c>
      <c r="D6100" s="30" t="s">
        <v>59</v>
      </c>
      <c r="E6100" s="30" t="s">
        <v>60</v>
      </c>
      <c r="F6100" s="30" t="s">
        <v>61</v>
      </c>
      <c r="G6100" t="s">
        <v>62</v>
      </c>
      <c r="H6100" t="s">
        <v>63</v>
      </c>
    </row>
    <row r="6101" spans="1:8" x14ac:dyDescent="0.3">
      <c r="A6101" s="22" t="s">
        <v>64</v>
      </c>
      <c r="B6101" t="s">
        <v>67</v>
      </c>
      <c r="C6101" s="30">
        <v>10.66666666666667</v>
      </c>
      <c r="D6101" s="30">
        <v>10</v>
      </c>
      <c r="E6101" s="30">
        <v>1</v>
      </c>
      <c r="F6101" s="30">
        <v>20</v>
      </c>
      <c r="G6101">
        <v>9</v>
      </c>
      <c r="H6101">
        <v>15</v>
      </c>
    </row>
    <row r="6102" spans="1:8" x14ac:dyDescent="0.3">
      <c r="A6102" s="22" t="s">
        <v>64</v>
      </c>
      <c r="B6102" t="s">
        <v>68</v>
      </c>
      <c r="C6102" s="30">
        <v>9.5</v>
      </c>
      <c r="D6102" s="30">
        <v>9</v>
      </c>
      <c r="E6102" s="30">
        <v>1</v>
      </c>
      <c r="F6102" s="30">
        <v>20</v>
      </c>
      <c r="G6102">
        <v>6</v>
      </c>
      <c r="H6102">
        <v>15</v>
      </c>
    </row>
    <row r="6103" spans="1:8" x14ac:dyDescent="0.3">
      <c r="C6103" s="30"/>
      <c r="D6103" s="30"/>
      <c r="E6103" s="30"/>
      <c r="F6103" s="30"/>
    </row>
    <row r="6104" spans="1:8" ht="72" x14ac:dyDescent="0.3">
      <c r="A6104" s="22" t="s">
        <v>1362</v>
      </c>
      <c r="C6104" s="30"/>
      <c r="D6104" s="30"/>
      <c r="E6104" s="30"/>
      <c r="F6104" s="30"/>
    </row>
    <row r="6105" spans="1:8" x14ac:dyDescent="0.3">
      <c r="A6105" s="22" t="s">
        <v>57</v>
      </c>
      <c r="B6105" t="s">
        <v>66</v>
      </c>
      <c r="C6105" s="30" t="s">
        <v>58</v>
      </c>
      <c r="D6105" s="30" t="s">
        <v>59</v>
      </c>
      <c r="E6105" s="30" t="s">
        <v>60</v>
      </c>
      <c r="F6105" s="30" t="s">
        <v>61</v>
      </c>
      <c r="G6105" t="s">
        <v>62</v>
      </c>
      <c r="H6105" t="s">
        <v>63</v>
      </c>
    </row>
    <row r="6106" spans="1:8" x14ac:dyDescent="0.3">
      <c r="A6106" s="22" t="s">
        <v>64</v>
      </c>
      <c r="B6106" t="s">
        <v>67</v>
      </c>
      <c r="C6106" s="30">
        <v>10.199999999999999</v>
      </c>
      <c r="D6106" s="30">
        <v>10</v>
      </c>
      <c r="E6106" s="30">
        <v>1</v>
      </c>
      <c r="F6106" s="30">
        <v>20</v>
      </c>
      <c r="G6106">
        <v>15</v>
      </c>
      <c r="H6106">
        <v>15</v>
      </c>
    </row>
    <row r="6107" spans="1:8" x14ac:dyDescent="0.3">
      <c r="C6107" s="30"/>
      <c r="D6107" s="30"/>
      <c r="E6107" s="30"/>
      <c r="F6107" s="30"/>
    </row>
    <row r="6108" spans="1:8" ht="72" x14ac:dyDescent="0.3">
      <c r="A6108" s="22" t="s">
        <v>1363</v>
      </c>
      <c r="C6108" s="30"/>
      <c r="D6108" s="30"/>
      <c r="E6108" s="30"/>
      <c r="F6108" s="30"/>
    </row>
    <row r="6109" spans="1:8" x14ac:dyDescent="0.3">
      <c r="A6109" s="22" t="s">
        <v>57</v>
      </c>
      <c r="B6109" t="s">
        <v>66</v>
      </c>
      <c r="C6109" s="30" t="s">
        <v>58</v>
      </c>
      <c r="D6109" s="30" t="s">
        <v>59</v>
      </c>
      <c r="E6109" s="30" t="s">
        <v>60</v>
      </c>
      <c r="F6109" s="30" t="s">
        <v>61</v>
      </c>
      <c r="G6109" t="s">
        <v>62</v>
      </c>
      <c r="H6109" t="s">
        <v>63</v>
      </c>
    </row>
    <row r="6110" spans="1:8" x14ac:dyDescent="0.3">
      <c r="A6110" s="22" t="s">
        <v>64</v>
      </c>
      <c r="B6110" t="s">
        <v>67</v>
      </c>
      <c r="C6110" s="30">
        <v>10.199999999999999</v>
      </c>
      <c r="D6110" s="30">
        <v>10</v>
      </c>
      <c r="E6110" s="30">
        <v>1</v>
      </c>
      <c r="F6110" s="30">
        <v>20</v>
      </c>
      <c r="G6110">
        <v>15</v>
      </c>
      <c r="H6110">
        <v>15</v>
      </c>
    </row>
    <row r="6111" spans="1:8" x14ac:dyDescent="0.3">
      <c r="C6111" s="30"/>
      <c r="D6111" s="30"/>
      <c r="E6111" s="30"/>
      <c r="F6111" s="30"/>
    </row>
    <row r="6112" spans="1:8" ht="57.6" x14ac:dyDescent="0.3">
      <c r="A6112" s="22" t="s">
        <v>1364</v>
      </c>
      <c r="C6112" s="30"/>
      <c r="D6112" s="30"/>
      <c r="E6112" s="30"/>
      <c r="F6112" s="30"/>
    </row>
    <row r="6113" spans="1:8" x14ac:dyDescent="0.3">
      <c r="A6113" s="22" t="s">
        <v>57</v>
      </c>
      <c r="B6113" t="s">
        <v>66</v>
      </c>
      <c r="C6113" s="30" t="s">
        <v>58</v>
      </c>
      <c r="D6113" s="30" t="s">
        <v>59</v>
      </c>
      <c r="E6113" s="30" t="s">
        <v>60</v>
      </c>
      <c r="F6113" s="30" t="s">
        <v>61</v>
      </c>
      <c r="G6113" t="s">
        <v>62</v>
      </c>
      <c r="H6113" t="s">
        <v>63</v>
      </c>
    </row>
    <row r="6114" spans="1:8" x14ac:dyDescent="0.3">
      <c r="A6114" s="22" t="s">
        <v>64</v>
      </c>
      <c r="B6114" t="s">
        <v>67</v>
      </c>
      <c r="C6114" s="30">
        <v>11</v>
      </c>
      <c r="D6114" s="30">
        <v>9</v>
      </c>
      <c r="E6114" s="30">
        <v>1</v>
      </c>
      <c r="F6114" s="30">
        <v>20</v>
      </c>
      <c r="G6114">
        <v>10</v>
      </c>
      <c r="H6114">
        <v>15</v>
      </c>
    </row>
    <row r="6115" spans="1:8" x14ac:dyDescent="0.3">
      <c r="A6115" s="22" t="s">
        <v>64</v>
      </c>
      <c r="B6115" t="s">
        <v>68</v>
      </c>
      <c r="C6115" s="30">
        <v>8.6</v>
      </c>
      <c r="D6115" s="30">
        <v>10</v>
      </c>
      <c r="E6115" s="30">
        <v>1</v>
      </c>
      <c r="F6115" s="30">
        <v>20</v>
      </c>
      <c r="G6115">
        <v>5</v>
      </c>
      <c r="H6115">
        <v>15</v>
      </c>
    </row>
    <row r="6116" spans="1:8" x14ac:dyDescent="0.3">
      <c r="C6116" s="30"/>
      <c r="D6116" s="30"/>
      <c r="E6116" s="30"/>
      <c r="F6116" s="30"/>
    </row>
    <row r="6117" spans="1:8" ht="72" x14ac:dyDescent="0.3">
      <c r="A6117" s="22" t="s">
        <v>1365</v>
      </c>
      <c r="C6117" s="30"/>
      <c r="D6117" s="30"/>
      <c r="E6117" s="30"/>
      <c r="F6117" s="30"/>
    </row>
    <row r="6118" spans="1:8" x14ac:dyDescent="0.3">
      <c r="A6118" s="22" t="s">
        <v>57</v>
      </c>
      <c r="B6118" t="s">
        <v>66</v>
      </c>
      <c r="C6118" s="30" t="s">
        <v>58</v>
      </c>
      <c r="D6118" s="30" t="s">
        <v>59</v>
      </c>
      <c r="E6118" s="30" t="s">
        <v>60</v>
      </c>
      <c r="F6118" s="30" t="s">
        <v>61</v>
      </c>
      <c r="G6118" t="s">
        <v>62</v>
      </c>
      <c r="H6118" t="s">
        <v>63</v>
      </c>
    </row>
    <row r="6119" spans="1:8" x14ac:dyDescent="0.3">
      <c r="A6119" s="22" t="s">
        <v>64</v>
      </c>
      <c r="B6119" t="s">
        <v>67</v>
      </c>
      <c r="C6119" s="30">
        <v>10.28571428571429</v>
      </c>
      <c r="D6119" s="30">
        <v>10</v>
      </c>
      <c r="E6119" s="30">
        <v>1</v>
      </c>
      <c r="F6119" s="30">
        <v>20</v>
      </c>
      <c r="G6119">
        <v>14</v>
      </c>
      <c r="H6119">
        <v>15</v>
      </c>
    </row>
    <row r="6120" spans="1:8" x14ac:dyDescent="0.3">
      <c r="A6120" s="22" t="s">
        <v>64</v>
      </c>
      <c r="B6120" t="s">
        <v>68</v>
      </c>
      <c r="C6120" s="30">
        <v>9</v>
      </c>
      <c r="D6120" s="30">
        <v>9</v>
      </c>
      <c r="E6120" s="30">
        <v>9</v>
      </c>
      <c r="F6120" s="30">
        <v>9</v>
      </c>
      <c r="G6120">
        <v>1</v>
      </c>
      <c r="H6120">
        <v>15</v>
      </c>
    </row>
    <row r="6121" spans="1:8" x14ac:dyDescent="0.3">
      <c r="C6121" s="30"/>
      <c r="D6121" s="30"/>
      <c r="E6121" s="30"/>
      <c r="F6121" s="30"/>
    </row>
    <row r="6122" spans="1:8" ht="43.2" x14ac:dyDescent="0.3">
      <c r="A6122" s="27" t="s">
        <v>1366</v>
      </c>
      <c r="C6122" s="30"/>
      <c r="D6122" s="30"/>
      <c r="E6122" s="30"/>
      <c r="F6122" s="30"/>
    </row>
    <row r="6123" spans="1:8" x14ac:dyDescent="0.3">
      <c r="A6123" s="22" t="s">
        <v>57</v>
      </c>
      <c r="B6123" t="s">
        <v>66</v>
      </c>
      <c r="C6123" s="30" t="s">
        <v>58</v>
      </c>
      <c r="D6123" s="30" t="s">
        <v>59</v>
      </c>
      <c r="E6123" s="30" t="s">
        <v>60</v>
      </c>
      <c r="F6123" s="30" t="s">
        <v>61</v>
      </c>
      <c r="G6123" t="s">
        <v>62</v>
      </c>
      <c r="H6123" t="s">
        <v>63</v>
      </c>
    </row>
    <row r="6124" spans="1:8" x14ac:dyDescent="0.3">
      <c r="A6124" s="22" t="s">
        <v>64</v>
      </c>
      <c r="B6124" t="s">
        <v>81</v>
      </c>
      <c r="C6124" s="30">
        <v>10.75</v>
      </c>
      <c r="D6124" s="30">
        <v>8</v>
      </c>
      <c r="E6124" s="30">
        <v>5</v>
      </c>
      <c r="F6124" s="30">
        <v>20</v>
      </c>
      <c r="G6124">
        <v>4</v>
      </c>
      <c r="H6124">
        <v>15</v>
      </c>
    </row>
    <row r="6125" spans="1:8" x14ac:dyDescent="0.3">
      <c r="A6125" s="22" t="s">
        <v>64</v>
      </c>
      <c r="B6125" t="s">
        <v>82</v>
      </c>
      <c r="C6125" s="30">
        <v>16.333333333333329</v>
      </c>
      <c r="D6125" s="30">
        <v>20</v>
      </c>
      <c r="E6125" s="30">
        <v>9</v>
      </c>
      <c r="F6125" s="30">
        <v>20</v>
      </c>
      <c r="G6125">
        <v>3</v>
      </c>
      <c r="H6125">
        <v>15</v>
      </c>
    </row>
    <row r="6126" spans="1:8" x14ac:dyDescent="0.3">
      <c r="A6126" s="22" t="s">
        <v>64</v>
      </c>
      <c r="B6126" t="s">
        <v>83</v>
      </c>
      <c r="C6126" s="30">
        <v>8</v>
      </c>
      <c r="D6126" s="30">
        <v>10</v>
      </c>
      <c r="E6126" s="30">
        <v>1</v>
      </c>
      <c r="F6126" s="30">
        <v>20</v>
      </c>
      <c r="G6126">
        <v>5</v>
      </c>
      <c r="H6126">
        <v>15</v>
      </c>
    </row>
    <row r="6127" spans="1:8" x14ac:dyDescent="0.3">
      <c r="A6127" s="22" t="s">
        <v>64</v>
      </c>
      <c r="B6127" t="s">
        <v>84</v>
      </c>
      <c r="C6127" s="30">
        <v>7</v>
      </c>
      <c r="D6127" s="30">
        <v>10</v>
      </c>
      <c r="E6127" s="30">
        <v>1</v>
      </c>
      <c r="F6127" s="30">
        <v>10</v>
      </c>
      <c r="G6127">
        <v>3</v>
      </c>
      <c r="H6127">
        <v>15</v>
      </c>
    </row>
    <row r="6128" spans="1:8" x14ac:dyDescent="0.3">
      <c r="C6128" s="30"/>
      <c r="D6128" s="30"/>
      <c r="E6128" s="30"/>
      <c r="F6128" s="30"/>
    </row>
    <row r="6129" spans="1:8" ht="43.2" x14ac:dyDescent="0.3">
      <c r="A6129" s="27" t="s">
        <v>1367</v>
      </c>
      <c r="C6129" s="30"/>
      <c r="D6129" s="30"/>
      <c r="E6129" s="30"/>
      <c r="F6129" s="30"/>
    </row>
    <row r="6130" spans="1:8" x14ac:dyDescent="0.3">
      <c r="A6130" s="22" t="s">
        <v>57</v>
      </c>
      <c r="B6130" t="s">
        <v>58</v>
      </c>
      <c r="C6130" t="s">
        <v>59</v>
      </c>
      <c r="D6130" t="s">
        <v>60</v>
      </c>
      <c r="E6130" t="s">
        <v>61</v>
      </c>
      <c r="F6130" t="s">
        <v>62</v>
      </c>
      <c r="G6130" t="s">
        <v>63</v>
      </c>
    </row>
    <row r="6131" spans="1:8" x14ac:dyDescent="0.3">
      <c r="A6131" s="22" t="s">
        <v>64</v>
      </c>
      <c r="B6131" s="29">
        <v>8.32</v>
      </c>
      <c r="C6131" s="29">
        <v>6</v>
      </c>
      <c r="D6131" s="29">
        <v>1</v>
      </c>
      <c r="E6131" s="29">
        <v>25</v>
      </c>
      <c r="F6131">
        <v>25</v>
      </c>
      <c r="G6131">
        <v>25</v>
      </c>
    </row>
    <row r="6133" spans="1:8" ht="57.6" x14ac:dyDescent="0.3">
      <c r="A6133" s="22" t="s">
        <v>1368</v>
      </c>
    </row>
    <row r="6134" spans="1:8" x14ac:dyDescent="0.3">
      <c r="A6134" s="22" t="s">
        <v>57</v>
      </c>
      <c r="B6134" t="s">
        <v>66</v>
      </c>
      <c r="C6134" s="30" t="s">
        <v>58</v>
      </c>
      <c r="D6134" s="30" t="s">
        <v>59</v>
      </c>
      <c r="E6134" s="30" t="s">
        <v>60</v>
      </c>
      <c r="F6134" s="30" t="s">
        <v>61</v>
      </c>
      <c r="G6134" t="s">
        <v>62</v>
      </c>
      <c r="H6134" t="s">
        <v>63</v>
      </c>
    </row>
    <row r="6135" spans="1:8" x14ac:dyDescent="0.3">
      <c r="A6135" s="22" t="s">
        <v>64</v>
      </c>
      <c r="B6135" t="s">
        <v>67</v>
      </c>
      <c r="C6135" s="30">
        <v>8.0416666666666661</v>
      </c>
      <c r="D6135" s="30">
        <v>5</v>
      </c>
      <c r="E6135" s="30">
        <v>1</v>
      </c>
      <c r="F6135" s="30">
        <v>25</v>
      </c>
      <c r="G6135">
        <v>24</v>
      </c>
      <c r="H6135">
        <v>25</v>
      </c>
    </row>
    <row r="6136" spans="1:8" x14ac:dyDescent="0.3">
      <c r="A6136" s="22" t="s">
        <v>64</v>
      </c>
      <c r="B6136" t="s">
        <v>68</v>
      </c>
      <c r="C6136" s="30">
        <v>15</v>
      </c>
      <c r="D6136" s="30">
        <v>15</v>
      </c>
      <c r="E6136" s="30">
        <v>15</v>
      </c>
      <c r="F6136" s="30">
        <v>15</v>
      </c>
      <c r="G6136">
        <v>1</v>
      </c>
      <c r="H6136">
        <v>25</v>
      </c>
    </row>
    <row r="6137" spans="1:8" x14ac:dyDescent="0.3">
      <c r="C6137" s="30"/>
      <c r="D6137" s="30"/>
      <c r="E6137" s="30"/>
      <c r="F6137" s="30"/>
    </row>
    <row r="6138" spans="1:8" x14ac:dyDescent="0.3">
      <c r="A6138"/>
      <c r="C6138" s="30"/>
      <c r="D6138" s="30"/>
      <c r="E6138" s="30"/>
      <c r="F6138" s="30"/>
    </row>
    <row r="6139" spans="1:8" x14ac:dyDescent="0.3">
      <c r="A6139"/>
      <c r="C6139" s="30"/>
      <c r="D6139" s="30"/>
      <c r="E6139" s="30"/>
      <c r="F6139" s="30"/>
    </row>
    <row r="6140" spans="1:8" x14ac:dyDescent="0.3">
      <c r="A6140"/>
      <c r="C6140" s="30"/>
      <c r="D6140" s="30"/>
      <c r="E6140" s="30"/>
      <c r="F6140" s="30"/>
    </row>
    <row r="6141" spans="1:8" x14ac:dyDescent="0.3">
      <c r="C6141" s="30"/>
      <c r="D6141" s="30"/>
      <c r="E6141" s="30"/>
      <c r="F6141" s="30"/>
    </row>
    <row r="6142" spans="1:8" ht="57.6" x14ac:dyDescent="0.3">
      <c r="A6142" s="22" t="s">
        <v>1369</v>
      </c>
      <c r="C6142" s="30"/>
      <c r="D6142" s="30"/>
      <c r="E6142" s="30"/>
      <c r="F6142" s="30"/>
    </row>
    <row r="6143" spans="1:8" x14ac:dyDescent="0.3">
      <c r="A6143" s="22" t="s">
        <v>57</v>
      </c>
      <c r="B6143" t="s">
        <v>66</v>
      </c>
      <c r="C6143" s="30" t="s">
        <v>58</v>
      </c>
      <c r="D6143" s="30" t="s">
        <v>59</v>
      </c>
      <c r="E6143" s="30" t="s">
        <v>60</v>
      </c>
      <c r="F6143" s="30" t="s">
        <v>61</v>
      </c>
      <c r="G6143" t="s">
        <v>62</v>
      </c>
      <c r="H6143" t="s">
        <v>63</v>
      </c>
    </row>
    <row r="6144" spans="1:8" x14ac:dyDescent="0.3">
      <c r="A6144" s="22" t="s">
        <v>64</v>
      </c>
      <c r="B6144" t="s">
        <v>67</v>
      </c>
      <c r="C6144" s="30">
        <v>8.545454545454545</v>
      </c>
      <c r="D6144" s="30">
        <v>6</v>
      </c>
      <c r="E6144" s="30">
        <v>1</v>
      </c>
      <c r="F6144" s="30">
        <v>25</v>
      </c>
      <c r="G6144">
        <v>22</v>
      </c>
      <c r="H6144">
        <v>25</v>
      </c>
    </row>
    <row r="6145" spans="1:8" x14ac:dyDescent="0.3">
      <c r="A6145" s="22" t="s">
        <v>64</v>
      </c>
      <c r="B6145" t="s">
        <v>68</v>
      </c>
      <c r="C6145" s="30">
        <v>6.666666666666667</v>
      </c>
      <c r="D6145" s="30">
        <v>10</v>
      </c>
      <c r="E6145" s="30">
        <v>5</v>
      </c>
      <c r="F6145" s="30">
        <v>10</v>
      </c>
      <c r="G6145">
        <v>3</v>
      </c>
      <c r="H6145">
        <v>25</v>
      </c>
    </row>
    <row r="6146" spans="1:8" x14ac:dyDescent="0.3">
      <c r="C6146" s="30"/>
      <c r="D6146" s="30"/>
      <c r="E6146" s="30"/>
      <c r="F6146" s="30"/>
    </row>
    <row r="6147" spans="1:8" ht="57.6" x14ac:dyDescent="0.3">
      <c r="A6147" s="22" t="s">
        <v>1370</v>
      </c>
      <c r="C6147" s="30"/>
      <c r="D6147" s="30"/>
      <c r="E6147" s="30"/>
      <c r="F6147" s="30"/>
    </row>
    <row r="6148" spans="1:8" x14ac:dyDescent="0.3">
      <c r="A6148" s="22" t="s">
        <v>57</v>
      </c>
      <c r="B6148" t="s">
        <v>66</v>
      </c>
      <c r="C6148" s="30" t="s">
        <v>58</v>
      </c>
      <c r="D6148" s="30" t="s">
        <v>59</v>
      </c>
      <c r="E6148" s="30" t="s">
        <v>60</v>
      </c>
      <c r="F6148" s="30" t="s">
        <v>61</v>
      </c>
      <c r="G6148" t="s">
        <v>62</v>
      </c>
      <c r="H6148" t="s">
        <v>63</v>
      </c>
    </row>
    <row r="6149" spans="1:8" x14ac:dyDescent="0.3">
      <c r="A6149" s="22" t="s">
        <v>64</v>
      </c>
      <c r="B6149" t="s">
        <v>67</v>
      </c>
      <c r="C6149" s="30">
        <v>8.32</v>
      </c>
      <c r="D6149" s="30">
        <v>6</v>
      </c>
      <c r="E6149" s="30">
        <v>1</v>
      </c>
      <c r="F6149" s="30">
        <v>25</v>
      </c>
      <c r="G6149">
        <v>25</v>
      </c>
      <c r="H6149">
        <v>25</v>
      </c>
    </row>
    <row r="6150" spans="1:8" x14ac:dyDescent="0.3">
      <c r="C6150" s="30"/>
      <c r="D6150" s="30"/>
      <c r="E6150" s="30"/>
      <c r="F6150" s="30"/>
    </row>
    <row r="6151" spans="1:8" ht="57.6" x14ac:dyDescent="0.3">
      <c r="A6151" s="22" t="s">
        <v>1371</v>
      </c>
      <c r="C6151" s="30"/>
      <c r="D6151" s="30"/>
      <c r="E6151" s="30"/>
      <c r="F6151" s="30"/>
    </row>
    <row r="6152" spans="1:8" x14ac:dyDescent="0.3">
      <c r="A6152" s="22" t="s">
        <v>57</v>
      </c>
      <c r="B6152" t="s">
        <v>66</v>
      </c>
      <c r="C6152" s="30" t="s">
        <v>58</v>
      </c>
      <c r="D6152" s="30" t="s">
        <v>59</v>
      </c>
      <c r="E6152" s="30" t="s">
        <v>60</v>
      </c>
      <c r="F6152" s="30" t="s">
        <v>61</v>
      </c>
      <c r="G6152" t="s">
        <v>62</v>
      </c>
      <c r="H6152" t="s">
        <v>63</v>
      </c>
    </row>
    <row r="6153" spans="1:8" x14ac:dyDescent="0.3">
      <c r="A6153" s="22" t="s">
        <v>64</v>
      </c>
      <c r="B6153" t="s">
        <v>67</v>
      </c>
      <c r="C6153" s="30">
        <v>8.7391304347826093</v>
      </c>
      <c r="D6153" s="30">
        <v>8</v>
      </c>
      <c r="E6153" s="30">
        <v>2</v>
      </c>
      <c r="F6153" s="30">
        <v>25</v>
      </c>
      <c r="G6153">
        <v>23</v>
      </c>
      <c r="H6153">
        <v>25</v>
      </c>
    </row>
    <row r="6154" spans="1:8" x14ac:dyDescent="0.3">
      <c r="A6154" s="22" t="s">
        <v>64</v>
      </c>
      <c r="B6154" t="s">
        <v>68</v>
      </c>
      <c r="C6154" s="30">
        <v>3.5</v>
      </c>
      <c r="D6154" s="30">
        <v>1</v>
      </c>
      <c r="E6154" s="30">
        <v>1</v>
      </c>
      <c r="F6154" s="30">
        <v>6</v>
      </c>
      <c r="G6154">
        <v>2</v>
      </c>
      <c r="H6154">
        <v>25</v>
      </c>
    </row>
    <row r="6155" spans="1:8" x14ac:dyDescent="0.3">
      <c r="C6155" s="30"/>
      <c r="D6155" s="30"/>
      <c r="E6155" s="30"/>
      <c r="F6155" s="30"/>
    </row>
    <row r="6156" spans="1:8" ht="57.6" x14ac:dyDescent="0.3">
      <c r="A6156" s="22" t="s">
        <v>1372</v>
      </c>
      <c r="C6156" s="30"/>
      <c r="D6156" s="30"/>
      <c r="E6156" s="30"/>
      <c r="F6156" s="30"/>
    </row>
    <row r="6157" spans="1:8" x14ac:dyDescent="0.3">
      <c r="A6157" s="22" t="s">
        <v>57</v>
      </c>
      <c r="B6157" t="s">
        <v>66</v>
      </c>
      <c r="C6157" s="30" t="s">
        <v>58</v>
      </c>
      <c r="D6157" s="30" t="s">
        <v>59</v>
      </c>
      <c r="E6157" s="30" t="s">
        <v>60</v>
      </c>
      <c r="F6157" s="30" t="s">
        <v>61</v>
      </c>
      <c r="G6157" t="s">
        <v>62</v>
      </c>
      <c r="H6157" t="s">
        <v>63</v>
      </c>
    </row>
    <row r="6158" spans="1:8" x14ac:dyDescent="0.3">
      <c r="A6158" s="22" t="s">
        <v>64</v>
      </c>
      <c r="B6158" t="s">
        <v>67</v>
      </c>
      <c r="C6158" s="30">
        <v>12.5</v>
      </c>
      <c r="D6158" s="30">
        <v>10</v>
      </c>
      <c r="E6158" s="30">
        <v>10</v>
      </c>
      <c r="F6158" s="30">
        <v>15</v>
      </c>
      <c r="G6158">
        <v>2</v>
      </c>
      <c r="H6158">
        <v>25</v>
      </c>
    </row>
    <row r="6159" spans="1:8" x14ac:dyDescent="0.3">
      <c r="A6159" s="22" t="s">
        <v>64</v>
      </c>
      <c r="B6159" t="s">
        <v>68</v>
      </c>
      <c r="C6159" s="30">
        <v>7.9565217391304346</v>
      </c>
      <c r="D6159" s="30">
        <v>6</v>
      </c>
      <c r="E6159" s="30">
        <v>1</v>
      </c>
      <c r="F6159" s="30">
        <v>25</v>
      </c>
      <c r="G6159">
        <v>23</v>
      </c>
      <c r="H6159">
        <v>25</v>
      </c>
    </row>
    <row r="6160" spans="1:8" x14ac:dyDescent="0.3">
      <c r="C6160" s="30"/>
      <c r="D6160" s="30"/>
      <c r="E6160" s="30"/>
      <c r="F6160" s="30"/>
    </row>
    <row r="6161" spans="1:8" ht="57.6" x14ac:dyDescent="0.3">
      <c r="A6161" s="22" t="s">
        <v>1373</v>
      </c>
      <c r="C6161" s="30"/>
      <c r="D6161" s="30"/>
      <c r="E6161" s="30"/>
      <c r="F6161" s="30"/>
    </row>
    <row r="6162" spans="1:8" x14ac:dyDescent="0.3">
      <c r="A6162" s="22" t="s">
        <v>57</v>
      </c>
      <c r="B6162" t="s">
        <v>66</v>
      </c>
      <c r="C6162" s="30" t="s">
        <v>58</v>
      </c>
      <c r="D6162" s="30" t="s">
        <v>59</v>
      </c>
      <c r="E6162" s="30" t="s">
        <v>60</v>
      </c>
      <c r="F6162" s="30" t="s">
        <v>61</v>
      </c>
      <c r="G6162" t="s">
        <v>62</v>
      </c>
      <c r="H6162" t="s">
        <v>63</v>
      </c>
    </row>
    <row r="6163" spans="1:8" x14ac:dyDescent="0.3">
      <c r="A6163" s="22" t="s">
        <v>64</v>
      </c>
      <c r="B6163" t="s">
        <v>67</v>
      </c>
      <c r="C6163" s="30">
        <v>7.9</v>
      </c>
      <c r="D6163" s="30">
        <v>5</v>
      </c>
      <c r="E6163" s="30">
        <v>1</v>
      </c>
      <c r="F6163" s="30">
        <v>20</v>
      </c>
      <c r="G6163">
        <v>20</v>
      </c>
      <c r="H6163">
        <v>25</v>
      </c>
    </row>
    <row r="6164" spans="1:8" x14ac:dyDescent="0.3">
      <c r="A6164" s="22" t="s">
        <v>64</v>
      </c>
      <c r="B6164" t="s">
        <v>68</v>
      </c>
      <c r="C6164" s="30">
        <v>10</v>
      </c>
      <c r="D6164" s="30">
        <v>10</v>
      </c>
      <c r="E6164" s="30">
        <v>4</v>
      </c>
      <c r="F6164" s="30">
        <v>25</v>
      </c>
      <c r="G6164">
        <v>5</v>
      </c>
      <c r="H6164">
        <v>25</v>
      </c>
    </row>
    <row r="6165" spans="1:8" x14ac:dyDescent="0.3">
      <c r="C6165" s="30"/>
      <c r="D6165" s="30"/>
      <c r="E6165" s="30"/>
      <c r="F6165" s="30"/>
    </row>
    <row r="6166" spans="1:8" ht="57.6" x14ac:dyDescent="0.3">
      <c r="A6166" s="22" t="s">
        <v>1374</v>
      </c>
      <c r="C6166" s="30"/>
      <c r="D6166" s="30"/>
      <c r="E6166" s="30"/>
      <c r="F6166" s="30"/>
    </row>
    <row r="6167" spans="1:8" x14ac:dyDescent="0.3">
      <c r="A6167" s="22" t="s">
        <v>57</v>
      </c>
      <c r="B6167" t="s">
        <v>66</v>
      </c>
      <c r="C6167" s="30" t="s">
        <v>58</v>
      </c>
      <c r="D6167" s="30" t="s">
        <v>59</v>
      </c>
      <c r="E6167" s="30" t="s">
        <v>60</v>
      </c>
      <c r="F6167" s="30" t="s">
        <v>61</v>
      </c>
      <c r="G6167" t="s">
        <v>62</v>
      </c>
      <c r="H6167" t="s">
        <v>63</v>
      </c>
    </row>
    <row r="6168" spans="1:8" x14ac:dyDescent="0.3">
      <c r="A6168" s="22" t="s">
        <v>64</v>
      </c>
      <c r="B6168" t="s">
        <v>67</v>
      </c>
      <c r="C6168" s="30">
        <v>7.9523809523809534</v>
      </c>
      <c r="D6168" s="30">
        <v>6</v>
      </c>
      <c r="E6168" s="30">
        <v>1</v>
      </c>
      <c r="F6168" s="30">
        <v>25</v>
      </c>
      <c r="G6168">
        <v>21</v>
      </c>
      <c r="H6168">
        <v>25</v>
      </c>
    </row>
    <row r="6169" spans="1:8" x14ac:dyDescent="0.3">
      <c r="A6169" s="22" t="s">
        <v>64</v>
      </c>
      <c r="B6169" t="s">
        <v>68</v>
      </c>
      <c r="C6169" s="30">
        <v>10.25</v>
      </c>
      <c r="D6169" s="30">
        <v>6</v>
      </c>
      <c r="E6169" s="30">
        <v>5</v>
      </c>
      <c r="F6169" s="30">
        <v>20</v>
      </c>
      <c r="G6169">
        <v>4</v>
      </c>
      <c r="H6169">
        <v>25</v>
      </c>
    </row>
    <row r="6170" spans="1:8" x14ac:dyDescent="0.3">
      <c r="C6170" s="30"/>
      <c r="D6170" s="30"/>
      <c r="E6170" s="30"/>
      <c r="F6170" s="30"/>
    </row>
    <row r="6171" spans="1:8" ht="57.6" x14ac:dyDescent="0.3">
      <c r="A6171" s="22" t="s">
        <v>1375</v>
      </c>
      <c r="C6171" s="30"/>
      <c r="D6171" s="30"/>
      <c r="E6171" s="30"/>
      <c r="F6171" s="30"/>
    </row>
    <row r="6172" spans="1:8" x14ac:dyDescent="0.3">
      <c r="A6172" s="22" t="s">
        <v>57</v>
      </c>
      <c r="B6172" t="s">
        <v>66</v>
      </c>
      <c r="C6172" s="30" t="s">
        <v>58</v>
      </c>
      <c r="D6172" s="30" t="s">
        <v>59</v>
      </c>
      <c r="E6172" s="30" t="s">
        <v>60</v>
      </c>
      <c r="F6172" s="30" t="s">
        <v>61</v>
      </c>
      <c r="G6172" t="s">
        <v>62</v>
      </c>
      <c r="H6172" t="s">
        <v>63</v>
      </c>
    </row>
    <row r="6173" spans="1:8" x14ac:dyDescent="0.3">
      <c r="A6173" s="22" t="s">
        <v>64</v>
      </c>
      <c r="B6173" t="s">
        <v>67</v>
      </c>
      <c r="C6173" s="30">
        <v>7.75</v>
      </c>
      <c r="D6173" s="30">
        <v>5</v>
      </c>
      <c r="E6173" s="30">
        <v>1</v>
      </c>
      <c r="F6173" s="30">
        <v>25</v>
      </c>
      <c r="G6173">
        <v>20</v>
      </c>
      <c r="H6173">
        <v>25</v>
      </c>
    </row>
    <row r="6174" spans="1:8" x14ac:dyDescent="0.3">
      <c r="A6174" s="22" t="s">
        <v>64</v>
      </c>
      <c r="B6174" t="s">
        <v>68</v>
      </c>
      <c r="C6174" s="30">
        <v>10.6</v>
      </c>
      <c r="D6174" s="30">
        <v>15</v>
      </c>
      <c r="E6174" s="30">
        <v>2</v>
      </c>
      <c r="F6174" s="30">
        <v>20</v>
      </c>
      <c r="G6174">
        <v>5</v>
      </c>
      <c r="H6174">
        <v>25</v>
      </c>
    </row>
    <row r="6175" spans="1:8" x14ac:dyDescent="0.3">
      <c r="C6175" s="30"/>
      <c r="D6175" s="30"/>
      <c r="E6175" s="30"/>
      <c r="F6175" s="30"/>
    </row>
    <row r="6176" spans="1:8" ht="72" x14ac:dyDescent="0.3">
      <c r="A6176" s="22" t="s">
        <v>1376</v>
      </c>
      <c r="C6176" s="30"/>
      <c r="D6176" s="30"/>
      <c r="E6176" s="30"/>
      <c r="F6176" s="30"/>
    </row>
    <row r="6177" spans="1:8" x14ac:dyDescent="0.3">
      <c r="A6177" s="22" t="s">
        <v>57</v>
      </c>
      <c r="B6177" t="s">
        <v>66</v>
      </c>
      <c r="C6177" s="30" t="s">
        <v>58</v>
      </c>
      <c r="D6177" s="30" t="s">
        <v>59</v>
      </c>
      <c r="E6177" s="30" t="s">
        <v>60</v>
      </c>
      <c r="F6177" s="30" t="s">
        <v>61</v>
      </c>
      <c r="G6177" t="s">
        <v>62</v>
      </c>
      <c r="H6177" t="s">
        <v>63</v>
      </c>
    </row>
    <row r="6178" spans="1:8" x14ac:dyDescent="0.3">
      <c r="A6178" s="22" t="s">
        <v>64</v>
      </c>
      <c r="B6178" t="s">
        <v>67</v>
      </c>
      <c r="C6178" s="30">
        <v>8.4210526315789469</v>
      </c>
      <c r="D6178" s="30">
        <v>6</v>
      </c>
      <c r="E6178" s="30">
        <v>2</v>
      </c>
      <c r="F6178" s="30">
        <v>25</v>
      </c>
      <c r="G6178">
        <v>19</v>
      </c>
      <c r="H6178">
        <v>25</v>
      </c>
    </row>
    <row r="6179" spans="1:8" x14ac:dyDescent="0.3">
      <c r="A6179" s="22" t="s">
        <v>64</v>
      </c>
      <c r="B6179" t="s">
        <v>68</v>
      </c>
      <c r="C6179" s="30">
        <v>8</v>
      </c>
      <c r="D6179" s="30">
        <v>5</v>
      </c>
      <c r="E6179" s="30">
        <v>1</v>
      </c>
      <c r="F6179" s="30">
        <v>15</v>
      </c>
      <c r="G6179">
        <v>6</v>
      </c>
      <c r="H6179">
        <v>25</v>
      </c>
    </row>
    <row r="6180" spans="1:8" x14ac:dyDescent="0.3">
      <c r="C6180" s="30"/>
      <c r="D6180" s="30"/>
      <c r="E6180" s="30"/>
      <c r="F6180" s="30"/>
    </row>
    <row r="6181" spans="1:8" ht="72" x14ac:dyDescent="0.3">
      <c r="A6181" s="22" t="s">
        <v>1377</v>
      </c>
      <c r="C6181" s="30"/>
      <c r="D6181" s="30"/>
      <c r="E6181" s="30"/>
      <c r="F6181" s="30"/>
    </row>
    <row r="6182" spans="1:8" x14ac:dyDescent="0.3">
      <c r="A6182" s="22" t="s">
        <v>57</v>
      </c>
      <c r="B6182" t="s">
        <v>66</v>
      </c>
      <c r="C6182" s="30" t="s">
        <v>58</v>
      </c>
      <c r="D6182" s="30" t="s">
        <v>59</v>
      </c>
      <c r="E6182" s="30" t="s">
        <v>60</v>
      </c>
      <c r="F6182" s="30" t="s">
        <v>61</v>
      </c>
      <c r="G6182" t="s">
        <v>62</v>
      </c>
      <c r="H6182" t="s">
        <v>63</v>
      </c>
    </row>
    <row r="6183" spans="1:8" x14ac:dyDescent="0.3">
      <c r="A6183" s="22" t="s">
        <v>64</v>
      </c>
      <c r="B6183" t="s">
        <v>67</v>
      </c>
      <c r="C6183" s="30">
        <v>8.32</v>
      </c>
      <c r="D6183" s="30">
        <v>6</v>
      </c>
      <c r="E6183" s="30">
        <v>1</v>
      </c>
      <c r="F6183" s="30">
        <v>25</v>
      </c>
      <c r="G6183">
        <v>25</v>
      </c>
      <c r="H6183">
        <v>25</v>
      </c>
    </row>
    <row r="6184" spans="1:8" x14ac:dyDescent="0.3">
      <c r="C6184" s="30"/>
      <c r="D6184" s="30"/>
      <c r="E6184" s="30"/>
      <c r="F6184" s="30"/>
    </row>
    <row r="6185" spans="1:8" ht="57.6" x14ac:dyDescent="0.3">
      <c r="A6185" s="22" t="s">
        <v>1378</v>
      </c>
      <c r="C6185" s="30"/>
      <c r="D6185" s="30"/>
      <c r="E6185" s="30"/>
      <c r="F6185" s="30"/>
    </row>
    <row r="6186" spans="1:8" x14ac:dyDescent="0.3">
      <c r="A6186" s="22" t="s">
        <v>57</v>
      </c>
      <c r="B6186" t="s">
        <v>66</v>
      </c>
      <c r="C6186" s="30" t="s">
        <v>58</v>
      </c>
      <c r="D6186" s="30" t="s">
        <v>59</v>
      </c>
      <c r="E6186" s="30" t="s">
        <v>60</v>
      </c>
      <c r="F6186" s="30" t="s">
        <v>61</v>
      </c>
      <c r="G6186" t="s">
        <v>62</v>
      </c>
      <c r="H6186" t="s">
        <v>63</v>
      </c>
    </row>
    <row r="6187" spans="1:8" x14ac:dyDescent="0.3">
      <c r="A6187" s="22" t="s">
        <v>64</v>
      </c>
      <c r="B6187" t="s">
        <v>67</v>
      </c>
      <c r="C6187" s="30">
        <v>8.8125</v>
      </c>
      <c r="D6187" s="30">
        <v>6</v>
      </c>
      <c r="E6187" s="30">
        <v>2</v>
      </c>
      <c r="F6187" s="30">
        <v>25</v>
      </c>
      <c r="G6187">
        <v>16</v>
      </c>
      <c r="H6187">
        <v>25</v>
      </c>
    </row>
    <row r="6188" spans="1:8" x14ac:dyDescent="0.3">
      <c r="A6188" s="22" t="s">
        <v>64</v>
      </c>
      <c r="B6188" t="s">
        <v>68</v>
      </c>
      <c r="C6188" s="30">
        <v>7.4444444444444446</v>
      </c>
      <c r="D6188" s="30">
        <v>10</v>
      </c>
      <c r="E6188" s="30">
        <v>1</v>
      </c>
      <c r="F6188" s="30">
        <v>15</v>
      </c>
      <c r="G6188">
        <v>9</v>
      </c>
      <c r="H6188">
        <v>25</v>
      </c>
    </row>
    <row r="6189" spans="1:8" x14ac:dyDescent="0.3">
      <c r="C6189" s="30"/>
      <c r="D6189" s="30"/>
      <c r="E6189" s="30"/>
      <c r="F6189" s="30"/>
    </row>
    <row r="6190" spans="1:8" ht="72" x14ac:dyDescent="0.3">
      <c r="A6190" s="22" t="s">
        <v>1379</v>
      </c>
      <c r="C6190" s="30"/>
      <c r="D6190" s="30"/>
      <c r="E6190" s="30"/>
      <c r="F6190" s="30"/>
    </row>
    <row r="6191" spans="1:8" x14ac:dyDescent="0.3">
      <c r="A6191" s="22" t="s">
        <v>57</v>
      </c>
      <c r="B6191" t="s">
        <v>66</v>
      </c>
      <c r="C6191" s="30" t="s">
        <v>58</v>
      </c>
      <c r="D6191" s="30" t="s">
        <v>59</v>
      </c>
      <c r="E6191" s="30" t="s">
        <v>60</v>
      </c>
      <c r="F6191" s="30" t="s">
        <v>61</v>
      </c>
      <c r="G6191" t="s">
        <v>62</v>
      </c>
      <c r="H6191" t="s">
        <v>63</v>
      </c>
    </row>
    <row r="6192" spans="1:8" x14ac:dyDescent="0.3">
      <c r="A6192" s="22" t="s">
        <v>64</v>
      </c>
      <c r="B6192" t="s">
        <v>67</v>
      </c>
      <c r="C6192" s="30">
        <v>9.0952380952380949</v>
      </c>
      <c r="D6192" s="30">
        <v>10</v>
      </c>
      <c r="E6192" s="30">
        <v>1</v>
      </c>
      <c r="F6192" s="30">
        <v>25</v>
      </c>
      <c r="G6192">
        <v>21</v>
      </c>
      <c r="H6192">
        <v>25</v>
      </c>
    </row>
    <row r="6193" spans="1:8" x14ac:dyDescent="0.3">
      <c r="A6193" s="22" t="s">
        <v>64</v>
      </c>
      <c r="B6193" t="s">
        <v>68</v>
      </c>
      <c r="C6193" s="30">
        <v>4.25</v>
      </c>
      <c r="D6193" s="30">
        <v>4</v>
      </c>
      <c r="E6193" s="30">
        <v>2</v>
      </c>
      <c r="F6193" s="30">
        <v>6</v>
      </c>
      <c r="G6193">
        <v>4</v>
      </c>
      <c r="H6193">
        <v>25</v>
      </c>
    </row>
    <row r="6194" spans="1:8" x14ac:dyDescent="0.3">
      <c r="C6194" s="30"/>
      <c r="D6194" s="30"/>
      <c r="E6194" s="30"/>
      <c r="F6194" s="30"/>
    </row>
    <row r="6195" spans="1:8" ht="43.2" x14ac:dyDescent="0.3">
      <c r="A6195" s="27" t="s">
        <v>1380</v>
      </c>
      <c r="C6195" s="30"/>
      <c r="D6195" s="30"/>
      <c r="E6195" s="30"/>
      <c r="F6195" s="30"/>
    </row>
    <row r="6196" spans="1:8" x14ac:dyDescent="0.3">
      <c r="A6196" s="22" t="s">
        <v>57</v>
      </c>
      <c r="B6196" t="s">
        <v>66</v>
      </c>
      <c r="C6196" s="30" t="s">
        <v>58</v>
      </c>
      <c r="D6196" s="30" t="s">
        <v>59</v>
      </c>
      <c r="E6196" s="30" t="s">
        <v>60</v>
      </c>
      <c r="F6196" s="30" t="s">
        <v>61</v>
      </c>
      <c r="G6196" t="s">
        <v>62</v>
      </c>
      <c r="H6196" t="s">
        <v>63</v>
      </c>
    </row>
    <row r="6197" spans="1:8" x14ac:dyDescent="0.3">
      <c r="A6197" s="22" t="s">
        <v>64</v>
      </c>
      <c r="B6197" t="s">
        <v>81</v>
      </c>
      <c r="C6197" s="30">
        <v>9.75</v>
      </c>
      <c r="D6197" s="30">
        <v>10</v>
      </c>
      <c r="E6197" s="30">
        <v>4</v>
      </c>
      <c r="F6197" s="30">
        <v>15</v>
      </c>
      <c r="G6197">
        <v>4</v>
      </c>
      <c r="H6197">
        <v>25</v>
      </c>
    </row>
    <row r="6198" spans="1:8" x14ac:dyDescent="0.3">
      <c r="A6198" s="22" t="s">
        <v>64</v>
      </c>
      <c r="B6198" t="s">
        <v>82</v>
      </c>
      <c r="C6198" s="30">
        <v>10.71428571428571</v>
      </c>
      <c r="D6198" s="30">
        <v>10</v>
      </c>
      <c r="E6198" s="30">
        <v>5</v>
      </c>
      <c r="F6198" s="30">
        <v>25</v>
      </c>
      <c r="G6198">
        <v>7</v>
      </c>
      <c r="H6198">
        <v>25</v>
      </c>
    </row>
    <row r="6199" spans="1:8" x14ac:dyDescent="0.3">
      <c r="A6199" s="22" t="s">
        <v>64</v>
      </c>
      <c r="B6199" t="s">
        <v>83</v>
      </c>
      <c r="C6199" s="30">
        <v>6.666666666666667</v>
      </c>
      <c r="D6199" s="30">
        <v>5</v>
      </c>
      <c r="E6199" s="30">
        <v>2</v>
      </c>
      <c r="F6199" s="30">
        <v>15</v>
      </c>
      <c r="G6199">
        <v>6</v>
      </c>
      <c r="H6199">
        <v>25</v>
      </c>
    </row>
    <row r="6200" spans="1:8" x14ac:dyDescent="0.3">
      <c r="A6200" s="22" t="s">
        <v>64</v>
      </c>
      <c r="B6200" t="s">
        <v>84</v>
      </c>
      <c r="C6200" s="30">
        <v>6.75</v>
      </c>
      <c r="D6200" s="30">
        <v>6</v>
      </c>
      <c r="E6200" s="30">
        <v>1</v>
      </c>
      <c r="F6200" s="30">
        <v>15</v>
      </c>
      <c r="G6200">
        <v>8</v>
      </c>
      <c r="H6200">
        <v>25</v>
      </c>
    </row>
    <row r="6202" spans="1:8" ht="43.2" x14ac:dyDescent="0.3">
      <c r="A6202" s="27" t="s">
        <v>1381</v>
      </c>
    </row>
    <row r="6203" spans="1:8" x14ac:dyDescent="0.3">
      <c r="A6203" s="22" t="s">
        <v>57</v>
      </c>
      <c r="B6203" t="s">
        <v>58</v>
      </c>
      <c r="C6203" t="s">
        <v>59</v>
      </c>
      <c r="D6203" t="s">
        <v>60</v>
      </c>
      <c r="E6203" t="s">
        <v>61</v>
      </c>
      <c r="F6203" t="s">
        <v>62</v>
      </c>
      <c r="G6203" t="s">
        <v>63</v>
      </c>
    </row>
    <row r="6204" spans="1:8" x14ac:dyDescent="0.3">
      <c r="A6204" s="22" t="s">
        <v>64</v>
      </c>
      <c r="B6204" s="29">
        <v>39.700000000000003</v>
      </c>
      <c r="C6204" s="29">
        <v>20</v>
      </c>
      <c r="D6204" s="29">
        <v>7</v>
      </c>
      <c r="E6204" s="29">
        <v>100</v>
      </c>
      <c r="F6204">
        <v>10</v>
      </c>
      <c r="G6204">
        <v>10</v>
      </c>
    </row>
    <row r="6206" spans="1:8" ht="57.6" x14ac:dyDescent="0.3">
      <c r="A6206" s="22" t="s">
        <v>1382</v>
      </c>
    </row>
    <row r="6207" spans="1:8" x14ac:dyDescent="0.3">
      <c r="A6207" s="22" t="s">
        <v>57</v>
      </c>
      <c r="B6207" t="s">
        <v>66</v>
      </c>
      <c r="C6207" s="29" t="s">
        <v>58</v>
      </c>
      <c r="D6207" s="29" t="s">
        <v>59</v>
      </c>
      <c r="E6207" s="29" t="s">
        <v>60</v>
      </c>
      <c r="F6207" s="29" t="s">
        <v>61</v>
      </c>
      <c r="G6207" t="s">
        <v>62</v>
      </c>
      <c r="H6207" t="s">
        <v>63</v>
      </c>
    </row>
    <row r="6208" spans="1:8" x14ac:dyDescent="0.3">
      <c r="A6208" s="22" t="s">
        <v>64</v>
      </c>
      <c r="B6208" t="s">
        <v>67</v>
      </c>
      <c r="C6208" s="29">
        <v>39.700000000000003</v>
      </c>
      <c r="D6208" s="29">
        <v>20</v>
      </c>
      <c r="E6208" s="29">
        <v>7</v>
      </c>
      <c r="F6208" s="29">
        <v>100</v>
      </c>
      <c r="G6208">
        <v>10</v>
      </c>
      <c r="H6208">
        <v>10</v>
      </c>
    </row>
    <row r="6209" spans="1:8" x14ac:dyDescent="0.3">
      <c r="C6209" s="29"/>
      <c r="D6209" s="29"/>
      <c r="E6209" s="29"/>
      <c r="F6209" s="29"/>
    </row>
    <row r="6210" spans="1:8" x14ac:dyDescent="0.3">
      <c r="A6210"/>
      <c r="C6210" s="29"/>
      <c r="D6210" s="29"/>
      <c r="E6210" s="29"/>
      <c r="F6210" s="29"/>
    </row>
    <row r="6211" spans="1:8" x14ac:dyDescent="0.3">
      <c r="A6211"/>
      <c r="C6211" s="29"/>
      <c r="D6211" s="29"/>
      <c r="E6211" s="29"/>
      <c r="F6211" s="29"/>
    </row>
    <row r="6212" spans="1:8" x14ac:dyDescent="0.3">
      <c r="A6212"/>
      <c r="C6212" s="29"/>
      <c r="D6212" s="29"/>
      <c r="E6212" s="29"/>
      <c r="F6212" s="29"/>
    </row>
    <row r="6213" spans="1:8" x14ac:dyDescent="0.3">
      <c r="C6213" s="29"/>
      <c r="D6213" s="29"/>
      <c r="E6213" s="29"/>
      <c r="F6213" s="29"/>
    </row>
    <row r="6214" spans="1:8" ht="57.6" x14ac:dyDescent="0.3">
      <c r="A6214" s="22" t="s">
        <v>1383</v>
      </c>
      <c r="C6214" s="29"/>
      <c r="D6214" s="29"/>
      <c r="E6214" s="29"/>
      <c r="F6214" s="29"/>
    </row>
    <row r="6215" spans="1:8" x14ac:dyDescent="0.3">
      <c r="A6215" s="22" t="s">
        <v>57</v>
      </c>
      <c r="B6215" t="s">
        <v>66</v>
      </c>
      <c r="C6215" s="29" t="s">
        <v>58</v>
      </c>
      <c r="D6215" s="29" t="s">
        <v>59</v>
      </c>
      <c r="E6215" s="29" t="s">
        <v>60</v>
      </c>
      <c r="F6215" s="29" t="s">
        <v>61</v>
      </c>
      <c r="G6215" t="s">
        <v>62</v>
      </c>
      <c r="H6215" t="s">
        <v>63</v>
      </c>
    </row>
    <row r="6216" spans="1:8" x14ac:dyDescent="0.3">
      <c r="A6216" s="22" t="s">
        <v>64</v>
      </c>
      <c r="B6216" t="s">
        <v>67</v>
      </c>
      <c r="C6216" s="29">
        <v>39.700000000000003</v>
      </c>
      <c r="D6216" s="29">
        <v>20</v>
      </c>
      <c r="E6216" s="29">
        <v>7</v>
      </c>
      <c r="F6216" s="29">
        <v>100</v>
      </c>
      <c r="G6216">
        <v>10</v>
      </c>
      <c r="H6216">
        <v>10</v>
      </c>
    </row>
    <row r="6217" spans="1:8" x14ac:dyDescent="0.3">
      <c r="C6217" s="29"/>
      <c r="D6217" s="29"/>
      <c r="E6217" s="29"/>
      <c r="F6217" s="29"/>
    </row>
    <row r="6218" spans="1:8" ht="57.6" x14ac:dyDescent="0.3">
      <c r="A6218" s="22" t="s">
        <v>1384</v>
      </c>
      <c r="C6218" s="29"/>
      <c r="D6218" s="29"/>
      <c r="E6218" s="29"/>
      <c r="F6218" s="29"/>
    </row>
    <row r="6219" spans="1:8" x14ac:dyDescent="0.3">
      <c r="A6219" s="22" t="s">
        <v>57</v>
      </c>
      <c r="B6219" t="s">
        <v>66</v>
      </c>
      <c r="C6219" s="29" t="s">
        <v>58</v>
      </c>
      <c r="D6219" s="29" t="s">
        <v>59</v>
      </c>
      <c r="E6219" s="29" t="s">
        <v>60</v>
      </c>
      <c r="F6219" s="29" t="s">
        <v>61</v>
      </c>
      <c r="G6219" t="s">
        <v>62</v>
      </c>
      <c r="H6219" t="s">
        <v>63</v>
      </c>
    </row>
    <row r="6220" spans="1:8" x14ac:dyDescent="0.3">
      <c r="A6220" s="22" t="s">
        <v>64</v>
      </c>
      <c r="B6220" t="s">
        <v>67</v>
      </c>
      <c r="C6220" s="29">
        <v>39.700000000000003</v>
      </c>
      <c r="D6220" s="29">
        <v>20</v>
      </c>
      <c r="E6220" s="29">
        <v>7</v>
      </c>
      <c r="F6220" s="29">
        <v>100</v>
      </c>
      <c r="G6220">
        <v>10</v>
      </c>
      <c r="H6220">
        <v>10</v>
      </c>
    </row>
    <row r="6221" spans="1:8" x14ac:dyDescent="0.3">
      <c r="C6221" s="29"/>
      <c r="D6221" s="29"/>
      <c r="E6221" s="29"/>
      <c r="F6221" s="29"/>
    </row>
    <row r="6222" spans="1:8" ht="57.6" x14ac:dyDescent="0.3">
      <c r="A6222" s="22" t="s">
        <v>1385</v>
      </c>
      <c r="C6222" s="29"/>
      <c r="D6222" s="29"/>
      <c r="E6222" s="29"/>
      <c r="F6222" s="29"/>
    </row>
    <row r="6223" spans="1:8" x14ac:dyDescent="0.3">
      <c r="A6223" s="22" t="s">
        <v>57</v>
      </c>
      <c r="B6223" t="s">
        <v>66</v>
      </c>
      <c r="C6223" s="29" t="s">
        <v>58</v>
      </c>
      <c r="D6223" s="29" t="s">
        <v>59</v>
      </c>
      <c r="E6223" s="29" t="s">
        <v>60</v>
      </c>
      <c r="F6223" s="29" t="s">
        <v>61</v>
      </c>
      <c r="G6223" t="s">
        <v>62</v>
      </c>
      <c r="H6223" t="s">
        <v>63</v>
      </c>
    </row>
    <row r="6224" spans="1:8" x14ac:dyDescent="0.3">
      <c r="A6224" s="22" t="s">
        <v>64</v>
      </c>
      <c r="B6224" t="s">
        <v>67</v>
      </c>
      <c r="C6224" s="29">
        <v>45.625</v>
      </c>
      <c r="D6224" s="29">
        <v>20</v>
      </c>
      <c r="E6224" s="29">
        <v>8</v>
      </c>
      <c r="F6224" s="29">
        <v>100</v>
      </c>
      <c r="G6224">
        <v>8</v>
      </c>
      <c r="H6224">
        <v>10</v>
      </c>
    </row>
    <row r="6225" spans="1:8" x14ac:dyDescent="0.3">
      <c r="A6225" s="22" t="s">
        <v>64</v>
      </c>
      <c r="B6225" t="s">
        <v>68</v>
      </c>
      <c r="C6225" s="29">
        <v>16</v>
      </c>
      <c r="D6225" s="29">
        <v>7</v>
      </c>
      <c r="E6225" s="29">
        <v>7</v>
      </c>
      <c r="F6225" s="29">
        <v>25</v>
      </c>
      <c r="G6225">
        <v>2</v>
      </c>
      <c r="H6225">
        <v>10</v>
      </c>
    </row>
    <row r="6226" spans="1:8" x14ac:dyDescent="0.3">
      <c r="C6226" s="29"/>
      <c r="D6226" s="29"/>
      <c r="E6226" s="29"/>
      <c r="F6226" s="29"/>
    </row>
    <row r="6227" spans="1:8" ht="57.6" x14ac:dyDescent="0.3">
      <c r="A6227" s="22" t="s">
        <v>1386</v>
      </c>
      <c r="C6227" s="29"/>
      <c r="D6227" s="29"/>
      <c r="E6227" s="29"/>
      <c r="F6227" s="29"/>
    </row>
    <row r="6228" spans="1:8" x14ac:dyDescent="0.3">
      <c r="A6228" s="22" t="s">
        <v>57</v>
      </c>
      <c r="B6228" t="s">
        <v>66</v>
      </c>
      <c r="C6228" s="29" t="s">
        <v>58</v>
      </c>
      <c r="D6228" s="29" t="s">
        <v>59</v>
      </c>
      <c r="E6228" s="29" t="s">
        <v>60</v>
      </c>
      <c r="F6228" s="29" t="s">
        <v>61</v>
      </c>
      <c r="G6228" t="s">
        <v>62</v>
      </c>
      <c r="H6228" t="s">
        <v>63</v>
      </c>
    </row>
    <row r="6229" spans="1:8" x14ac:dyDescent="0.3">
      <c r="A6229" s="22" t="s">
        <v>64</v>
      </c>
      <c r="B6229" t="s">
        <v>68</v>
      </c>
      <c r="C6229" s="29">
        <v>39.700000000000003</v>
      </c>
      <c r="D6229" s="29">
        <v>20</v>
      </c>
      <c r="E6229" s="29">
        <v>7</v>
      </c>
      <c r="F6229" s="29">
        <v>100</v>
      </c>
      <c r="G6229">
        <v>10</v>
      </c>
      <c r="H6229">
        <v>10</v>
      </c>
    </row>
    <row r="6230" spans="1:8" x14ac:dyDescent="0.3">
      <c r="C6230" s="29"/>
      <c r="D6230" s="29"/>
      <c r="E6230" s="29"/>
      <c r="F6230" s="29"/>
    </row>
    <row r="6231" spans="1:8" ht="57.6" x14ac:dyDescent="0.3">
      <c r="A6231" s="22" t="s">
        <v>1387</v>
      </c>
      <c r="C6231" s="29"/>
      <c r="D6231" s="29"/>
      <c r="E6231" s="29"/>
      <c r="F6231" s="29"/>
    </row>
    <row r="6232" spans="1:8" x14ac:dyDescent="0.3">
      <c r="A6232" s="22" t="s">
        <v>57</v>
      </c>
      <c r="B6232" t="s">
        <v>66</v>
      </c>
      <c r="C6232" s="29" t="s">
        <v>58</v>
      </c>
      <c r="D6232" s="29" t="s">
        <v>59</v>
      </c>
      <c r="E6232" s="29" t="s">
        <v>60</v>
      </c>
      <c r="F6232" s="29" t="s">
        <v>61</v>
      </c>
      <c r="G6232" t="s">
        <v>62</v>
      </c>
      <c r="H6232" t="s">
        <v>63</v>
      </c>
    </row>
    <row r="6233" spans="1:8" x14ac:dyDescent="0.3">
      <c r="A6233" s="22" t="s">
        <v>64</v>
      </c>
      <c r="B6233" t="s">
        <v>67</v>
      </c>
      <c r="C6233" s="29">
        <v>33</v>
      </c>
      <c r="D6233" s="29">
        <v>25</v>
      </c>
      <c r="E6233" s="29">
        <v>7</v>
      </c>
      <c r="F6233" s="29">
        <v>80</v>
      </c>
      <c r="G6233">
        <v>9</v>
      </c>
      <c r="H6233">
        <v>10</v>
      </c>
    </row>
    <row r="6234" spans="1:8" x14ac:dyDescent="0.3">
      <c r="A6234" s="22" t="s">
        <v>64</v>
      </c>
      <c r="B6234" t="s">
        <v>68</v>
      </c>
      <c r="C6234" s="29">
        <v>100</v>
      </c>
      <c r="D6234" s="29">
        <v>100</v>
      </c>
      <c r="E6234" s="29">
        <v>100</v>
      </c>
      <c r="F6234" s="29">
        <v>100</v>
      </c>
      <c r="G6234">
        <v>1</v>
      </c>
      <c r="H6234">
        <v>10</v>
      </c>
    </row>
    <row r="6235" spans="1:8" x14ac:dyDescent="0.3">
      <c r="C6235" s="29"/>
      <c r="D6235" s="29"/>
      <c r="E6235" s="29"/>
      <c r="F6235" s="29"/>
    </row>
    <row r="6236" spans="1:8" ht="57.6" x14ac:dyDescent="0.3">
      <c r="A6236" s="22" t="s">
        <v>1388</v>
      </c>
      <c r="C6236" s="29"/>
      <c r="D6236" s="29"/>
      <c r="E6236" s="29"/>
      <c r="F6236" s="29"/>
    </row>
    <row r="6237" spans="1:8" x14ac:dyDescent="0.3">
      <c r="A6237" s="22" t="s">
        <v>57</v>
      </c>
      <c r="B6237" t="s">
        <v>66</v>
      </c>
      <c r="C6237" s="29" t="s">
        <v>58</v>
      </c>
      <c r="D6237" s="29" t="s">
        <v>59</v>
      </c>
      <c r="E6237" s="29" t="s">
        <v>60</v>
      </c>
      <c r="F6237" s="29" t="s">
        <v>61</v>
      </c>
      <c r="G6237" t="s">
        <v>62</v>
      </c>
      <c r="H6237" t="s">
        <v>63</v>
      </c>
    </row>
    <row r="6238" spans="1:8" x14ac:dyDescent="0.3">
      <c r="A6238" s="22" t="s">
        <v>64</v>
      </c>
      <c r="B6238" t="s">
        <v>67</v>
      </c>
      <c r="C6238" s="29">
        <v>38.333333333333343</v>
      </c>
      <c r="D6238" s="29">
        <v>20</v>
      </c>
      <c r="E6238" s="29">
        <v>8</v>
      </c>
      <c r="F6238" s="29">
        <v>100</v>
      </c>
      <c r="G6238">
        <v>6</v>
      </c>
      <c r="H6238">
        <v>10</v>
      </c>
    </row>
    <row r="6239" spans="1:8" x14ac:dyDescent="0.3">
      <c r="A6239" s="22" t="s">
        <v>64</v>
      </c>
      <c r="B6239" t="s">
        <v>68</v>
      </c>
      <c r="C6239" s="29">
        <v>41.75</v>
      </c>
      <c r="D6239" s="29">
        <v>20</v>
      </c>
      <c r="E6239" s="29">
        <v>7</v>
      </c>
      <c r="F6239" s="29">
        <v>80</v>
      </c>
      <c r="G6239">
        <v>4</v>
      </c>
      <c r="H6239">
        <v>10</v>
      </c>
    </row>
    <row r="6240" spans="1:8" x14ac:dyDescent="0.3">
      <c r="C6240" s="29"/>
      <c r="D6240" s="29"/>
      <c r="E6240" s="29"/>
      <c r="F6240" s="29"/>
    </row>
    <row r="6241" spans="1:8" ht="57.6" x14ac:dyDescent="0.3">
      <c r="A6241" s="22" t="s">
        <v>1389</v>
      </c>
      <c r="C6241" s="29"/>
      <c r="D6241" s="29"/>
      <c r="E6241" s="29"/>
      <c r="F6241" s="29"/>
    </row>
    <row r="6242" spans="1:8" x14ac:dyDescent="0.3">
      <c r="A6242" s="22" t="s">
        <v>57</v>
      </c>
      <c r="B6242" t="s">
        <v>66</v>
      </c>
      <c r="C6242" s="29" t="s">
        <v>58</v>
      </c>
      <c r="D6242" s="29" t="s">
        <v>59</v>
      </c>
      <c r="E6242" s="29" t="s">
        <v>60</v>
      </c>
      <c r="F6242" s="29" t="s">
        <v>61</v>
      </c>
      <c r="G6242" t="s">
        <v>62</v>
      </c>
      <c r="H6242" t="s">
        <v>63</v>
      </c>
    </row>
    <row r="6243" spans="1:8" x14ac:dyDescent="0.3">
      <c r="A6243" s="22" t="s">
        <v>64</v>
      </c>
      <c r="B6243" t="s">
        <v>67</v>
      </c>
      <c r="C6243" s="29">
        <v>38.333333333333343</v>
      </c>
      <c r="D6243" s="29">
        <v>20</v>
      </c>
      <c r="E6243" s="29">
        <v>8</v>
      </c>
      <c r="F6243" s="29">
        <v>100</v>
      </c>
      <c r="G6243">
        <v>6</v>
      </c>
      <c r="H6243">
        <v>10</v>
      </c>
    </row>
    <row r="6244" spans="1:8" x14ac:dyDescent="0.3">
      <c r="A6244" s="22" t="s">
        <v>64</v>
      </c>
      <c r="B6244" t="s">
        <v>68</v>
      </c>
      <c r="C6244" s="29">
        <v>41.75</v>
      </c>
      <c r="D6244" s="29">
        <v>20</v>
      </c>
      <c r="E6244" s="29">
        <v>7</v>
      </c>
      <c r="F6244" s="29">
        <v>80</v>
      </c>
      <c r="G6244">
        <v>4</v>
      </c>
      <c r="H6244">
        <v>10</v>
      </c>
    </row>
    <row r="6245" spans="1:8" x14ac:dyDescent="0.3">
      <c r="C6245" s="29"/>
      <c r="D6245" s="29"/>
      <c r="E6245" s="29"/>
      <c r="F6245" s="29"/>
    </row>
    <row r="6246" spans="1:8" ht="72" x14ac:dyDescent="0.3">
      <c r="A6246" s="22" t="s">
        <v>1390</v>
      </c>
      <c r="C6246" s="29"/>
      <c r="D6246" s="29"/>
      <c r="E6246" s="29"/>
      <c r="F6246" s="29"/>
    </row>
    <row r="6247" spans="1:8" x14ac:dyDescent="0.3">
      <c r="A6247" s="22" t="s">
        <v>57</v>
      </c>
      <c r="B6247" t="s">
        <v>66</v>
      </c>
      <c r="C6247" s="29" t="s">
        <v>58</v>
      </c>
      <c r="D6247" s="29" t="s">
        <v>59</v>
      </c>
      <c r="E6247" s="29" t="s">
        <v>60</v>
      </c>
      <c r="F6247" s="29" t="s">
        <v>61</v>
      </c>
      <c r="G6247" t="s">
        <v>62</v>
      </c>
      <c r="H6247" t="s">
        <v>63</v>
      </c>
    </row>
    <row r="6248" spans="1:8" x14ac:dyDescent="0.3">
      <c r="A6248" s="22" t="s">
        <v>64</v>
      </c>
      <c r="B6248" t="s">
        <v>67</v>
      </c>
      <c r="C6248" s="29">
        <v>41.333333333333343</v>
      </c>
      <c r="D6248" s="29">
        <v>60</v>
      </c>
      <c r="E6248" s="29">
        <v>7</v>
      </c>
      <c r="F6248" s="29">
        <v>100</v>
      </c>
      <c r="G6248">
        <v>9</v>
      </c>
      <c r="H6248">
        <v>10</v>
      </c>
    </row>
    <row r="6249" spans="1:8" x14ac:dyDescent="0.3">
      <c r="A6249" s="22" t="s">
        <v>64</v>
      </c>
      <c r="B6249" t="s">
        <v>68</v>
      </c>
      <c r="C6249" s="29">
        <v>25</v>
      </c>
      <c r="D6249" s="29">
        <v>25</v>
      </c>
      <c r="E6249" s="29">
        <v>25</v>
      </c>
      <c r="F6249" s="29">
        <v>25</v>
      </c>
      <c r="G6249">
        <v>1</v>
      </c>
      <c r="H6249">
        <v>10</v>
      </c>
    </row>
    <row r="6250" spans="1:8" x14ac:dyDescent="0.3">
      <c r="C6250" s="29"/>
      <c r="D6250" s="29"/>
      <c r="E6250" s="29"/>
      <c r="F6250" s="29"/>
    </row>
    <row r="6251" spans="1:8" ht="72" x14ac:dyDescent="0.3">
      <c r="A6251" s="22" t="s">
        <v>1391</v>
      </c>
      <c r="C6251" s="29"/>
      <c r="D6251" s="29"/>
      <c r="E6251" s="29"/>
      <c r="F6251" s="29"/>
    </row>
    <row r="6252" spans="1:8" x14ac:dyDescent="0.3">
      <c r="A6252" s="22" t="s">
        <v>57</v>
      </c>
      <c r="B6252" t="s">
        <v>66</v>
      </c>
      <c r="C6252" s="29" t="s">
        <v>58</v>
      </c>
      <c r="D6252" s="29" t="s">
        <v>59</v>
      </c>
      <c r="E6252" s="29" t="s">
        <v>60</v>
      </c>
      <c r="F6252" s="29" t="s">
        <v>61</v>
      </c>
      <c r="G6252" t="s">
        <v>62</v>
      </c>
      <c r="H6252" t="s">
        <v>63</v>
      </c>
    </row>
    <row r="6253" spans="1:8" x14ac:dyDescent="0.3">
      <c r="A6253" s="22" t="s">
        <v>64</v>
      </c>
      <c r="B6253" t="s">
        <v>67</v>
      </c>
      <c r="C6253" s="29">
        <v>39.700000000000003</v>
      </c>
      <c r="D6253" s="29">
        <v>20</v>
      </c>
      <c r="E6253" s="29">
        <v>7</v>
      </c>
      <c r="F6253" s="29">
        <v>100</v>
      </c>
      <c r="G6253">
        <v>10</v>
      </c>
      <c r="H6253">
        <v>10</v>
      </c>
    </row>
    <row r="6254" spans="1:8" x14ac:dyDescent="0.3">
      <c r="C6254" s="29"/>
      <c r="D6254" s="29"/>
      <c r="E6254" s="29"/>
      <c r="F6254" s="29"/>
    </row>
    <row r="6255" spans="1:8" ht="57.6" x14ac:dyDescent="0.3">
      <c r="A6255" s="22" t="s">
        <v>1392</v>
      </c>
      <c r="C6255" s="29"/>
      <c r="D6255" s="29"/>
      <c r="E6255" s="29"/>
      <c r="F6255" s="29"/>
    </row>
    <row r="6256" spans="1:8" x14ac:dyDescent="0.3">
      <c r="A6256" s="22" t="s">
        <v>57</v>
      </c>
      <c r="B6256" t="s">
        <v>66</v>
      </c>
      <c r="C6256" s="29" t="s">
        <v>58</v>
      </c>
      <c r="D6256" s="29" t="s">
        <v>59</v>
      </c>
      <c r="E6256" s="29" t="s">
        <v>60</v>
      </c>
      <c r="F6256" s="29" t="s">
        <v>61</v>
      </c>
      <c r="G6256" t="s">
        <v>62</v>
      </c>
      <c r="H6256" t="s">
        <v>63</v>
      </c>
    </row>
    <row r="6257" spans="1:8" x14ac:dyDescent="0.3">
      <c r="A6257" s="22" t="s">
        <v>64</v>
      </c>
      <c r="B6257" t="s">
        <v>67</v>
      </c>
      <c r="C6257" s="29">
        <v>38.666666666666657</v>
      </c>
      <c r="D6257" s="29">
        <v>17</v>
      </c>
      <c r="E6257" s="29">
        <v>7</v>
      </c>
      <c r="F6257" s="29">
        <v>100</v>
      </c>
      <c r="G6257">
        <v>6</v>
      </c>
      <c r="H6257">
        <v>10</v>
      </c>
    </row>
    <row r="6258" spans="1:8" x14ac:dyDescent="0.3">
      <c r="A6258" s="22" t="s">
        <v>64</v>
      </c>
      <c r="B6258" t="s">
        <v>68</v>
      </c>
      <c r="C6258" s="29">
        <v>41.25</v>
      </c>
      <c r="D6258" s="29">
        <v>25</v>
      </c>
      <c r="E6258" s="29">
        <v>20</v>
      </c>
      <c r="F6258" s="29">
        <v>60</v>
      </c>
      <c r="G6258">
        <v>4</v>
      </c>
      <c r="H6258">
        <v>10</v>
      </c>
    </row>
    <row r="6259" spans="1:8" x14ac:dyDescent="0.3">
      <c r="C6259" s="29"/>
      <c r="D6259" s="29"/>
      <c r="E6259" s="29"/>
      <c r="F6259" s="29"/>
    </row>
    <row r="6260" spans="1:8" ht="57.6" x14ac:dyDescent="0.3">
      <c r="A6260" s="22" t="s">
        <v>1393</v>
      </c>
      <c r="C6260" s="29"/>
      <c r="D6260" s="29"/>
      <c r="E6260" s="29"/>
      <c r="F6260" s="29"/>
    </row>
    <row r="6261" spans="1:8" x14ac:dyDescent="0.3">
      <c r="A6261" s="22" t="s">
        <v>57</v>
      </c>
      <c r="B6261" t="s">
        <v>66</v>
      </c>
      <c r="C6261" s="29" t="s">
        <v>58</v>
      </c>
      <c r="D6261" s="29" t="s">
        <v>59</v>
      </c>
      <c r="E6261" s="29" t="s">
        <v>60</v>
      </c>
      <c r="F6261" s="29" t="s">
        <v>61</v>
      </c>
      <c r="G6261" t="s">
        <v>62</v>
      </c>
      <c r="H6261" t="s">
        <v>63</v>
      </c>
    </row>
    <row r="6262" spans="1:8" x14ac:dyDescent="0.3">
      <c r="A6262" s="22" t="s">
        <v>64</v>
      </c>
      <c r="B6262" t="s">
        <v>67</v>
      </c>
      <c r="C6262" s="29">
        <v>34</v>
      </c>
      <c r="D6262" s="29">
        <v>20</v>
      </c>
      <c r="E6262" s="29">
        <v>7</v>
      </c>
      <c r="F6262" s="29">
        <v>80</v>
      </c>
      <c r="G6262">
        <v>8</v>
      </c>
      <c r="H6262">
        <v>10</v>
      </c>
    </row>
    <row r="6263" spans="1:8" x14ac:dyDescent="0.3">
      <c r="A6263" s="22" t="s">
        <v>64</v>
      </c>
      <c r="B6263" t="s">
        <v>68</v>
      </c>
      <c r="C6263" s="29">
        <v>62.5</v>
      </c>
      <c r="D6263" s="29">
        <v>25</v>
      </c>
      <c r="E6263" s="29">
        <v>25</v>
      </c>
      <c r="F6263" s="29">
        <v>100</v>
      </c>
      <c r="G6263">
        <v>2</v>
      </c>
      <c r="H6263">
        <v>10</v>
      </c>
    </row>
    <row r="6265" spans="1:8" ht="43.2" x14ac:dyDescent="0.3">
      <c r="A6265" s="27" t="s">
        <v>1394</v>
      </c>
    </row>
    <row r="6266" spans="1:8" x14ac:dyDescent="0.3">
      <c r="A6266" s="22" t="s">
        <v>57</v>
      </c>
      <c r="B6266" t="s">
        <v>66</v>
      </c>
      <c r="C6266" t="s">
        <v>58</v>
      </c>
      <c r="D6266" t="s">
        <v>59</v>
      </c>
      <c r="E6266" t="s">
        <v>60</v>
      </c>
      <c r="F6266" t="s">
        <v>61</v>
      </c>
      <c r="G6266" t="s">
        <v>62</v>
      </c>
      <c r="H6266" t="s">
        <v>63</v>
      </c>
    </row>
    <row r="6267" spans="1:8" x14ac:dyDescent="0.3">
      <c r="A6267" s="22" t="s">
        <v>64</v>
      </c>
      <c r="B6267" t="s">
        <v>81</v>
      </c>
      <c r="C6267" s="30">
        <v>14</v>
      </c>
      <c r="D6267" s="30">
        <v>8</v>
      </c>
      <c r="E6267" s="30">
        <v>8</v>
      </c>
      <c r="F6267" s="30">
        <v>20</v>
      </c>
      <c r="G6267">
        <v>2</v>
      </c>
      <c r="H6267">
        <v>10</v>
      </c>
    </row>
    <row r="6268" spans="1:8" x14ac:dyDescent="0.3">
      <c r="A6268" s="22" t="s">
        <v>64</v>
      </c>
      <c r="B6268" t="s">
        <v>82</v>
      </c>
      <c r="C6268" s="30">
        <v>44.25</v>
      </c>
      <c r="D6268" s="30">
        <v>20</v>
      </c>
      <c r="E6268" s="30">
        <v>17</v>
      </c>
      <c r="F6268" s="30">
        <v>80</v>
      </c>
      <c r="G6268">
        <v>4</v>
      </c>
      <c r="H6268">
        <v>10</v>
      </c>
    </row>
    <row r="6269" spans="1:8" x14ac:dyDescent="0.3">
      <c r="A6269" s="22" t="s">
        <v>64</v>
      </c>
      <c r="B6269" t="s">
        <v>83</v>
      </c>
      <c r="C6269" s="30">
        <v>100</v>
      </c>
      <c r="D6269" s="30">
        <v>100</v>
      </c>
      <c r="E6269" s="30">
        <v>100</v>
      </c>
      <c r="F6269" s="30">
        <v>100</v>
      </c>
      <c r="G6269">
        <v>1</v>
      </c>
      <c r="H6269">
        <v>10</v>
      </c>
    </row>
    <row r="6270" spans="1:8" x14ac:dyDescent="0.3">
      <c r="A6270" s="22" t="s">
        <v>64</v>
      </c>
      <c r="B6270" t="s">
        <v>84</v>
      </c>
      <c r="C6270" s="30">
        <v>30.666666666666671</v>
      </c>
      <c r="D6270" s="30">
        <v>60</v>
      </c>
      <c r="E6270" s="30">
        <v>7</v>
      </c>
      <c r="F6270" s="30">
        <v>60</v>
      </c>
      <c r="G6270">
        <v>3</v>
      </c>
      <c r="H6270">
        <v>10</v>
      </c>
    </row>
    <row r="6272" spans="1:8" ht="43.2" x14ac:dyDescent="0.3">
      <c r="A6272" s="27" t="s">
        <v>1395</v>
      </c>
    </row>
    <row r="6273" spans="1:23" x14ac:dyDescent="0.3">
      <c r="A6273" s="22" t="s">
        <v>62</v>
      </c>
      <c r="B6273" t="s">
        <v>57</v>
      </c>
      <c r="C6273" t="s">
        <v>63</v>
      </c>
      <c r="D6273" t="s">
        <v>226</v>
      </c>
      <c r="E6273" t="s">
        <v>228</v>
      </c>
      <c r="F6273" t="s">
        <v>229</v>
      </c>
      <c r="G6273" t="s">
        <v>154</v>
      </c>
      <c r="H6273" t="s">
        <v>230</v>
      </c>
      <c r="I6273" t="s">
        <v>232</v>
      </c>
      <c r="J6273" t="s">
        <v>233</v>
      </c>
      <c r="K6273" t="s">
        <v>234</v>
      </c>
      <c r="L6273" t="s">
        <v>235</v>
      </c>
      <c r="M6273" t="s">
        <v>236</v>
      </c>
      <c r="N6273" t="s">
        <v>237</v>
      </c>
      <c r="O6273" t="s">
        <v>136</v>
      </c>
      <c r="P6273" t="s">
        <v>238</v>
      </c>
      <c r="Q6273" t="s">
        <v>240</v>
      </c>
      <c r="R6273" t="s">
        <v>241</v>
      </c>
      <c r="S6273" t="s">
        <v>242</v>
      </c>
      <c r="T6273" t="s">
        <v>243</v>
      </c>
      <c r="U6273" t="s">
        <v>244</v>
      </c>
      <c r="V6273" t="s">
        <v>245</v>
      </c>
    </row>
    <row r="6274" spans="1:23" x14ac:dyDescent="0.3">
      <c r="A6274" s="22">
        <v>130</v>
      </c>
      <c r="B6274" t="s">
        <v>64</v>
      </c>
      <c r="C6274">
        <v>130</v>
      </c>
      <c r="D6274" s="8">
        <v>7.6899999999999996E-2</v>
      </c>
      <c r="E6274" s="8">
        <v>0.18459999999999999</v>
      </c>
      <c r="F6274" s="8">
        <v>0.2923</v>
      </c>
      <c r="G6274" s="8">
        <v>4.6199999999999998E-2</v>
      </c>
      <c r="H6274" s="8">
        <v>3.85E-2</v>
      </c>
      <c r="I6274" s="8">
        <v>6.1499999999999999E-2</v>
      </c>
      <c r="J6274" s="8">
        <v>0.30769999999999997</v>
      </c>
      <c r="K6274" s="8">
        <v>0.30769999999999997</v>
      </c>
      <c r="L6274" s="8">
        <v>2.3099999999999999E-2</v>
      </c>
      <c r="M6274" s="8">
        <v>0.44619999999999999</v>
      </c>
      <c r="N6274" s="8">
        <v>3.85E-2</v>
      </c>
      <c r="O6274" s="8">
        <v>0.18459999999999999</v>
      </c>
      <c r="P6274" s="8">
        <v>2.3099999999999999E-2</v>
      </c>
      <c r="Q6274" s="8">
        <v>1.54E-2</v>
      </c>
      <c r="R6274" s="8">
        <v>1.54E-2</v>
      </c>
      <c r="S6274" s="8">
        <v>7.7000000000000002E-3</v>
      </c>
      <c r="T6274" s="8">
        <v>7.7000000000000002E-3</v>
      </c>
      <c r="U6274" s="8">
        <v>0.37690000000000001</v>
      </c>
      <c r="V6274" s="8">
        <v>3.85E-2</v>
      </c>
    </row>
    <row r="6276" spans="1:23" ht="57.6" x14ac:dyDescent="0.3">
      <c r="A6276" s="22" t="s">
        <v>1396</v>
      </c>
    </row>
    <row r="6277" spans="1:23" x14ac:dyDescent="0.3">
      <c r="A6277" s="22" t="s">
        <v>66</v>
      </c>
      <c r="B6277" t="s">
        <v>62</v>
      </c>
      <c r="C6277" t="s">
        <v>57</v>
      </c>
      <c r="D6277" t="s">
        <v>63</v>
      </c>
      <c r="E6277" t="s">
        <v>226</v>
      </c>
      <c r="F6277" t="s">
        <v>228</v>
      </c>
      <c r="G6277" t="s">
        <v>229</v>
      </c>
      <c r="H6277" t="s">
        <v>154</v>
      </c>
      <c r="I6277" t="s">
        <v>230</v>
      </c>
      <c r="J6277" t="s">
        <v>232</v>
      </c>
      <c r="K6277" t="s">
        <v>233</v>
      </c>
      <c r="L6277" t="s">
        <v>234</v>
      </c>
      <c r="M6277" t="s">
        <v>235</v>
      </c>
      <c r="N6277" t="s">
        <v>236</v>
      </c>
      <c r="O6277" t="s">
        <v>237</v>
      </c>
      <c r="P6277" t="s">
        <v>136</v>
      </c>
      <c r="Q6277" t="s">
        <v>238</v>
      </c>
      <c r="R6277" t="s">
        <v>240</v>
      </c>
      <c r="S6277" t="s">
        <v>241</v>
      </c>
      <c r="T6277" t="s">
        <v>242</v>
      </c>
      <c r="U6277" t="s">
        <v>243</v>
      </c>
      <c r="V6277" t="s">
        <v>244</v>
      </c>
      <c r="W6277" t="s">
        <v>245</v>
      </c>
    </row>
    <row r="6278" spans="1:23" x14ac:dyDescent="0.3">
      <c r="A6278" s="22" t="s">
        <v>67</v>
      </c>
      <c r="B6278">
        <v>123</v>
      </c>
      <c r="C6278" t="s">
        <v>64</v>
      </c>
      <c r="D6278">
        <v>130</v>
      </c>
      <c r="E6278" s="8">
        <v>7.3200000000000001E-2</v>
      </c>
      <c r="F6278" s="8">
        <v>0.17069999999999999</v>
      </c>
      <c r="G6278" s="8">
        <v>0.28460000000000002</v>
      </c>
      <c r="H6278" s="8">
        <v>4.8800000000000003E-2</v>
      </c>
      <c r="I6278" s="8">
        <v>4.07E-2</v>
      </c>
      <c r="J6278" s="8">
        <v>5.6899999999999999E-2</v>
      </c>
      <c r="K6278" s="8">
        <v>0.30890000000000001</v>
      </c>
      <c r="L6278" s="8">
        <v>0.30890000000000001</v>
      </c>
      <c r="M6278" s="8">
        <v>2.4400000000000002E-2</v>
      </c>
      <c r="N6278" s="8">
        <v>0.47149999999999997</v>
      </c>
      <c r="O6278" s="8">
        <v>4.07E-2</v>
      </c>
      <c r="P6278" s="8">
        <v>0.1789</v>
      </c>
      <c r="Q6278" s="8">
        <v>2.4400000000000002E-2</v>
      </c>
      <c r="R6278" s="8">
        <v>8.0999999999999996E-3</v>
      </c>
      <c r="S6278" s="8">
        <v>1.6299999999999999E-2</v>
      </c>
      <c r="T6278" s="8">
        <v>8.0999999999999996E-3</v>
      </c>
      <c r="U6278" s="8">
        <v>8.0999999999999996E-3</v>
      </c>
      <c r="V6278" s="8">
        <v>0.3821</v>
      </c>
      <c r="W6278" s="8">
        <v>4.07E-2</v>
      </c>
    </row>
    <row r="6279" spans="1:23" x14ac:dyDescent="0.3">
      <c r="A6279" s="22" t="s">
        <v>68</v>
      </c>
      <c r="B6279">
        <v>7</v>
      </c>
      <c r="C6279" t="s">
        <v>64</v>
      </c>
      <c r="D6279">
        <v>130</v>
      </c>
      <c r="E6279" s="8">
        <v>0.1429</v>
      </c>
      <c r="F6279" s="8">
        <v>0.42859999999999998</v>
      </c>
      <c r="G6279" s="8">
        <v>0.42859999999999998</v>
      </c>
      <c r="J6279" s="8">
        <v>0.1429</v>
      </c>
      <c r="K6279" s="8">
        <v>0.28570000000000001</v>
      </c>
      <c r="L6279" s="8">
        <v>0.28570000000000001</v>
      </c>
      <c r="P6279" s="8">
        <v>0.28570000000000001</v>
      </c>
      <c r="R6279" s="8">
        <v>0.1429</v>
      </c>
      <c r="V6279" s="8">
        <v>0.28570000000000001</v>
      </c>
    </row>
    <row r="6281" spans="1:23" x14ac:dyDescent="0.3">
      <c r="A6281"/>
    </row>
    <row r="6282" spans="1:23" x14ac:dyDescent="0.3">
      <c r="A6282"/>
    </row>
    <row r="6283" spans="1:23" x14ac:dyDescent="0.3">
      <c r="A6283"/>
    </row>
    <row r="6285" spans="1:23" ht="57.6" x14ac:dyDescent="0.3">
      <c r="A6285" s="22" t="s">
        <v>1397</v>
      </c>
    </row>
    <row r="6286" spans="1:23" x14ac:dyDescent="0.3">
      <c r="A6286" s="22" t="s">
        <v>66</v>
      </c>
      <c r="B6286" t="s">
        <v>62</v>
      </c>
      <c r="C6286" t="s">
        <v>57</v>
      </c>
      <c r="D6286" t="s">
        <v>63</v>
      </c>
      <c r="E6286" t="s">
        <v>226</v>
      </c>
      <c r="F6286" t="s">
        <v>228</v>
      </c>
      <c r="G6286" t="s">
        <v>229</v>
      </c>
      <c r="H6286" t="s">
        <v>154</v>
      </c>
      <c r="I6286" t="s">
        <v>230</v>
      </c>
      <c r="J6286" t="s">
        <v>232</v>
      </c>
      <c r="K6286" t="s">
        <v>233</v>
      </c>
      <c r="L6286" t="s">
        <v>234</v>
      </c>
      <c r="M6286" t="s">
        <v>235</v>
      </c>
      <c r="N6286" t="s">
        <v>236</v>
      </c>
      <c r="O6286" t="s">
        <v>237</v>
      </c>
      <c r="P6286" t="s">
        <v>136</v>
      </c>
      <c r="Q6286" t="s">
        <v>238</v>
      </c>
      <c r="R6286" t="s">
        <v>240</v>
      </c>
      <c r="S6286" t="s">
        <v>241</v>
      </c>
      <c r="T6286" t="s">
        <v>242</v>
      </c>
      <c r="U6286" t="s">
        <v>243</v>
      </c>
      <c r="V6286" t="s">
        <v>244</v>
      </c>
      <c r="W6286" t="s">
        <v>245</v>
      </c>
    </row>
    <row r="6287" spans="1:23" x14ac:dyDescent="0.3">
      <c r="A6287" s="22" t="s">
        <v>67</v>
      </c>
      <c r="B6287">
        <v>124</v>
      </c>
      <c r="C6287" t="s">
        <v>64</v>
      </c>
      <c r="D6287">
        <v>130</v>
      </c>
      <c r="E6287" s="8">
        <v>7.2599999999999998E-2</v>
      </c>
      <c r="F6287" s="8">
        <v>0.1774</v>
      </c>
      <c r="G6287" s="8">
        <v>0.2903</v>
      </c>
      <c r="H6287" s="8">
        <v>4.0300000000000002E-2</v>
      </c>
      <c r="I6287" s="8">
        <v>4.0300000000000002E-2</v>
      </c>
      <c r="J6287" s="8">
        <v>6.4500000000000002E-2</v>
      </c>
      <c r="K6287" s="8">
        <v>0.30649999999999999</v>
      </c>
      <c r="L6287" s="8">
        <v>0.3226</v>
      </c>
      <c r="M6287" s="8">
        <v>2.4199999999999999E-2</v>
      </c>
      <c r="N6287" s="8">
        <v>0.4516</v>
      </c>
      <c r="O6287" s="8">
        <v>4.0300000000000002E-2</v>
      </c>
      <c r="P6287" s="8">
        <v>0.1694</v>
      </c>
      <c r="Q6287" s="8">
        <v>2.4199999999999999E-2</v>
      </c>
      <c r="R6287" s="8">
        <v>1.61E-2</v>
      </c>
      <c r="S6287" s="8">
        <v>1.61E-2</v>
      </c>
      <c r="T6287" s="8">
        <v>8.0999999999999996E-3</v>
      </c>
      <c r="U6287" s="8">
        <v>8.0999999999999996E-3</v>
      </c>
      <c r="V6287" s="8">
        <v>0.3952</v>
      </c>
      <c r="W6287" s="8">
        <v>3.2300000000000002E-2</v>
      </c>
    </row>
    <row r="6288" spans="1:23" x14ac:dyDescent="0.3">
      <c r="A6288" s="22" t="s">
        <v>68</v>
      </c>
      <c r="B6288">
        <v>6</v>
      </c>
      <c r="C6288" t="s">
        <v>64</v>
      </c>
      <c r="D6288">
        <v>130</v>
      </c>
      <c r="E6288" s="8">
        <v>0.16669999999999999</v>
      </c>
      <c r="F6288" s="8">
        <v>0.33329999999999999</v>
      </c>
      <c r="G6288" s="8">
        <v>0.33329999999999999</v>
      </c>
      <c r="H6288" s="8">
        <v>0.16669999999999999</v>
      </c>
      <c r="K6288" s="8">
        <v>0.33329999999999999</v>
      </c>
      <c r="N6288" s="8">
        <v>0.33329999999999999</v>
      </c>
      <c r="P6288" s="8">
        <v>0.5</v>
      </c>
      <c r="W6288" s="8">
        <v>0.16669999999999999</v>
      </c>
    </row>
    <row r="6290" spans="1:23" ht="57.6" x14ac:dyDescent="0.3">
      <c r="A6290" s="22" t="s">
        <v>1398</v>
      </c>
    </row>
    <row r="6291" spans="1:23" x14ac:dyDescent="0.3">
      <c r="A6291" s="22" t="s">
        <v>66</v>
      </c>
      <c r="B6291" t="s">
        <v>62</v>
      </c>
      <c r="C6291" t="s">
        <v>57</v>
      </c>
      <c r="D6291" t="s">
        <v>63</v>
      </c>
      <c r="E6291" t="s">
        <v>226</v>
      </c>
      <c r="F6291" t="s">
        <v>228</v>
      </c>
      <c r="G6291" t="s">
        <v>229</v>
      </c>
      <c r="H6291" t="s">
        <v>154</v>
      </c>
      <c r="I6291" t="s">
        <v>230</v>
      </c>
      <c r="J6291" t="s">
        <v>232</v>
      </c>
      <c r="K6291" t="s">
        <v>233</v>
      </c>
      <c r="L6291" t="s">
        <v>234</v>
      </c>
      <c r="M6291" t="s">
        <v>235</v>
      </c>
      <c r="N6291" t="s">
        <v>236</v>
      </c>
      <c r="O6291" t="s">
        <v>237</v>
      </c>
      <c r="P6291" t="s">
        <v>136</v>
      </c>
      <c r="Q6291" t="s">
        <v>238</v>
      </c>
      <c r="R6291" t="s">
        <v>240</v>
      </c>
      <c r="S6291" t="s">
        <v>241</v>
      </c>
      <c r="T6291" t="s">
        <v>242</v>
      </c>
      <c r="U6291" t="s">
        <v>243</v>
      </c>
      <c r="V6291" t="s">
        <v>244</v>
      </c>
      <c r="W6291" t="s">
        <v>245</v>
      </c>
    </row>
    <row r="6292" spans="1:23" x14ac:dyDescent="0.3">
      <c r="A6292" s="22" t="s">
        <v>67</v>
      </c>
      <c r="B6292">
        <v>129</v>
      </c>
      <c r="C6292" t="s">
        <v>64</v>
      </c>
      <c r="D6292">
        <v>130</v>
      </c>
      <c r="E6292" s="8">
        <v>7.7499999999999999E-2</v>
      </c>
      <c r="F6292" s="8">
        <v>0.186</v>
      </c>
      <c r="G6292" s="8">
        <v>0.2868</v>
      </c>
      <c r="H6292" s="8">
        <v>4.65E-2</v>
      </c>
      <c r="I6292" s="8">
        <v>3.8800000000000001E-2</v>
      </c>
      <c r="J6292" s="8">
        <v>6.2E-2</v>
      </c>
      <c r="K6292" s="8">
        <v>0.30230000000000001</v>
      </c>
      <c r="L6292" s="8">
        <v>0.30230000000000001</v>
      </c>
      <c r="M6292" s="8">
        <v>2.3300000000000001E-2</v>
      </c>
      <c r="N6292" s="8">
        <v>0.44190000000000002</v>
      </c>
      <c r="O6292" s="8">
        <v>3.8800000000000001E-2</v>
      </c>
      <c r="P6292" s="8">
        <v>0.186</v>
      </c>
      <c r="Q6292" s="8">
        <v>2.3300000000000001E-2</v>
      </c>
      <c r="R6292" s="8">
        <v>1.55E-2</v>
      </c>
      <c r="S6292" s="8">
        <v>1.55E-2</v>
      </c>
      <c r="T6292" s="8">
        <v>7.7999999999999996E-3</v>
      </c>
      <c r="U6292" s="8">
        <v>7.7999999999999996E-3</v>
      </c>
      <c r="V6292" s="8">
        <v>0.37209999999999999</v>
      </c>
      <c r="W6292" s="8">
        <v>3.8800000000000001E-2</v>
      </c>
    </row>
    <row r="6293" spans="1:23" x14ac:dyDescent="0.3">
      <c r="A6293" s="22" t="s">
        <v>68</v>
      </c>
      <c r="B6293">
        <v>1</v>
      </c>
      <c r="C6293" t="s">
        <v>64</v>
      </c>
      <c r="D6293">
        <v>130</v>
      </c>
      <c r="G6293" s="8">
        <v>1</v>
      </c>
      <c r="K6293" s="8">
        <v>1</v>
      </c>
      <c r="L6293" s="8">
        <v>1</v>
      </c>
      <c r="N6293" s="8">
        <v>1</v>
      </c>
      <c r="V6293" s="8">
        <v>1</v>
      </c>
    </row>
    <row r="6295" spans="1:23" ht="57.6" x14ac:dyDescent="0.3">
      <c r="A6295" s="22" t="s">
        <v>1399</v>
      </c>
    </row>
    <row r="6296" spans="1:23" x14ac:dyDescent="0.3">
      <c r="A6296" s="22" t="s">
        <v>66</v>
      </c>
      <c r="B6296" t="s">
        <v>62</v>
      </c>
      <c r="C6296" t="s">
        <v>57</v>
      </c>
      <c r="D6296" t="s">
        <v>63</v>
      </c>
      <c r="E6296" t="s">
        <v>226</v>
      </c>
      <c r="F6296" t="s">
        <v>228</v>
      </c>
      <c r="G6296" t="s">
        <v>229</v>
      </c>
      <c r="H6296" t="s">
        <v>154</v>
      </c>
      <c r="I6296" t="s">
        <v>230</v>
      </c>
      <c r="J6296" t="s">
        <v>232</v>
      </c>
      <c r="K6296" t="s">
        <v>233</v>
      </c>
      <c r="L6296" t="s">
        <v>234</v>
      </c>
      <c r="M6296" t="s">
        <v>235</v>
      </c>
      <c r="N6296" t="s">
        <v>236</v>
      </c>
      <c r="O6296" t="s">
        <v>237</v>
      </c>
      <c r="P6296" t="s">
        <v>136</v>
      </c>
      <c r="Q6296" t="s">
        <v>238</v>
      </c>
      <c r="R6296" t="s">
        <v>240</v>
      </c>
      <c r="S6296" t="s">
        <v>241</v>
      </c>
      <c r="T6296" t="s">
        <v>242</v>
      </c>
      <c r="U6296" t="s">
        <v>243</v>
      </c>
      <c r="V6296" t="s">
        <v>244</v>
      </c>
      <c r="W6296" t="s">
        <v>245</v>
      </c>
    </row>
    <row r="6297" spans="1:23" x14ac:dyDescent="0.3">
      <c r="A6297" s="22" t="s">
        <v>67</v>
      </c>
      <c r="B6297">
        <v>120</v>
      </c>
      <c r="C6297" t="s">
        <v>64</v>
      </c>
      <c r="D6297">
        <v>130</v>
      </c>
      <c r="E6297" s="8">
        <v>8.3299999999999999E-2</v>
      </c>
      <c r="F6297" s="8">
        <v>0.16669999999999999</v>
      </c>
      <c r="G6297" s="8">
        <v>0.3</v>
      </c>
      <c r="H6297" s="8">
        <v>4.1700000000000001E-2</v>
      </c>
      <c r="I6297" s="8">
        <v>4.1700000000000001E-2</v>
      </c>
      <c r="J6297" s="8">
        <v>5.8299999999999998E-2</v>
      </c>
      <c r="K6297" s="8">
        <v>0.32500000000000001</v>
      </c>
      <c r="L6297" s="8">
        <v>0.32500000000000001</v>
      </c>
      <c r="M6297" s="8">
        <v>1.67E-2</v>
      </c>
      <c r="N6297" s="8">
        <v>0.4667</v>
      </c>
      <c r="O6297" s="8">
        <v>4.1700000000000001E-2</v>
      </c>
      <c r="P6297" s="8">
        <v>0.19170000000000001</v>
      </c>
      <c r="Q6297" s="8">
        <v>2.5000000000000001E-2</v>
      </c>
      <c r="R6297" s="8">
        <v>1.67E-2</v>
      </c>
      <c r="S6297" s="8">
        <v>1.67E-2</v>
      </c>
      <c r="T6297" s="8">
        <v>8.3000000000000001E-3</v>
      </c>
      <c r="U6297" s="8">
        <v>8.3000000000000001E-3</v>
      </c>
      <c r="V6297" s="8">
        <v>0.38329999999999997</v>
      </c>
      <c r="W6297" s="8">
        <v>4.1700000000000001E-2</v>
      </c>
    </row>
    <row r="6298" spans="1:23" x14ac:dyDescent="0.3">
      <c r="A6298" s="22" t="s">
        <v>68</v>
      </c>
      <c r="B6298">
        <v>10</v>
      </c>
      <c r="C6298" t="s">
        <v>64</v>
      </c>
      <c r="D6298">
        <v>130</v>
      </c>
      <c r="F6298" s="8">
        <v>0.4</v>
      </c>
      <c r="G6298" s="8">
        <v>0.2</v>
      </c>
      <c r="H6298" s="8">
        <v>0.1</v>
      </c>
      <c r="J6298" s="8">
        <v>0.1</v>
      </c>
      <c r="K6298" s="8">
        <v>0.1</v>
      </c>
      <c r="L6298" s="8">
        <v>0.1</v>
      </c>
      <c r="M6298" s="8">
        <v>0.1</v>
      </c>
      <c r="N6298" s="8">
        <v>0.2</v>
      </c>
      <c r="P6298" s="8">
        <v>0.1</v>
      </c>
      <c r="V6298" s="8">
        <v>0.3</v>
      </c>
    </row>
    <row r="6300" spans="1:23" ht="57.6" x14ac:dyDescent="0.3">
      <c r="A6300" s="22" t="s">
        <v>1400</v>
      </c>
    </row>
    <row r="6301" spans="1:23" x14ac:dyDescent="0.3">
      <c r="A6301" s="22" t="s">
        <v>66</v>
      </c>
      <c r="B6301" t="s">
        <v>62</v>
      </c>
      <c r="C6301" t="s">
        <v>57</v>
      </c>
      <c r="D6301" t="s">
        <v>63</v>
      </c>
      <c r="E6301" t="s">
        <v>226</v>
      </c>
      <c r="F6301" t="s">
        <v>228</v>
      </c>
      <c r="G6301" t="s">
        <v>229</v>
      </c>
      <c r="H6301" t="s">
        <v>154</v>
      </c>
      <c r="I6301" t="s">
        <v>230</v>
      </c>
      <c r="J6301" t="s">
        <v>232</v>
      </c>
      <c r="K6301" t="s">
        <v>233</v>
      </c>
      <c r="L6301" t="s">
        <v>234</v>
      </c>
      <c r="M6301" t="s">
        <v>235</v>
      </c>
      <c r="N6301" t="s">
        <v>236</v>
      </c>
      <c r="O6301" t="s">
        <v>237</v>
      </c>
      <c r="P6301" t="s">
        <v>136</v>
      </c>
      <c r="Q6301" t="s">
        <v>238</v>
      </c>
      <c r="R6301" t="s">
        <v>240</v>
      </c>
      <c r="S6301" t="s">
        <v>241</v>
      </c>
      <c r="T6301" t="s">
        <v>242</v>
      </c>
      <c r="U6301" t="s">
        <v>243</v>
      </c>
      <c r="V6301" t="s">
        <v>244</v>
      </c>
      <c r="W6301" t="s">
        <v>245</v>
      </c>
    </row>
    <row r="6302" spans="1:23" x14ac:dyDescent="0.3">
      <c r="A6302" s="22" t="s">
        <v>67</v>
      </c>
      <c r="B6302">
        <v>5</v>
      </c>
      <c r="C6302" t="s">
        <v>64</v>
      </c>
      <c r="D6302">
        <v>130</v>
      </c>
      <c r="E6302" s="8">
        <v>0.2</v>
      </c>
      <c r="G6302" s="8">
        <v>0.6</v>
      </c>
      <c r="K6302" s="8">
        <v>0.4</v>
      </c>
      <c r="L6302" s="8">
        <v>0.4</v>
      </c>
      <c r="P6302" s="8">
        <v>0.4</v>
      </c>
      <c r="V6302" s="8">
        <v>0.6</v>
      </c>
    </row>
    <row r="6303" spans="1:23" x14ac:dyDescent="0.3">
      <c r="A6303" s="22" t="s">
        <v>68</v>
      </c>
      <c r="B6303">
        <v>125</v>
      </c>
      <c r="C6303" t="s">
        <v>64</v>
      </c>
      <c r="D6303">
        <v>130</v>
      </c>
      <c r="E6303" s="8">
        <v>7.1999999999999995E-2</v>
      </c>
      <c r="F6303" s="8">
        <v>0.192</v>
      </c>
      <c r="G6303" s="8">
        <v>0.28000000000000003</v>
      </c>
      <c r="H6303" s="8">
        <v>4.8000000000000001E-2</v>
      </c>
      <c r="I6303" s="8">
        <v>0.04</v>
      </c>
      <c r="J6303" s="8">
        <v>6.4000000000000001E-2</v>
      </c>
      <c r="K6303" s="8">
        <v>0.30399999999999999</v>
      </c>
      <c r="L6303" s="8">
        <v>0.30399999999999999</v>
      </c>
      <c r="M6303" s="8">
        <v>2.4E-2</v>
      </c>
      <c r="N6303" s="8">
        <v>0.46400000000000002</v>
      </c>
      <c r="O6303" s="8">
        <v>0.04</v>
      </c>
      <c r="P6303" s="8">
        <v>0.17599999999999999</v>
      </c>
      <c r="Q6303" s="8">
        <v>2.4E-2</v>
      </c>
      <c r="R6303" s="8">
        <v>1.6E-2</v>
      </c>
      <c r="S6303" s="8">
        <v>1.6E-2</v>
      </c>
      <c r="T6303" s="8">
        <v>8.0000000000000002E-3</v>
      </c>
      <c r="U6303" s="8">
        <v>8.0000000000000002E-3</v>
      </c>
      <c r="V6303" s="8">
        <v>0.36799999999999999</v>
      </c>
      <c r="W6303" s="8">
        <v>0.04</v>
      </c>
    </row>
    <row r="6305" spans="1:23" ht="57.6" x14ac:dyDescent="0.3">
      <c r="A6305" s="22" t="s">
        <v>1401</v>
      </c>
    </row>
    <row r="6306" spans="1:23" x14ac:dyDescent="0.3">
      <c r="A6306" s="22" t="s">
        <v>66</v>
      </c>
      <c r="B6306" t="s">
        <v>62</v>
      </c>
      <c r="C6306" t="s">
        <v>57</v>
      </c>
      <c r="D6306" t="s">
        <v>63</v>
      </c>
      <c r="E6306" t="s">
        <v>226</v>
      </c>
      <c r="F6306" t="s">
        <v>228</v>
      </c>
      <c r="G6306" t="s">
        <v>229</v>
      </c>
      <c r="H6306" t="s">
        <v>154</v>
      </c>
      <c r="I6306" t="s">
        <v>230</v>
      </c>
      <c r="J6306" t="s">
        <v>232</v>
      </c>
      <c r="K6306" t="s">
        <v>233</v>
      </c>
      <c r="L6306" t="s">
        <v>234</v>
      </c>
      <c r="M6306" t="s">
        <v>235</v>
      </c>
      <c r="N6306" t="s">
        <v>236</v>
      </c>
      <c r="O6306" t="s">
        <v>237</v>
      </c>
      <c r="P6306" t="s">
        <v>136</v>
      </c>
      <c r="Q6306" t="s">
        <v>238</v>
      </c>
      <c r="R6306" t="s">
        <v>240</v>
      </c>
      <c r="S6306" t="s">
        <v>241</v>
      </c>
      <c r="T6306" t="s">
        <v>242</v>
      </c>
      <c r="U6306" t="s">
        <v>243</v>
      </c>
      <c r="V6306" t="s">
        <v>244</v>
      </c>
      <c r="W6306" t="s">
        <v>245</v>
      </c>
    </row>
    <row r="6307" spans="1:23" x14ac:dyDescent="0.3">
      <c r="A6307" s="22" t="s">
        <v>67</v>
      </c>
      <c r="B6307">
        <v>106</v>
      </c>
      <c r="C6307" t="s">
        <v>64</v>
      </c>
      <c r="D6307">
        <v>130</v>
      </c>
      <c r="E6307" s="8">
        <v>8.4900000000000003E-2</v>
      </c>
      <c r="F6307" s="8">
        <v>0.1792</v>
      </c>
      <c r="G6307" s="8">
        <v>0.33019999999999999</v>
      </c>
      <c r="H6307" s="8">
        <v>2.8299999999999999E-2</v>
      </c>
      <c r="I6307" s="8">
        <v>4.7199999999999999E-2</v>
      </c>
      <c r="J6307" s="8">
        <v>6.6000000000000003E-2</v>
      </c>
      <c r="K6307" s="8">
        <v>0.3019</v>
      </c>
      <c r="L6307" s="8">
        <v>0.31130000000000002</v>
      </c>
      <c r="M6307" s="8">
        <v>1.89E-2</v>
      </c>
      <c r="N6307" s="8">
        <v>0.46229999999999999</v>
      </c>
      <c r="O6307" s="8">
        <v>2.8299999999999999E-2</v>
      </c>
      <c r="P6307" s="8">
        <v>0.16980000000000001</v>
      </c>
      <c r="Q6307" s="8">
        <v>2.8299999999999999E-2</v>
      </c>
      <c r="R6307" s="8">
        <v>1.89E-2</v>
      </c>
      <c r="S6307" s="8">
        <v>1.89E-2</v>
      </c>
      <c r="T6307" s="8">
        <v>9.4000000000000004E-3</v>
      </c>
      <c r="U6307" s="8">
        <v>9.4000000000000004E-3</v>
      </c>
      <c r="V6307" s="8">
        <v>0.38679999999999998</v>
      </c>
      <c r="W6307" s="8">
        <v>2.8299999999999999E-2</v>
      </c>
    </row>
    <row r="6308" spans="1:23" x14ac:dyDescent="0.3">
      <c r="A6308" s="22" t="s">
        <v>68</v>
      </c>
      <c r="B6308">
        <v>24</v>
      </c>
      <c r="C6308" t="s">
        <v>64</v>
      </c>
      <c r="D6308">
        <v>130</v>
      </c>
      <c r="E6308" s="8">
        <v>4.1700000000000001E-2</v>
      </c>
      <c r="F6308" s="8">
        <v>0.20830000000000001</v>
      </c>
      <c r="G6308" s="8">
        <v>0.125</v>
      </c>
      <c r="H6308" s="8">
        <v>0.125</v>
      </c>
      <c r="J6308" s="8">
        <v>4.1700000000000001E-2</v>
      </c>
      <c r="K6308" s="8">
        <v>0.33329999999999999</v>
      </c>
      <c r="L6308" s="8">
        <v>0.29170000000000001</v>
      </c>
      <c r="M6308" s="8">
        <v>4.1700000000000001E-2</v>
      </c>
      <c r="N6308" s="8">
        <v>0.375</v>
      </c>
      <c r="O6308" s="8">
        <v>8.3299999999999999E-2</v>
      </c>
      <c r="P6308" s="8">
        <v>0.25</v>
      </c>
      <c r="V6308" s="8">
        <v>0.33329999999999999</v>
      </c>
      <c r="W6308" s="8">
        <v>8.3299999999999999E-2</v>
      </c>
    </row>
    <row r="6310" spans="1:23" ht="57.6" x14ac:dyDescent="0.3">
      <c r="A6310" s="22" t="s">
        <v>1402</v>
      </c>
    </row>
    <row r="6311" spans="1:23" x14ac:dyDescent="0.3">
      <c r="A6311" s="22" t="s">
        <v>66</v>
      </c>
      <c r="B6311" t="s">
        <v>62</v>
      </c>
      <c r="C6311" t="s">
        <v>57</v>
      </c>
      <c r="D6311" t="s">
        <v>63</v>
      </c>
      <c r="E6311" t="s">
        <v>226</v>
      </c>
      <c r="F6311" t="s">
        <v>228</v>
      </c>
      <c r="G6311" t="s">
        <v>229</v>
      </c>
      <c r="H6311" t="s">
        <v>154</v>
      </c>
      <c r="I6311" t="s">
        <v>230</v>
      </c>
      <c r="J6311" t="s">
        <v>232</v>
      </c>
      <c r="K6311" t="s">
        <v>233</v>
      </c>
      <c r="L6311" t="s">
        <v>234</v>
      </c>
      <c r="M6311" t="s">
        <v>235</v>
      </c>
      <c r="N6311" t="s">
        <v>236</v>
      </c>
      <c r="O6311" t="s">
        <v>237</v>
      </c>
      <c r="P6311" t="s">
        <v>136</v>
      </c>
      <c r="Q6311" t="s">
        <v>238</v>
      </c>
      <c r="R6311" t="s">
        <v>240</v>
      </c>
      <c r="S6311" t="s">
        <v>241</v>
      </c>
      <c r="T6311" t="s">
        <v>242</v>
      </c>
      <c r="U6311" t="s">
        <v>243</v>
      </c>
      <c r="V6311" t="s">
        <v>244</v>
      </c>
      <c r="W6311" t="s">
        <v>245</v>
      </c>
    </row>
    <row r="6312" spans="1:23" x14ac:dyDescent="0.3">
      <c r="A6312" s="22" t="s">
        <v>67</v>
      </c>
      <c r="B6312">
        <v>101</v>
      </c>
      <c r="C6312" t="s">
        <v>64</v>
      </c>
      <c r="D6312">
        <v>130</v>
      </c>
      <c r="E6312" s="8">
        <v>6.93E-2</v>
      </c>
      <c r="F6312" s="8">
        <v>0.1782</v>
      </c>
      <c r="G6312" s="8">
        <v>0.30690000000000001</v>
      </c>
      <c r="H6312" s="8">
        <v>5.9400000000000001E-2</v>
      </c>
      <c r="I6312" s="8">
        <v>4.9500000000000002E-2</v>
      </c>
      <c r="J6312" s="8">
        <v>5.9400000000000001E-2</v>
      </c>
      <c r="K6312" s="8">
        <v>0.35639999999999999</v>
      </c>
      <c r="L6312" s="8">
        <v>0.32669999999999999</v>
      </c>
      <c r="M6312" s="8">
        <v>1.9800000000000002E-2</v>
      </c>
      <c r="N6312" s="8">
        <v>0.48509999999999998</v>
      </c>
      <c r="O6312" s="8">
        <v>3.9600000000000003E-2</v>
      </c>
      <c r="P6312" s="8">
        <v>0.15840000000000001</v>
      </c>
      <c r="Q6312" s="8">
        <v>1.9800000000000002E-2</v>
      </c>
      <c r="R6312" s="8">
        <v>1.9800000000000002E-2</v>
      </c>
      <c r="S6312" s="8">
        <v>9.9000000000000008E-3</v>
      </c>
      <c r="T6312" s="8">
        <v>9.9000000000000008E-3</v>
      </c>
      <c r="U6312" s="8">
        <v>9.9000000000000008E-3</v>
      </c>
      <c r="V6312" s="8">
        <v>0.39600000000000002</v>
      </c>
      <c r="W6312" s="8">
        <v>3.9600000000000003E-2</v>
      </c>
    </row>
    <row r="6313" spans="1:23" x14ac:dyDescent="0.3">
      <c r="A6313" s="22" t="s">
        <v>68</v>
      </c>
      <c r="B6313">
        <v>29</v>
      </c>
      <c r="C6313" t="s">
        <v>64</v>
      </c>
      <c r="D6313">
        <v>130</v>
      </c>
      <c r="E6313" s="8">
        <v>0.10340000000000001</v>
      </c>
      <c r="F6313" s="8">
        <v>0.2069</v>
      </c>
      <c r="G6313" s="8">
        <v>0.2414</v>
      </c>
      <c r="J6313" s="8">
        <v>6.9000000000000006E-2</v>
      </c>
      <c r="K6313" s="8">
        <v>0.13789999999999999</v>
      </c>
      <c r="L6313" s="8">
        <v>0.2414</v>
      </c>
      <c r="M6313" s="8">
        <v>3.4500000000000003E-2</v>
      </c>
      <c r="N6313" s="8">
        <v>0.31030000000000002</v>
      </c>
      <c r="O6313" s="8">
        <v>3.4500000000000003E-2</v>
      </c>
      <c r="P6313" s="8">
        <v>0.27589999999999998</v>
      </c>
      <c r="Q6313" s="8">
        <v>3.4500000000000003E-2</v>
      </c>
      <c r="S6313" s="8">
        <v>3.4500000000000003E-2</v>
      </c>
      <c r="V6313" s="8">
        <v>0.31030000000000002</v>
      </c>
      <c r="W6313" s="8">
        <v>3.4500000000000003E-2</v>
      </c>
    </row>
    <row r="6315" spans="1:23" ht="57.6" x14ac:dyDescent="0.3">
      <c r="A6315" s="22" t="s">
        <v>1403</v>
      </c>
    </row>
    <row r="6316" spans="1:23" x14ac:dyDescent="0.3">
      <c r="A6316" s="22" t="s">
        <v>66</v>
      </c>
      <c r="B6316" t="s">
        <v>62</v>
      </c>
      <c r="C6316" t="s">
        <v>57</v>
      </c>
      <c r="D6316" t="s">
        <v>63</v>
      </c>
      <c r="E6316" t="s">
        <v>226</v>
      </c>
      <c r="F6316" t="s">
        <v>228</v>
      </c>
      <c r="G6316" t="s">
        <v>229</v>
      </c>
      <c r="H6316" t="s">
        <v>154</v>
      </c>
      <c r="I6316" t="s">
        <v>230</v>
      </c>
      <c r="J6316" t="s">
        <v>232</v>
      </c>
      <c r="K6316" t="s">
        <v>233</v>
      </c>
      <c r="L6316" t="s">
        <v>234</v>
      </c>
      <c r="M6316" t="s">
        <v>235</v>
      </c>
      <c r="N6316" t="s">
        <v>236</v>
      </c>
      <c r="O6316" t="s">
        <v>237</v>
      </c>
      <c r="P6316" t="s">
        <v>136</v>
      </c>
      <c r="Q6316" t="s">
        <v>238</v>
      </c>
      <c r="R6316" t="s">
        <v>240</v>
      </c>
      <c r="S6316" t="s">
        <v>241</v>
      </c>
      <c r="T6316" t="s">
        <v>242</v>
      </c>
      <c r="U6316" t="s">
        <v>243</v>
      </c>
      <c r="V6316" t="s">
        <v>244</v>
      </c>
      <c r="W6316" t="s">
        <v>245</v>
      </c>
    </row>
    <row r="6317" spans="1:23" x14ac:dyDescent="0.3">
      <c r="A6317" s="22" t="s">
        <v>67</v>
      </c>
      <c r="B6317">
        <v>98</v>
      </c>
      <c r="C6317" t="s">
        <v>64</v>
      </c>
      <c r="D6317">
        <v>130</v>
      </c>
      <c r="E6317" s="8">
        <v>8.1600000000000006E-2</v>
      </c>
      <c r="F6317" s="8">
        <v>0.19389999999999999</v>
      </c>
      <c r="G6317" s="8">
        <v>0.28570000000000001</v>
      </c>
      <c r="H6317" s="8">
        <v>6.1199999999999997E-2</v>
      </c>
      <c r="I6317" s="8">
        <v>5.0999999999999997E-2</v>
      </c>
      <c r="J6317" s="8">
        <v>6.1199999999999997E-2</v>
      </c>
      <c r="K6317" s="8">
        <v>0.30609999999999998</v>
      </c>
      <c r="L6317" s="8">
        <v>0.31630000000000003</v>
      </c>
      <c r="M6317" s="8">
        <v>3.0599999999999999E-2</v>
      </c>
      <c r="N6317" s="8">
        <v>0.42859999999999998</v>
      </c>
      <c r="O6317" s="8">
        <v>5.0999999999999997E-2</v>
      </c>
      <c r="P6317" s="8">
        <v>0.19389999999999999</v>
      </c>
      <c r="Q6317" s="8">
        <v>3.0599999999999999E-2</v>
      </c>
      <c r="R6317" s="8">
        <v>2.0400000000000001E-2</v>
      </c>
      <c r="S6317" s="8">
        <v>1.0200000000000001E-2</v>
      </c>
      <c r="U6317" s="8">
        <v>1.0200000000000001E-2</v>
      </c>
      <c r="V6317" s="8">
        <v>0.38779999999999998</v>
      </c>
      <c r="W6317" s="8">
        <v>5.0999999999999997E-2</v>
      </c>
    </row>
    <row r="6318" spans="1:23" x14ac:dyDescent="0.3">
      <c r="A6318" s="22" t="s">
        <v>68</v>
      </c>
      <c r="B6318">
        <v>32</v>
      </c>
      <c r="C6318" t="s">
        <v>64</v>
      </c>
      <c r="D6318">
        <v>130</v>
      </c>
      <c r="E6318" s="8">
        <v>6.25E-2</v>
      </c>
      <c r="F6318" s="8">
        <v>0.15620000000000001</v>
      </c>
      <c r="G6318" s="8">
        <v>0.3125</v>
      </c>
      <c r="J6318" s="8">
        <v>6.25E-2</v>
      </c>
      <c r="K6318" s="8">
        <v>0.3125</v>
      </c>
      <c r="L6318" s="8">
        <v>0.28120000000000001</v>
      </c>
      <c r="N6318" s="8">
        <v>0.5</v>
      </c>
      <c r="P6318" s="8">
        <v>0.15620000000000001</v>
      </c>
      <c r="S6318" s="8">
        <v>3.1199999999999999E-2</v>
      </c>
      <c r="T6318" s="8">
        <v>3.1199999999999999E-2</v>
      </c>
      <c r="V6318" s="8">
        <v>0.34379999999999999</v>
      </c>
    </row>
    <row r="6320" spans="1:23" ht="72" x14ac:dyDescent="0.3">
      <c r="A6320" s="22" t="s">
        <v>1404</v>
      </c>
    </row>
    <row r="6321" spans="1:23" x14ac:dyDescent="0.3">
      <c r="A6321" s="22" t="s">
        <v>66</v>
      </c>
      <c r="B6321" t="s">
        <v>62</v>
      </c>
      <c r="C6321" t="s">
        <v>57</v>
      </c>
      <c r="D6321" t="s">
        <v>63</v>
      </c>
      <c r="E6321" t="s">
        <v>226</v>
      </c>
      <c r="F6321" t="s">
        <v>228</v>
      </c>
      <c r="G6321" t="s">
        <v>229</v>
      </c>
      <c r="H6321" t="s">
        <v>154</v>
      </c>
      <c r="I6321" t="s">
        <v>230</v>
      </c>
      <c r="J6321" t="s">
        <v>232</v>
      </c>
      <c r="K6321" t="s">
        <v>233</v>
      </c>
      <c r="L6321" t="s">
        <v>234</v>
      </c>
      <c r="M6321" t="s">
        <v>235</v>
      </c>
      <c r="N6321" t="s">
        <v>236</v>
      </c>
      <c r="O6321" t="s">
        <v>237</v>
      </c>
      <c r="P6321" t="s">
        <v>136</v>
      </c>
      <c r="Q6321" t="s">
        <v>238</v>
      </c>
      <c r="R6321" t="s">
        <v>240</v>
      </c>
      <c r="S6321" t="s">
        <v>241</v>
      </c>
      <c r="T6321" t="s">
        <v>242</v>
      </c>
      <c r="U6321" t="s">
        <v>243</v>
      </c>
      <c r="V6321" t="s">
        <v>244</v>
      </c>
      <c r="W6321" t="s">
        <v>245</v>
      </c>
    </row>
    <row r="6322" spans="1:23" x14ac:dyDescent="0.3">
      <c r="A6322" s="22" t="s">
        <v>67</v>
      </c>
      <c r="B6322">
        <v>118</v>
      </c>
      <c r="C6322" t="s">
        <v>64</v>
      </c>
      <c r="D6322">
        <v>130</v>
      </c>
      <c r="E6322" s="8">
        <v>8.4699999999999998E-2</v>
      </c>
      <c r="F6322" s="8">
        <v>0.2034</v>
      </c>
      <c r="G6322" s="8">
        <v>0.28810000000000002</v>
      </c>
      <c r="H6322" s="8">
        <v>5.0799999999999998E-2</v>
      </c>
      <c r="I6322" s="8">
        <v>4.24E-2</v>
      </c>
      <c r="J6322" s="8">
        <v>5.9299999999999999E-2</v>
      </c>
      <c r="K6322" s="8">
        <v>0.30509999999999998</v>
      </c>
      <c r="L6322" s="8">
        <v>0.2712</v>
      </c>
      <c r="M6322" s="8">
        <v>1.6899999999999998E-2</v>
      </c>
      <c r="N6322" s="8">
        <v>0.43219999999999997</v>
      </c>
      <c r="O6322" s="8">
        <v>4.24E-2</v>
      </c>
      <c r="P6322" s="8">
        <v>0.18640000000000001</v>
      </c>
      <c r="Q6322" s="8">
        <v>2.5399999999999999E-2</v>
      </c>
      <c r="R6322" s="8">
        <v>8.5000000000000006E-3</v>
      </c>
      <c r="S6322" s="8">
        <v>1.6899999999999998E-2</v>
      </c>
      <c r="T6322" s="8">
        <v>8.5000000000000006E-3</v>
      </c>
      <c r="U6322" s="8">
        <v>8.5000000000000006E-3</v>
      </c>
      <c r="V6322" s="8">
        <v>0.33900000000000002</v>
      </c>
      <c r="W6322" s="8">
        <v>4.24E-2</v>
      </c>
    </row>
    <row r="6323" spans="1:23" x14ac:dyDescent="0.3">
      <c r="A6323" s="22" t="s">
        <v>68</v>
      </c>
      <c r="B6323">
        <v>12</v>
      </c>
      <c r="C6323" t="s">
        <v>64</v>
      </c>
      <c r="D6323">
        <v>130</v>
      </c>
      <c r="G6323" s="8">
        <v>0.33329999999999999</v>
      </c>
      <c r="J6323" s="8">
        <v>8.3299999999999999E-2</v>
      </c>
      <c r="K6323" s="8">
        <v>0.33329999999999999</v>
      </c>
      <c r="L6323" s="8">
        <v>0.66669999999999996</v>
      </c>
      <c r="M6323" s="8">
        <v>8.3299999999999999E-2</v>
      </c>
      <c r="N6323" s="8">
        <v>0.58330000000000004</v>
      </c>
      <c r="P6323" s="8">
        <v>0.16669999999999999</v>
      </c>
      <c r="R6323" s="8">
        <v>8.3299999999999999E-2</v>
      </c>
      <c r="V6323" s="8">
        <v>0.75</v>
      </c>
    </row>
    <row r="6325" spans="1:23" ht="72" x14ac:dyDescent="0.3">
      <c r="A6325" s="22" t="s">
        <v>1405</v>
      </c>
    </row>
    <row r="6326" spans="1:23" x14ac:dyDescent="0.3">
      <c r="A6326" s="22" t="s">
        <v>66</v>
      </c>
      <c r="B6326" t="s">
        <v>62</v>
      </c>
      <c r="C6326" t="s">
        <v>57</v>
      </c>
      <c r="D6326" t="s">
        <v>63</v>
      </c>
      <c r="E6326" t="s">
        <v>226</v>
      </c>
      <c r="F6326" t="s">
        <v>228</v>
      </c>
      <c r="G6326" t="s">
        <v>229</v>
      </c>
      <c r="H6326" t="s">
        <v>154</v>
      </c>
      <c r="I6326" t="s">
        <v>230</v>
      </c>
      <c r="J6326" t="s">
        <v>232</v>
      </c>
      <c r="K6326" t="s">
        <v>233</v>
      </c>
      <c r="L6326" t="s">
        <v>234</v>
      </c>
      <c r="M6326" t="s">
        <v>235</v>
      </c>
      <c r="N6326" t="s">
        <v>236</v>
      </c>
      <c r="O6326" t="s">
        <v>237</v>
      </c>
      <c r="P6326" t="s">
        <v>136</v>
      </c>
      <c r="Q6326" t="s">
        <v>238</v>
      </c>
      <c r="R6326" t="s">
        <v>240</v>
      </c>
      <c r="S6326" t="s">
        <v>241</v>
      </c>
      <c r="T6326" t="s">
        <v>242</v>
      </c>
      <c r="U6326" t="s">
        <v>243</v>
      </c>
      <c r="V6326" t="s">
        <v>244</v>
      </c>
      <c r="W6326" t="s">
        <v>245</v>
      </c>
    </row>
    <row r="6327" spans="1:23" x14ac:dyDescent="0.3">
      <c r="A6327" s="22" t="s">
        <v>67</v>
      </c>
      <c r="B6327">
        <v>130</v>
      </c>
      <c r="C6327" t="s">
        <v>64</v>
      </c>
      <c r="D6327">
        <v>130</v>
      </c>
      <c r="E6327" s="8">
        <v>7.6899999999999996E-2</v>
      </c>
      <c r="F6327" s="8">
        <v>0.18459999999999999</v>
      </c>
      <c r="G6327" s="8">
        <v>0.2923</v>
      </c>
      <c r="H6327" s="8">
        <v>4.6199999999999998E-2</v>
      </c>
      <c r="I6327" s="8">
        <v>3.85E-2</v>
      </c>
      <c r="J6327" s="8">
        <v>6.1499999999999999E-2</v>
      </c>
      <c r="K6327" s="8">
        <v>0.30769999999999997</v>
      </c>
      <c r="L6327" s="8">
        <v>0.30769999999999997</v>
      </c>
      <c r="M6327" s="8">
        <v>2.3099999999999999E-2</v>
      </c>
      <c r="N6327" s="8">
        <v>0.44619999999999999</v>
      </c>
      <c r="O6327" s="8">
        <v>3.85E-2</v>
      </c>
      <c r="P6327" s="8">
        <v>0.18459999999999999</v>
      </c>
      <c r="Q6327" s="8">
        <v>2.3099999999999999E-2</v>
      </c>
      <c r="R6327" s="8">
        <v>1.54E-2</v>
      </c>
      <c r="S6327" s="8">
        <v>1.54E-2</v>
      </c>
      <c r="T6327" s="8">
        <v>7.7000000000000002E-3</v>
      </c>
      <c r="U6327" s="8">
        <v>7.7000000000000002E-3</v>
      </c>
      <c r="V6327" s="8">
        <v>0.37690000000000001</v>
      </c>
      <c r="W6327" s="8">
        <v>3.85E-2</v>
      </c>
    </row>
    <row r="6329" spans="1:23" ht="57.6" x14ac:dyDescent="0.3">
      <c r="A6329" s="22" t="s">
        <v>1406</v>
      </c>
    </row>
    <row r="6330" spans="1:23" x14ac:dyDescent="0.3">
      <c r="A6330" s="22" t="s">
        <v>66</v>
      </c>
      <c r="B6330" t="s">
        <v>62</v>
      </c>
      <c r="C6330" t="s">
        <v>57</v>
      </c>
      <c r="D6330" t="s">
        <v>63</v>
      </c>
      <c r="E6330" t="s">
        <v>226</v>
      </c>
      <c r="F6330" t="s">
        <v>228</v>
      </c>
      <c r="G6330" t="s">
        <v>229</v>
      </c>
      <c r="H6330" t="s">
        <v>154</v>
      </c>
      <c r="I6330" t="s">
        <v>230</v>
      </c>
      <c r="J6330" t="s">
        <v>232</v>
      </c>
      <c r="K6330" t="s">
        <v>233</v>
      </c>
      <c r="L6330" t="s">
        <v>234</v>
      </c>
      <c r="M6330" t="s">
        <v>235</v>
      </c>
      <c r="N6330" t="s">
        <v>236</v>
      </c>
      <c r="O6330" t="s">
        <v>237</v>
      </c>
      <c r="P6330" t="s">
        <v>136</v>
      </c>
      <c r="Q6330" t="s">
        <v>238</v>
      </c>
      <c r="R6330" t="s">
        <v>240</v>
      </c>
      <c r="S6330" t="s">
        <v>241</v>
      </c>
      <c r="T6330" t="s">
        <v>242</v>
      </c>
      <c r="U6330" t="s">
        <v>243</v>
      </c>
      <c r="V6330" t="s">
        <v>244</v>
      </c>
      <c r="W6330" t="s">
        <v>245</v>
      </c>
    </row>
    <row r="6331" spans="1:23" x14ac:dyDescent="0.3">
      <c r="A6331" s="22" t="s">
        <v>67</v>
      </c>
      <c r="B6331">
        <v>77</v>
      </c>
      <c r="C6331" t="s">
        <v>64</v>
      </c>
      <c r="D6331">
        <v>130</v>
      </c>
      <c r="E6331" s="8">
        <v>9.0899999999999995E-2</v>
      </c>
      <c r="F6331" s="8">
        <v>0.16880000000000001</v>
      </c>
      <c r="G6331" s="8">
        <v>0.28570000000000001</v>
      </c>
      <c r="H6331" s="8">
        <v>5.1900000000000002E-2</v>
      </c>
      <c r="I6331" s="8">
        <v>3.9E-2</v>
      </c>
      <c r="J6331" s="8">
        <v>3.9E-2</v>
      </c>
      <c r="K6331" s="8">
        <v>0.31169999999999998</v>
      </c>
      <c r="L6331" s="8">
        <v>0.25969999999999999</v>
      </c>
      <c r="M6331" s="8">
        <v>1.2999999999999999E-2</v>
      </c>
      <c r="N6331" s="8">
        <v>0.46750000000000003</v>
      </c>
      <c r="O6331" s="8">
        <v>5.1900000000000002E-2</v>
      </c>
      <c r="P6331" s="8">
        <v>0.1948</v>
      </c>
      <c r="Q6331" s="8">
        <v>1.2999999999999999E-2</v>
      </c>
      <c r="R6331" s="8">
        <v>1.2999999999999999E-2</v>
      </c>
      <c r="S6331" s="8">
        <v>2.5999999999999999E-2</v>
      </c>
      <c r="T6331" s="8">
        <v>1.2999999999999999E-2</v>
      </c>
      <c r="V6331" s="8">
        <v>0.3377</v>
      </c>
      <c r="W6331" s="8">
        <v>3.9E-2</v>
      </c>
    </row>
    <row r="6332" spans="1:23" x14ac:dyDescent="0.3">
      <c r="A6332" s="22" t="s">
        <v>68</v>
      </c>
      <c r="B6332">
        <v>53</v>
      </c>
      <c r="C6332" t="s">
        <v>64</v>
      </c>
      <c r="D6332">
        <v>130</v>
      </c>
      <c r="E6332" s="8">
        <v>5.6599999999999998E-2</v>
      </c>
      <c r="F6332" s="8">
        <v>0.20749999999999999</v>
      </c>
      <c r="G6332" s="8">
        <v>0.3019</v>
      </c>
      <c r="H6332" s="8">
        <v>3.7699999999999997E-2</v>
      </c>
      <c r="I6332" s="8">
        <v>3.7699999999999997E-2</v>
      </c>
      <c r="J6332" s="8">
        <v>9.4299999999999995E-2</v>
      </c>
      <c r="K6332" s="8">
        <v>0.3019</v>
      </c>
      <c r="L6332" s="8">
        <v>0.37740000000000001</v>
      </c>
      <c r="M6332" s="8">
        <v>3.7699999999999997E-2</v>
      </c>
      <c r="N6332" s="8">
        <v>0.41510000000000002</v>
      </c>
      <c r="O6332" s="8">
        <v>1.89E-2</v>
      </c>
      <c r="P6332" s="8">
        <v>0.16980000000000001</v>
      </c>
      <c r="Q6332" s="8">
        <v>3.7699999999999997E-2</v>
      </c>
      <c r="R6332" s="8">
        <v>1.89E-2</v>
      </c>
      <c r="U6332" s="8">
        <v>1.89E-2</v>
      </c>
      <c r="V6332" s="8">
        <v>0.434</v>
      </c>
      <c r="W6332" s="8">
        <v>3.7699999999999997E-2</v>
      </c>
    </row>
    <row r="6334" spans="1:23" ht="72" x14ac:dyDescent="0.3">
      <c r="A6334" s="22" t="s">
        <v>1407</v>
      </c>
    </row>
    <row r="6335" spans="1:23" x14ac:dyDescent="0.3">
      <c r="A6335" s="22" t="s">
        <v>66</v>
      </c>
      <c r="B6335" t="s">
        <v>62</v>
      </c>
      <c r="C6335" t="s">
        <v>57</v>
      </c>
      <c r="D6335" t="s">
        <v>63</v>
      </c>
      <c r="E6335" t="s">
        <v>226</v>
      </c>
      <c r="F6335" t="s">
        <v>228</v>
      </c>
      <c r="G6335" t="s">
        <v>229</v>
      </c>
      <c r="H6335" t="s">
        <v>154</v>
      </c>
      <c r="I6335" t="s">
        <v>230</v>
      </c>
      <c r="J6335" t="s">
        <v>232</v>
      </c>
      <c r="K6335" t="s">
        <v>233</v>
      </c>
      <c r="L6335" t="s">
        <v>234</v>
      </c>
      <c r="M6335" t="s">
        <v>235</v>
      </c>
      <c r="N6335" t="s">
        <v>236</v>
      </c>
      <c r="O6335" t="s">
        <v>237</v>
      </c>
      <c r="P6335" t="s">
        <v>136</v>
      </c>
      <c r="Q6335" t="s">
        <v>238</v>
      </c>
      <c r="R6335" t="s">
        <v>240</v>
      </c>
      <c r="S6335" t="s">
        <v>241</v>
      </c>
      <c r="T6335" t="s">
        <v>242</v>
      </c>
      <c r="U6335" t="s">
        <v>243</v>
      </c>
      <c r="V6335" t="s">
        <v>244</v>
      </c>
      <c r="W6335" t="s">
        <v>245</v>
      </c>
    </row>
    <row r="6336" spans="1:23" x14ac:dyDescent="0.3">
      <c r="A6336" s="22" t="s">
        <v>67</v>
      </c>
      <c r="B6336">
        <v>114</v>
      </c>
      <c r="C6336" t="s">
        <v>64</v>
      </c>
      <c r="D6336">
        <v>130</v>
      </c>
      <c r="E6336" s="8">
        <v>7.8899999999999998E-2</v>
      </c>
      <c r="F6336" s="8">
        <v>0.1842</v>
      </c>
      <c r="G6336" s="8">
        <v>0.29820000000000002</v>
      </c>
      <c r="H6336" s="8">
        <v>5.2600000000000001E-2</v>
      </c>
      <c r="I6336" s="8">
        <v>4.3900000000000002E-2</v>
      </c>
      <c r="J6336" s="8">
        <v>5.2600000000000001E-2</v>
      </c>
      <c r="K6336" s="8">
        <v>0.28070000000000001</v>
      </c>
      <c r="L6336" s="8">
        <v>0.307</v>
      </c>
      <c r="M6336" s="8">
        <v>1.7500000000000002E-2</v>
      </c>
      <c r="N6336" s="8">
        <v>0.42109999999999997</v>
      </c>
      <c r="O6336" s="8">
        <v>3.5099999999999999E-2</v>
      </c>
      <c r="P6336" s="8">
        <v>0.1842</v>
      </c>
      <c r="Q6336" s="8">
        <v>2.63E-2</v>
      </c>
      <c r="R6336" s="8">
        <v>1.7500000000000002E-2</v>
      </c>
      <c r="S6336" s="8">
        <v>8.8000000000000005E-3</v>
      </c>
      <c r="U6336" s="8">
        <v>8.8000000000000005E-3</v>
      </c>
      <c r="V6336" s="8">
        <v>0.36840000000000001</v>
      </c>
      <c r="W6336" s="8">
        <v>4.3900000000000002E-2</v>
      </c>
    </row>
    <row r="6337" spans="1:24" x14ac:dyDescent="0.3">
      <c r="A6337" s="22" t="s">
        <v>68</v>
      </c>
      <c r="B6337">
        <v>16</v>
      </c>
      <c r="C6337" t="s">
        <v>64</v>
      </c>
      <c r="D6337">
        <v>130</v>
      </c>
      <c r="E6337" s="8">
        <v>6.25E-2</v>
      </c>
      <c r="F6337" s="8">
        <v>0.1875</v>
      </c>
      <c r="G6337" s="8">
        <v>0.25</v>
      </c>
      <c r="J6337" s="8">
        <v>0.125</v>
      </c>
      <c r="K6337" s="8">
        <v>0.5</v>
      </c>
      <c r="L6337" s="8">
        <v>0.3125</v>
      </c>
      <c r="M6337" s="8">
        <v>6.25E-2</v>
      </c>
      <c r="N6337" s="8">
        <v>0.625</v>
      </c>
      <c r="O6337" s="8">
        <v>6.25E-2</v>
      </c>
      <c r="P6337" s="8">
        <v>0.1875</v>
      </c>
      <c r="S6337" s="8">
        <v>6.25E-2</v>
      </c>
      <c r="T6337" s="8">
        <v>6.25E-2</v>
      </c>
      <c r="V6337" s="8">
        <v>0.4375</v>
      </c>
    </row>
    <row r="6339" spans="1:24" ht="57.6" x14ac:dyDescent="0.3">
      <c r="A6339" s="27" t="s">
        <v>1408</v>
      </c>
    </row>
    <row r="6340" spans="1:24" x14ac:dyDescent="0.3">
      <c r="A6340" s="22" t="s">
        <v>66</v>
      </c>
      <c r="B6340" t="s">
        <v>62</v>
      </c>
      <c r="C6340" t="s">
        <v>57</v>
      </c>
      <c r="D6340" t="s">
        <v>63</v>
      </c>
      <c r="E6340" t="s">
        <v>226</v>
      </c>
      <c r="F6340" t="s">
        <v>228</v>
      </c>
      <c r="G6340" t="s">
        <v>229</v>
      </c>
      <c r="H6340" t="s">
        <v>154</v>
      </c>
      <c r="I6340" t="s">
        <v>230</v>
      </c>
      <c r="J6340" t="s">
        <v>232</v>
      </c>
      <c r="K6340" t="s">
        <v>233</v>
      </c>
      <c r="L6340" t="s">
        <v>234</v>
      </c>
      <c r="M6340" t="s">
        <v>235</v>
      </c>
      <c r="N6340" t="s">
        <v>236</v>
      </c>
      <c r="O6340" t="s">
        <v>237</v>
      </c>
      <c r="P6340" t="s">
        <v>136</v>
      </c>
      <c r="Q6340" t="s">
        <v>238</v>
      </c>
      <c r="R6340" t="s">
        <v>240</v>
      </c>
      <c r="S6340" t="s">
        <v>241</v>
      </c>
      <c r="T6340" t="s">
        <v>242</v>
      </c>
      <c r="U6340" t="s">
        <v>243</v>
      </c>
      <c r="V6340" t="s">
        <v>244</v>
      </c>
      <c r="W6340" t="s">
        <v>245</v>
      </c>
    </row>
    <row r="6341" spans="1:24" x14ac:dyDescent="0.3">
      <c r="A6341" s="22" t="s">
        <v>81</v>
      </c>
      <c r="B6341">
        <v>32</v>
      </c>
      <c r="C6341" t="s">
        <v>64</v>
      </c>
      <c r="D6341">
        <v>130</v>
      </c>
      <c r="E6341" s="8">
        <v>6.25E-2</v>
      </c>
      <c r="F6341" s="8">
        <v>0.21879999999999999</v>
      </c>
      <c r="G6341" s="8">
        <v>0.3125</v>
      </c>
      <c r="H6341" s="8">
        <v>3.1199999999999999E-2</v>
      </c>
      <c r="I6341" s="8">
        <v>6.25E-2</v>
      </c>
      <c r="K6341" s="8">
        <v>0.34379999999999999</v>
      </c>
      <c r="L6341" s="8">
        <v>0.375</v>
      </c>
      <c r="N6341" s="8">
        <v>0.40620000000000001</v>
      </c>
      <c r="O6341" s="8">
        <v>6.25E-2</v>
      </c>
      <c r="P6341" s="8">
        <v>0.1875</v>
      </c>
      <c r="Q6341" s="8">
        <v>3.1199999999999999E-2</v>
      </c>
      <c r="V6341" s="8">
        <v>0.4375</v>
      </c>
      <c r="W6341" s="8">
        <v>9.3799999999999994E-2</v>
      </c>
    </row>
    <row r="6342" spans="1:24" x14ac:dyDescent="0.3">
      <c r="A6342" s="22" t="s">
        <v>82</v>
      </c>
      <c r="B6342">
        <v>34</v>
      </c>
      <c r="C6342" t="s">
        <v>64</v>
      </c>
      <c r="D6342">
        <v>130</v>
      </c>
      <c r="E6342" s="8">
        <v>5.8799999999999998E-2</v>
      </c>
      <c r="F6342" s="8">
        <v>0.26469999999999999</v>
      </c>
      <c r="G6342" s="8">
        <v>0.35289999999999999</v>
      </c>
      <c r="H6342" s="8">
        <v>0.1176</v>
      </c>
      <c r="I6342" s="8">
        <v>5.8799999999999998E-2</v>
      </c>
      <c r="J6342" s="8">
        <v>5.8799999999999998E-2</v>
      </c>
      <c r="K6342" s="8">
        <v>0.32350000000000001</v>
      </c>
      <c r="L6342" s="8">
        <v>0.2059</v>
      </c>
      <c r="M6342" s="8">
        <v>2.9399999999999999E-2</v>
      </c>
      <c r="N6342" s="8">
        <v>0.44119999999999998</v>
      </c>
      <c r="O6342" s="8">
        <v>5.8799999999999998E-2</v>
      </c>
      <c r="P6342" s="8">
        <v>0.14710000000000001</v>
      </c>
      <c r="Q6342" s="8">
        <v>5.8799999999999998E-2</v>
      </c>
      <c r="S6342" s="8">
        <v>2.9399999999999999E-2</v>
      </c>
      <c r="V6342" s="8">
        <v>0.26469999999999999</v>
      </c>
    </row>
    <row r="6343" spans="1:24" x14ac:dyDescent="0.3">
      <c r="A6343" s="22" t="s">
        <v>83</v>
      </c>
      <c r="B6343">
        <v>33</v>
      </c>
      <c r="C6343" t="s">
        <v>64</v>
      </c>
      <c r="D6343">
        <v>130</v>
      </c>
      <c r="E6343" s="8">
        <v>0.1212</v>
      </c>
      <c r="F6343" s="8">
        <v>9.0899999999999995E-2</v>
      </c>
      <c r="G6343" s="8">
        <v>0.2424</v>
      </c>
      <c r="H6343" s="8">
        <v>3.0300000000000001E-2</v>
      </c>
      <c r="J6343" s="8">
        <v>9.0899999999999995E-2</v>
      </c>
      <c r="K6343" s="8">
        <v>0.18179999999999999</v>
      </c>
      <c r="L6343" s="8">
        <v>0.33329999999999999</v>
      </c>
      <c r="M6343" s="8">
        <v>3.0300000000000001E-2</v>
      </c>
      <c r="N6343" s="8">
        <v>0.39389999999999997</v>
      </c>
      <c r="P6343" s="8">
        <v>0.30299999999999999</v>
      </c>
      <c r="R6343" s="8">
        <v>3.0300000000000001E-2</v>
      </c>
      <c r="S6343" s="8">
        <v>3.0300000000000001E-2</v>
      </c>
      <c r="V6343" s="8">
        <v>0.30299999999999999</v>
      </c>
      <c r="W6343" s="8">
        <v>3.0300000000000001E-2</v>
      </c>
    </row>
    <row r="6344" spans="1:24" x14ac:dyDescent="0.3">
      <c r="A6344" s="22" t="s">
        <v>84</v>
      </c>
      <c r="B6344">
        <v>31</v>
      </c>
      <c r="C6344" t="s">
        <v>64</v>
      </c>
      <c r="D6344">
        <v>130</v>
      </c>
      <c r="E6344" s="8">
        <v>6.4500000000000002E-2</v>
      </c>
      <c r="F6344" s="8">
        <v>0.1613</v>
      </c>
      <c r="G6344" s="8">
        <v>0.2581</v>
      </c>
      <c r="I6344" s="8">
        <v>3.2300000000000002E-2</v>
      </c>
      <c r="J6344" s="8">
        <v>9.6799999999999997E-2</v>
      </c>
      <c r="K6344" s="8">
        <v>0.3871</v>
      </c>
      <c r="L6344" s="8">
        <v>0.3226</v>
      </c>
      <c r="M6344" s="8">
        <v>3.2300000000000002E-2</v>
      </c>
      <c r="N6344" s="8">
        <v>0.5484</v>
      </c>
      <c r="O6344" s="8">
        <v>3.2300000000000002E-2</v>
      </c>
      <c r="P6344" s="8">
        <v>9.6799999999999997E-2</v>
      </c>
      <c r="R6344" s="8">
        <v>3.2300000000000002E-2</v>
      </c>
      <c r="T6344" s="8">
        <v>3.2300000000000002E-2</v>
      </c>
      <c r="U6344" s="8">
        <v>3.2300000000000002E-2</v>
      </c>
      <c r="V6344" s="8">
        <v>0.5161</v>
      </c>
      <c r="W6344" s="8">
        <v>3.2300000000000002E-2</v>
      </c>
    </row>
    <row r="6346" spans="1:24" ht="43.2" x14ac:dyDescent="0.3">
      <c r="A6346" s="27" t="s">
        <v>1409</v>
      </c>
    </row>
    <row r="6347" spans="1:24" x14ac:dyDescent="0.3">
      <c r="A6347" s="22" t="s">
        <v>62</v>
      </c>
      <c r="B6347" t="s">
        <v>57</v>
      </c>
      <c r="C6347" t="s">
        <v>63</v>
      </c>
      <c r="D6347" t="s">
        <v>226</v>
      </c>
      <c r="E6347" t="s">
        <v>228</v>
      </c>
      <c r="F6347" t="s">
        <v>229</v>
      </c>
      <c r="G6347" t="s">
        <v>154</v>
      </c>
      <c r="H6347" t="s">
        <v>230</v>
      </c>
      <c r="I6347" t="s">
        <v>231</v>
      </c>
      <c r="J6347" t="s">
        <v>232</v>
      </c>
      <c r="K6347" t="s">
        <v>233</v>
      </c>
      <c r="L6347" t="s">
        <v>234</v>
      </c>
      <c r="M6347" t="s">
        <v>235</v>
      </c>
      <c r="N6347" t="s">
        <v>236</v>
      </c>
      <c r="O6347" t="s">
        <v>237</v>
      </c>
      <c r="P6347" t="s">
        <v>136</v>
      </c>
      <c r="Q6347" t="s">
        <v>238</v>
      </c>
      <c r="R6347" t="s">
        <v>239</v>
      </c>
      <c r="S6347" t="s">
        <v>241</v>
      </c>
      <c r="T6347" t="s">
        <v>242</v>
      </c>
      <c r="U6347" t="s">
        <v>243</v>
      </c>
      <c r="V6347" t="s">
        <v>244</v>
      </c>
      <c r="W6347" t="s">
        <v>245</v>
      </c>
    </row>
    <row r="6348" spans="1:24" x14ac:dyDescent="0.3">
      <c r="A6348" s="22">
        <v>130</v>
      </c>
      <c r="B6348" t="s">
        <v>64</v>
      </c>
      <c r="C6348">
        <v>130</v>
      </c>
      <c r="D6348" s="8">
        <v>6.9199999999999998E-2</v>
      </c>
      <c r="E6348" s="8">
        <v>0.21540000000000001</v>
      </c>
      <c r="F6348" s="8">
        <v>0.22309999999999999</v>
      </c>
      <c r="G6348" s="8">
        <v>0.1308</v>
      </c>
      <c r="H6348" s="8">
        <v>4.6199999999999998E-2</v>
      </c>
      <c r="I6348" s="8">
        <v>1.54E-2</v>
      </c>
      <c r="J6348" s="8">
        <v>5.3800000000000001E-2</v>
      </c>
      <c r="K6348" s="8">
        <v>0.2077</v>
      </c>
      <c r="L6348" s="8">
        <v>0.1462</v>
      </c>
      <c r="M6348" s="8">
        <v>3.0800000000000001E-2</v>
      </c>
      <c r="N6348" s="8">
        <v>0.27689999999999998</v>
      </c>
      <c r="O6348" s="8">
        <v>3.0800000000000001E-2</v>
      </c>
      <c r="P6348" s="8">
        <v>0.18459999999999999</v>
      </c>
      <c r="Q6348" s="8">
        <v>5.3800000000000001E-2</v>
      </c>
      <c r="R6348" s="8">
        <v>7.7000000000000002E-3</v>
      </c>
      <c r="S6348" s="8">
        <v>0.1</v>
      </c>
      <c r="T6348" s="8">
        <v>3.0800000000000001E-2</v>
      </c>
      <c r="U6348" s="8">
        <v>3.0800000000000001E-2</v>
      </c>
      <c r="V6348" s="8">
        <v>0.1769</v>
      </c>
      <c r="W6348" s="8">
        <v>2.3099999999999999E-2</v>
      </c>
    </row>
    <row r="6350" spans="1:24" ht="72" x14ac:dyDescent="0.3">
      <c r="A6350" s="22" t="s">
        <v>1410</v>
      </c>
    </row>
    <row r="6351" spans="1:24" x14ac:dyDescent="0.3">
      <c r="A6351" s="22" t="s">
        <v>66</v>
      </c>
      <c r="B6351" t="s">
        <v>62</v>
      </c>
      <c r="C6351" t="s">
        <v>57</v>
      </c>
      <c r="D6351" t="s">
        <v>63</v>
      </c>
      <c r="E6351" t="s">
        <v>226</v>
      </c>
      <c r="F6351" t="s">
        <v>228</v>
      </c>
      <c r="G6351" t="s">
        <v>229</v>
      </c>
      <c r="H6351" t="s">
        <v>154</v>
      </c>
      <c r="I6351" t="s">
        <v>230</v>
      </c>
      <c r="J6351" t="s">
        <v>231</v>
      </c>
      <c r="K6351" t="s">
        <v>232</v>
      </c>
      <c r="L6351" t="s">
        <v>233</v>
      </c>
      <c r="M6351" t="s">
        <v>234</v>
      </c>
      <c r="N6351" t="s">
        <v>235</v>
      </c>
      <c r="O6351" t="s">
        <v>236</v>
      </c>
      <c r="P6351" t="s">
        <v>237</v>
      </c>
      <c r="Q6351" t="s">
        <v>136</v>
      </c>
      <c r="R6351" t="s">
        <v>238</v>
      </c>
      <c r="S6351" t="s">
        <v>239</v>
      </c>
      <c r="T6351" t="s">
        <v>241</v>
      </c>
      <c r="U6351" t="s">
        <v>242</v>
      </c>
      <c r="V6351" t="s">
        <v>243</v>
      </c>
      <c r="W6351" t="s">
        <v>244</v>
      </c>
      <c r="X6351" t="s">
        <v>245</v>
      </c>
    </row>
    <row r="6352" spans="1:24" x14ac:dyDescent="0.3">
      <c r="A6352" s="22" t="s">
        <v>67</v>
      </c>
      <c r="B6352">
        <v>123</v>
      </c>
      <c r="C6352" t="s">
        <v>64</v>
      </c>
      <c r="D6352">
        <v>130</v>
      </c>
      <c r="E6352" s="8">
        <v>7.3200000000000001E-2</v>
      </c>
      <c r="F6352" s="8">
        <v>0.1951</v>
      </c>
      <c r="G6352" s="8">
        <v>0.23580000000000001</v>
      </c>
      <c r="H6352" s="8">
        <v>0.122</v>
      </c>
      <c r="I6352" s="8">
        <v>4.8800000000000003E-2</v>
      </c>
      <c r="J6352" s="8">
        <v>1.6299999999999999E-2</v>
      </c>
      <c r="K6352" s="8">
        <v>5.6899999999999999E-2</v>
      </c>
      <c r="L6352" s="8">
        <v>0.2195</v>
      </c>
      <c r="M6352" s="8">
        <v>0.1545</v>
      </c>
      <c r="N6352" s="8">
        <v>3.2500000000000001E-2</v>
      </c>
      <c r="O6352" s="8">
        <v>0.29270000000000002</v>
      </c>
      <c r="P6352" s="8">
        <v>3.2500000000000001E-2</v>
      </c>
      <c r="Q6352" s="8">
        <v>0.1789</v>
      </c>
      <c r="R6352" s="8">
        <v>5.6899999999999999E-2</v>
      </c>
      <c r="S6352" s="8">
        <v>8.0999999999999996E-3</v>
      </c>
      <c r="T6352" s="8">
        <v>0.1057</v>
      </c>
      <c r="U6352" s="8">
        <v>3.2500000000000001E-2</v>
      </c>
      <c r="V6352" s="8">
        <v>2.4400000000000002E-2</v>
      </c>
      <c r="W6352" s="8">
        <v>0.1789</v>
      </c>
      <c r="X6352" s="8">
        <v>2.4400000000000002E-2</v>
      </c>
    </row>
    <row r="6353" spans="1:24" x14ac:dyDescent="0.3">
      <c r="A6353" s="22" t="s">
        <v>68</v>
      </c>
      <c r="B6353">
        <v>7</v>
      </c>
      <c r="C6353" t="s">
        <v>64</v>
      </c>
      <c r="D6353">
        <v>130</v>
      </c>
      <c r="F6353" s="8">
        <v>0.57140000000000002</v>
      </c>
      <c r="H6353" s="8">
        <v>0.28570000000000001</v>
      </c>
      <c r="Q6353" s="8">
        <v>0.28570000000000001</v>
      </c>
      <c r="V6353" s="8">
        <v>0.1429</v>
      </c>
      <c r="W6353" s="8">
        <v>0.1429</v>
      </c>
    </row>
    <row r="6355" spans="1:24" x14ac:dyDescent="0.3">
      <c r="A6355"/>
    </row>
    <row r="6356" spans="1:24" x14ac:dyDescent="0.3">
      <c r="A6356"/>
    </row>
    <row r="6357" spans="1:24" x14ac:dyDescent="0.3">
      <c r="A6357"/>
    </row>
    <row r="6359" spans="1:24" ht="57.6" x14ac:dyDescent="0.3">
      <c r="A6359" s="22" t="s">
        <v>1411</v>
      </c>
    </row>
    <row r="6360" spans="1:24" x14ac:dyDescent="0.3">
      <c r="A6360" s="22" t="s">
        <v>66</v>
      </c>
      <c r="B6360" t="s">
        <v>62</v>
      </c>
      <c r="C6360" t="s">
        <v>57</v>
      </c>
      <c r="D6360" t="s">
        <v>63</v>
      </c>
      <c r="E6360" t="s">
        <v>226</v>
      </c>
      <c r="F6360" t="s">
        <v>228</v>
      </c>
      <c r="G6360" t="s">
        <v>229</v>
      </c>
      <c r="H6360" t="s">
        <v>154</v>
      </c>
      <c r="I6360" t="s">
        <v>230</v>
      </c>
      <c r="J6360" t="s">
        <v>231</v>
      </c>
      <c r="K6360" t="s">
        <v>232</v>
      </c>
      <c r="L6360" t="s">
        <v>233</v>
      </c>
      <c r="M6360" t="s">
        <v>234</v>
      </c>
      <c r="N6360" t="s">
        <v>235</v>
      </c>
      <c r="O6360" t="s">
        <v>236</v>
      </c>
      <c r="P6360" t="s">
        <v>237</v>
      </c>
      <c r="Q6360" t="s">
        <v>136</v>
      </c>
      <c r="R6360" t="s">
        <v>238</v>
      </c>
      <c r="S6360" t="s">
        <v>239</v>
      </c>
      <c r="T6360" t="s">
        <v>241</v>
      </c>
      <c r="U6360" t="s">
        <v>242</v>
      </c>
      <c r="V6360" t="s">
        <v>243</v>
      </c>
      <c r="W6360" t="s">
        <v>244</v>
      </c>
      <c r="X6360" t="s">
        <v>245</v>
      </c>
    </row>
    <row r="6361" spans="1:24" x14ac:dyDescent="0.3">
      <c r="A6361" s="22" t="s">
        <v>67</v>
      </c>
      <c r="B6361">
        <v>124</v>
      </c>
      <c r="C6361" t="s">
        <v>64</v>
      </c>
      <c r="D6361">
        <v>130</v>
      </c>
      <c r="E6361" s="8">
        <v>6.4500000000000002E-2</v>
      </c>
      <c r="F6361" s="8">
        <v>0.2097</v>
      </c>
      <c r="G6361" s="8">
        <v>0.2339</v>
      </c>
      <c r="H6361" s="8">
        <v>0.1371</v>
      </c>
      <c r="I6361" s="8">
        <v>4.8399999999999999E-2</v>
      </c>
      <c r="J6361" s="8">
        <v>1.61E-2</v>
      </c>
      <c r="K6361" s="8">
        <v>5.6500000000000002E-2</v>
      </c>
      <c r="L6361" s="8">
        <v>0.2177</v>
      </c>
      <c r="M6361" s="8">
        <v>0.1532</v>
      </c>
      <c r="N6361" s="8">
        <v>3.2300000000000002E-2</v>
      </c>
      <c r="O6361" s="8">
        <v>0.2903</v>
      </c>
      <c r="P6361" s="8">
        <v>3.2300000000000002E-2</v>
      </c>
      <c r="Q6361" s="8">
        <v>0.1774</v>
      </c>
      <c r="R6361" s="8">
        <v>5.6500000000000002E-2</v>
      </c>
      <c r="T6361" s="8">
        <v>9.6799999999999997E-2</v>
      </c>
      <c r="U6361" s="8">
        <v>3.2300000000000002E-2</v>
      </c>
      <c r="V6361" s="8">
        <v>3.2300000000000002E-2</v>
      </c>
      <c r="W6361" s="8">
        <v>0.1855</v>
      </c>
      <c r="X6361" s="8">
        <v>1.61E-2</v>
      </c>
    </row>
    <row r="6362" spans="1:24" x14ac:dyDescent="0.3">
      <c r="A6362" s="22" t="s">
        <v>68</v>
      </c>
      <c r="B6362">
        <v>6</v>
      </c>
      <c r="C6362" t="s">
        <v>64</v>
      </c>
      <c r="D6362">
        <v>130</v>
      </c>
      <c r="E6362" s="8">
        <v>0.16669999999999999</v>
      </c>
      <c r="F6362" s="8">
        <v>0.33329999999999999</v>
      </c>
      <c r="Q6362" s="8">
        <v>0.33329999999999999</v>
      </c>
      <c r="S6362" s="8">
        <v>0.16669999999999999</v>
      </c>
      <c r="T6362" s="8">
        <v>0.16669999999999999</v>
      </c>
      <c r="X6362" s="8">
        <v>0.16669999999999999</v>
      </c>
    </row>
    <row r="6364" spans="1:24" ht="57.6" x14ac:dyDescent="0.3">
      <c r="A6364" s="22" t="s">
        <v>1412</v>
      </c>
    </row>
    <row r="6365" spans="1:24" x14ac:dyDescent="0.3">
      <c r="A6365" s="22" t="s">
        <v>66</v>
      </c>
      <c r="B6365" t="s">
        <v>62</v>
      </c>
      <c r="C6365" t="s">
        <v>57</v>
      </c>
      <c r="D6365" t="s">
        <v>63</v>
      </c>
      <c r="E6365" t="s">
        <v>226</v>
      </c>
      <c r="F6365" t="s">
        <v>228</v>
      </c>
      <c r="G6365" t="s">
        <v>229</v>
      </c>
      <c r="H6365" t="s">
        <v>154</v>
      </c>
      <c r="I6365" t="s">
        <v>230</v>
      </c>
      <c r="J6365" t="s">
        <v>231</v>
      </c>
      <c r="K6365" t="s">
        <v>232</v>
      </c>
      <c r="L6365" t="s">
        <v>233</v>
      </c>
      <c r="M6365" t="s">
        <v>234</v>
      </c>
      <c r="N6365" t="s">
        <v>235</v>
      </c>
      <c r="O6365" t="s">
        <v>236</v>
      </c>
      <c r="P6365" t="s">
        <v>237</v>
      </c>
      <c r="Q6365" t="s">
        <v>136</v>
      </c>
      <c r="R6365" t="s">
        <v>238</v>
      </c>
      <c r="S6365" t="s">
        <v>239</v>
      </c>
      <c r="T6365" t="s">
        <v>241</v>
      </c>
      <c r="U6365" t="s">
        <v>242</v>
      </c>
      <c r="V6365" t="s">
        <v>243</v>
      </c>
      <c r="W6365" t="s">
        <v>244</v>
      </c>
      <c r="X6365" t="s">
        <v>245</v>
      </c>
    </row>
    <row r="6366" spans="1:24" x14ac:dyDescent="0.3">
      <c r="A6366" s="22" t="s">
        <v>67</v>
      </c>
      <c r="B6366">
        <v>129</v>
      </c>
      <c r="C6366" t="s">
        <v>64</v>
      </c>
      <c r="D6366">
        <v>130</v>
      </c>
      <c r="E6366" s="8">
        <v>6.9800000000000001E-2</v>
      </c>
      <c r="F6366" s="8">
        <v>0.21709999999999999</v>
      </c>
      <c r="G6366" s="8">
        <v>0.2248</v>
      </c>
      <c r="H6366" s="8">
        <v>0.1318</v>
      </c>
      <c r="I6366" s="8">
        <v>4.65E-2</v>
      </c>
      <c r="J6366" s="8">
        <v>1.55E-2</v>
      </c>
      <c r="K6366" s="8">
        <v>5.4300000000000001E-2</v>
      </c>
      <c r="L6366" s="8">
        <v>0.20930000000000001</v>
      </c>
      <c r="M6366" s="8">
        <v>0.14729999999999999</v>
      </c>
      <c r="N6366" s="8">
        <v>3.1E-2</v>
      </c>
      <c r="O6366" s="8">
        <v>0.27910000000000001</v>
      </c>
      <c r="P6366" s="8">
        <v>3.1E-2</v>
      </c>
      <c r="Q6366" s="8">
        <v>0.186</v>
      </c>
      <c r="R6366" s="8">
        <v>5.4300000000000001E-2</v>
      </c>
      <c r="S6366" s="8">
        <v>7.7999999999999996E-3</v>
      </c>
      <c r="T6366" s="8">
        <v>9.2999999999999999E-2</v>
      </c>
      <c r="U6366" s="8">
        <v>2.3300000000000001E-2</v>
      </c>
      <c r="V6366" s="8">
        <v>3.1E-2</v>
      </c>
      <c r="W6366" s="8">
        <v>0.17829999999999999</v>
      </c>
      <c r="X6366" s="8">
        <v>2.3300000000000001E-2</v>
      </c>
    </row>
    <row r="6367" spans="1:24" x14ac:dyDescent="0.3">
      <c r="A6367" s="22" t="s">
        <v>68</v>
      </c>
      <c r="B6367">
        <v>1</v>
      </c>
      <c r="C6367" t="s">
        <v>64</v>
      </c>
      <c r="D6367">
        <v>130</v>
      </c>
      <c r="T6367" s="8">
        <v>1</v>
      </c>
      <c r="U6367" s="8">
        <v>1</v>
      </c>
    </row>
    <row r="6369" spans="1:24" ht="72" x14ac:dyDescent="0.3">
      <c r="A6369" s="22" t="s">
        <v>1413</v>
      </c>
    </row>
    <row r="6370" spans="1:24" x14ac:dyDescent="0.3">
      <c r="A6370" s="22" t="s">
        <v>66</v>
      </c>
      <c r="B6370" t="s">
        <v>62</v>
      </c>
      <c r="C6370" t="s">
        <v>57</v>
      </c>
      <c r="D6370" t="s">
        <v>63</v>
      </c>
      <c r="E6370" t="s">
        <v>226</v>
      </c>
      <c r="F6370" t="s">
        <v>228</v>
      </c>
      <c r="G6370" t="s">
        <v>229</v>
      </c>
      <c r="H6370" t="s">
        <v>154</v>
      </c>
      <c r="I6370" t="s">
        <v>230</v>
      </c>
      <c r="J6370" t="s">
        <v>231</v>
      </c>
      <c r="K6370" t="s">
        <v>232</v>
      </c>
      <c r="L6370" t="s">
        <v>233</v>
      </c>
      <c r="M6370" t="s">
        <v>234</v>
      </c>
      <c r="N6370" t="s">
        <v>235</v>
      </c>
      <c r="O6370" t="s">
        <v>236</v>
      </c>
      <c r="P6370" t="s">
        <v>237</v>
      </c>
      <c r="Q6370" t="s">
        <v>136</v>
      </c>
      <c r="R6370" t="s">
        <v>238</v>
      </c>
      <c r="S6370" t="s">
        <v>239</v>
      </c>
      <c r="T6370" t="s">
        <v>241</v>
      </c>
      <c r="U6370" t="s">
        <v>242</v>
      </c>
      <c r="V6370" t="s">
        <v>243</v>
      </c>
      <c r="W6370" t="s">
        <v>244</v>
      </c>
      <c r="X6370" t="s">
        <v>245</v>
      </c>
    </row>
    <row r="6371" spans="1:24" x14ac:dyDescent="0.3">
      <c r="A6371" s="22" t="s">
        <v>67</v>
      </c>
      <c r="B6371">
        <v>120</v>
      </c>
      <c r="C6371" t="s">
        <v>64</v>
      </c>
      <c r="D6371">
        <v>130</v>
      </c>
      <c r="E6371" s="8">
        <v>7.4999999999999997E-2</v>
      </c>
      <c r="F6371" s="8">
        <v>0.20830000000000001</v>
      </c>
      <c r="G6371" s="8">
        <v>0.22500000000000001</v>
      </c>
      <c r="H6371" s="8">
        <v>0.1167</v>
      </c>
      <c r="I6371" s="8">
        <v>0.05</v>
      </c>
      <c r="J6371" s="8">
        <v>1.67E-2</v>
      </c>
      <c r="K6371" s="8">
        <v>0.05</v>
      </c>
      <c r="L6371" s="8">
        <v>0.20830000000000001</v>
      </c>
      <c r="M6371" s="8">
        <v>0.1583</v>
      </c>
      <c r="N6371" s="8">
        <v>2.5000000000000001E-2</v>
      </c>
      <c r="O6371" s="8">
        <v>0.2833</v>
      </c>
      <c r="P6371" s="8">
        <v>3.3300000000000003E-2</v>
      </c>
      <c r="Q6371" s="8">
        <v>0.19170000000000001</v>
      </c>
      <c r="R6371" s="8">
        <v>5.8299999999999998E-2</v>
      </c>
      <c r="S6371" s="8">
        <v>8.3000000000000001E-3</v>
      </c>
      <c r="T6371" s="8">
        <v>0.10829999999999999</v>
      </c>
      <c r="U6371" s="8">
        <v>3.3300000000000003E-2</v>
      </c>
      <c r="V6371" s="8">
        <v>3.3300000000000003E-2</v>
      </c>
      <c r="W6371" s="8">
        <v>0.18329999999999999</v>
      </c>
      <c r="X6371" s="8">
        <v>2.5000000000000001E-2</v>
      </c>
    </row>
    <row r="6372" spans="1:24" x14ac:dyDescent="0.3">
      <c r="A6372" s="22" t="s">
        <v>68</v>
      </c>
      <c r="B6372">
        <v>10</v>
      </c>
      <c r="C6372" t="s">
        <v>64</v>
      </c>
      <c r="D6372">
        <v>130</v>
      </c>
      <c r="F6372" s="8">
        <v>0.3</v>
      </c>
      <c r="G6372" s="8">
        <v>0.2</v>
      </c>
      <c r="H6372" s="8">
        <v>0.3</v>
      </c>
      <c r="K6372" s="8">
        <v>0.1</v>
      </c>
      <c r="L6372" s="8">
        <v>0.2</v>
      </c>
      <c r="N6372" s="8">
        <v>0.1</v>
      </c>
      <c r="O6372" s="8">
        <v>0.2</v>
      </c>
      <c r="Q6372" s="8">
        <v>0.1</v>
      </c>
      <c r="W6372" s="8">
        <v>0.1</v>
      </c>
    </row>
    <row r="6374" spans="1:24" ht="72" x14ac:dyDescent="0.3">
      <c r="A6374" s="22" t="s">
        <v>1414</v>
      </c>
    </row>
    <row r="6375" spans="1:24" x14ac:dyDescent="0.3">
      <c r="A6375" s="22" t="s">
        <v>66</v>
      </c>
      <c r="B6375" t="s">
        <v>62</v>
      </c>
      <c r="C6375" t="s">
        <v>57</v>
      </c>
      <c r="D6375" t="s">
        <v>63</v>
      </c>
      <c r="E6375" t="s">
        <v>226</v>
      </c>
      <c r="F6375" t="s">
        <v>228</v>
      </c>
      <c r="G6375" t="s">
        <v>229</v>
      </c>
      <c r="H6375" t="s">
        <v>154</v>
      </c>
      <c r="I6375" t="s">
        <v>230</v>
      </c>
      <c r="J6375" t="s">
        <v>231</v>
      </c>
      <c r="K6375" t="s">
        <v>232</v>
      </c>
      <c r="L6375" t="s">
        <v>233</v>
      </c>
      <c r="M6375" t="s">
        <v>234</v>
      </c>
      <c r="N6375" t="s">
        <v>235</v>
      </c>
      <c r="O6375" t="s">
        <v>236</v>
      </c>
      <c r="P6375" t="s">
        <v>237</v>
      </c>
      <c r="Q6375" t="s">
        <v>136</v>
      </c>
      <c r="R6375" t="s">
        <v>238</v>
      </c>
      <c r="S6375" t="s">
        <v>239</v>
      </c>
      <c r="T6375" t="s">
        <v>241</v>
      </c>
      <c r="U6375" t="s">
        <v>242</v>
      </c>
      <c r="V6375" t="s">
        <v>243</v>
      </c>
      <c r="W6375" t="s">
        <v>244</v>
      </c>
      <c r="X6375" t="s">
        <v>245</v>
      </c>
    </row>
    <row r="6376" spans="1:24" x14ac:dyDescent="0.3">
      <c r="A6376" s="22" t="s">
        <v>67</v>
      </c>
      <c r="B6376">
        <v>5</v>
      </c>
      <c r="C6376" t="s">
        <v>64</v>
      </c>
      <c r="D6376">
        <v>130</v>
      </c>
      <c r="E6376" s="8">
        <v>0.2</v>
      </c>
      <c r="F6376" s="8">
        <v>0.2</v>
      </c>
      <c r="H6376" s="8">
        <v>0.2</v>
      </c>
      <c r="I6376" s="8">
        <v>0.2</v>
      </c>
      <c r="L6376" s="8">
        <v>0.2</v>
      </c>
      <c r="P6376" s="8">
        <v>0.2</v>
      </c>
      <c r="Q6376" s="8">
        <v>0.2</v>
      </c>
      <c r="R6376" s="8">
        <v>0.2</v>
      </c>
      <c r="W6376" s="8">
        <v>0.4</v>
      </c>
    </row>
    <row r="6377" spans="1:24" x14ac:dyDescent="0.3">
      <c r="A6377" s="22" t="s">
        <v>68</v>
      </c>
      <c r="B6377">
        <v>125</v>
      </c>
      <c r="C6377" t="s">
        <v>64</v>
      </c>
      <c r="D6377">
        <v>130</v>
      </c>
      <c r="E6377" s="8">
        <v>6.4000000000000001E-2</v>
      </c>
      <c r="F6377" s="8">
        <v>0.216</v>
      </c>
      <c r="G6377" s="8">
        <v>0.23200000000000001</v>
      </c>
      <c r="H6377" s="8">
        <v>0.128</v>
      </c>
      <c r="I6377" s="8">
        <v>0.04</v>
      </c>
      <c r="J6377" s="8">
        <v>1.6E-2</v>
      </c>
      <c r="K6377" s="8">
        <v>5.6000000000000001E-2</v>
      </c>
      <c r="L6377" s="8">
        <v>0.20799999999999999</v>
      </c>
      <c r="M6377" s="8">
        <v>0.152</v>
      </c>
      <c r="N6377" s="8">
        <v>3.2000000000000001E-2</v>
      </c>
      <c r="O6377" s="8">
        <v>0.28799999999999998</v>
      </c>
      <c r="P6377" s="8">
        <v>2.4E-2</v>
      </c>
      <c r="Q6377" s="8">
        <v>0.184</v>
      </c>
      <c r="R6377" s="8">
        <v>4.8000000000000001E-2</v>
      </c>
      <c r="S6377" s="8">
        <v>8.0000000000000002E-3</v>
      </c>
      <c r="T6377" s="8">
        <v>0.104</v>
      </c>
      <c r="U6377" s="8">
        <v>3.2000000000000001E-2</v>
      </c>
      <c r="V6377" s="8">
        <v>3.2000000000000001E-2</v>
      </c>
      <c r="W6377" s="8">
        <v>0.16800000000000001</v>
      </c>
      <c r="X6377" s="8">
        <v>2.4E-2</v>
      </c>
    </row>
    <row r="6379" spans="1:24" ht="57.6" x14ac:dyDescent="0.3">
      <c r="A6379" s="22" t="s">
        <v>1415</v>
      </c>
    </row>
    <row r="6380" spans="1:24" x14ac:dyDescent="0.3">
      <c r="A6380" s="22" t="s">
        <v>66</v>
      </c>
      <c r="B6380" t="s">
        <v>62</v>
      </c>
      <c r="C6380" t="s">
        <v>57</v>
      </c>
      <c r="D6380" t="s">
        <v>63</v>
      </c>
      <c r="E6380" t="s">
        <v>226</v>
      </c>
      <c r="F6380" t="s">
        <v>228</v>
      </c>
      <c r="G6380" t="s">
        <v>229</v>
      </c>
      <c r="H6380" t="s">
        <v>154</v>
      </c>
      <c r="I6380" t="s">
        <v>230</v>
      </c>
      <c r="J6380" t="s">
        <v>231</v>
      </c>
      <c r="K6380" t="s">
        <v>232</v>
      </c>
      <c r="L6380" t="s">
        <v>233</v>
      </c>
      <c r="M6380" t="s">
        <v>234</v>
      </c>
      <c r="N6380" t="s">
        <v>235</v>
      </c>
      <c r="O6380" t="s">
        <v>236</v>
      </c>
      <c r="P6380" t="s">
        <v>237</v>
      </c>
      <c r="Q6380" t="s">
        <v>136</v>
      </c>
      <c r="R6380" t="s">
        <v>238</v>
      </c>
      <c r="S6380" t="s">
        <v>239</v>
      </c>
      <c r="T6380" t="s">
        <v>241</v>
      </c>
      <c r="U6380" t="s">
        <v>242</v>
      </c>
      <c r="V6380" t="s">
        <v>243</v>
      </c>
      <c r="W6380" t="s">
        <v>244</v>
      </c>
      <c r="X6380" t="s">
        <v>245</v>
      </c>
    </row>
    <row r="6381" spans="1:24" x14ac:dyDescent="0.3">
      <c r="A6381" s="22" t="s">
        <v>67</v>
      </c>
      <c r="B6381">
        <v>106</v>
      </c>
      <c r="C6381" t="s">
        <v>64</v>
      </c>
      <c r="D6381">
        <v>130</v>
      </c>
      <c r="E6381" s="8">
        <v>8.4900000000000003E-2</v>
      </c>
      <c r="F6381" s="8">
        <v>0.22639999999999999</v>
      </c>
      <c r="G6381" s="8">
        <v>0.22639999999999999</v>
      </c>
      <c r="H6381" s="8">
        <v>0.1038</v>
      </c>
      <c r="I6381" s="8">
        <v>5.6599999999999998E-2</v>
      </c>
      <c r="J6381" s="8">
        <v>9.4000000000000004E-3</v>
      </c>
      <c r="K6381" s="8">
        <v>6.6000000000000003E-2</v>
      </c>
      <c r="L6381" s="8">
        <v>0.1981</v>
      </c>
      <c r="M6381" s="8">
        <v>0.16980000000000001</v>
      </c>
      <c r="N6381" s="8">
        <v>1.89E-2</v>
      </c>
      <c r="O6381" s="8">
        <v>0.29249999999999998</v>
      </c>
      <c r="P6381" s="8">
        <v>3.7699999999999997E-2</v>
      </c>
      <c r="Q6381" s="8">
        <v>0.16980000000000001</v>
      </c>
      <c r="R6381" s="8">
        <v>5.6599999999999998E-2</v>
      </c>
      <c r="S6381" s="8">
        <v>9.4000000000000004E-3</v>
      </c>
      <c r="T6381" s="8">
        <v>0.1132</v>
      </c>
      <c r="U6381" s="8">
        <v>3.7699999999999997E-2</v>
      </c>
      <c r="V6381" s="8">
        <v>1.89E-2</v>
      </c>
      <c r="W6381" s="8">
        <v>0.18870000000000001</v>
      </c>
      <c r="X6381" s="8">
        <v>2.8299999999999999E-2</v>
      </c>
    </row>
    <row r="6382" spans="1:24" x14ac:dyDescent="0.3">
      <c r="A6382" s="22" t="s">
        <v>68</v>
      </c>
      <c r="B6382">
        <v>24</v>
      </c>
      <c r="C6382" t="s">
        <v>64</v>
      </c>
      <c r="D6382">
        <v>130</v>
      </c>
      <c r="F6382" s="8">
        <v>0.16669999999999999</v>
      </c>
      <c r="G6382" s="8">
        <v>0.20830000000000001</v>
      </c>
      <c r="H6382" s="8">
        <v>0.25</v>
      </c>
      <c r="J6382" s="8">
        <v>4.1700000000000001E-2</v>
      </c>
      <c r="L6382" s="8">
        <v>0.25</v>
      </c>
      <c r="M6382" s="8">
        <v>4.1700000000000001E-2</v>
      </c>
      <c r="N6382" s="8">
        <v>8.3299999999999999E-2</v>
      </c>
      <c r="O6382" s="8">
        <v>0.20830000000000001</v>
      </c>
      <c r="Q6382" s="8">
        <v>0.25</v>
      </c>
      <c r="R6382" s="8">
        <v>4.1700000000000001E-2</v>
      </c>
      <c r="T6382" s="8">
        <v>4.1700000000000001E-2</v>
      </c>
      <c r="V6382" s="8">
        <v>8.3299999999999999E-2</v>
      </c>
      <c r="W6382" s="8">
        <v>0.125</v>
      </c>
    </row>
    <row r="6384" spans="1:24" ht="57.6" x14ac:dyDescent="0.3">
      <c r="A6384" s="22" t="s">
        <v>1416</v>
      </c>
    </row>
    <row r="6385" spans="1:24" x14ac:dyDescent="0.3">
      <c r="A6385" s="22" t="s">
        <v>66</v>
      </c>
      <c r="B6385" t="s">
        <v>62</v>
      </c>
      <c r="C6385" t="s">
        <v>57</v>
      </c>
      <c r="D6385" t="s">
        <v>63</v>
      </c>
      <c r="E6385" t="s">
        <v>226</v>
      </c>
      <c r="F6385" t="s">
        <v>228</v>
      </c>
      <c r="G6385" t="s">
        <v>229</v>
      </c>
      <c r="H6385" t="s">
        <v>154</v>
      </c>
      <c r="I6385" t="s">
        <v>230</v>
      </c>
      <c r="J6385" t="s">
        <v>231</v>
      </c>
      <c r="K6385" t="s">
        <v>232</v>
      </c>
      <c r="L6385" t="s">
        <v>233</v>
      </c>
      <c r="M6385" t="s">
        <v>234</v>
      </c>
      <c r="N6385" t="s">
        <v>235</v>
      </c>
      <c r="O6385" t="s">
        <v>236</v>
      </c>
      <c r="P6385" t="s">
        <v>237</v>
      </c>
      <c r="Q6385" t="s">
        <v>136</v>
      </c>
      <c r="R6385" t="s">
        <v>238</v>
      </c>
      <c r="S6385" t="s">
        <v>239</v>
      </c>
      <c r="T6385" t="s">
        <v>241</v>
      </c>
      <c r="U6385" t="s">
        <v>242</v>
      </c>
      <c r="V6385" t="s">
        <v>243</v>
      </c>
      <c r="W6385" t="s">
        <v>244</v>
      </c>
      <c r="X6385" t="s">
        <v>245</v>
      </c>
    </row>
    <row r="6386" spans="1:24" x14ac:dyDescent="0.3">
      <c r="A6386" s="22" t="s">
        <v>67</v>
      </c>
      <c r="B6386">
        <v>101</v>
      </c>
      <c r="C6386" t="s">
        <v>64</v>
      </c>
      <c r="D6386">
        <v>130</v>
      </c>
      <c r="E6386" s="8">
        <v>5.9400000000000001E-2</v>
      </c>
      <c r="F6386" s="8">
        <v>0.2079</v>
      </c>
      <c r="G6386" s="8">
        <v>0.22770000000000001</v>
      </c>
      <c r="H6386" s="8">
        <v>0.1386</v>
      </c>
      <c r="I6386" s="8">
        <v>4.9500000000000002E-2</v>
      </c>
      <c r="J6386" s="8">
        <v>1.9800000000000002E-2</v>
      </c>
      <c r="K6386" s="8">
        <v>2.9700000000000001E-2</v>
      </c>
      <c r="L6386" s="8">
        <v>0.22770000000000001</v>
      </c>
      <c r="M6386" s="8">
        <v>0.14849999999999999</v>
      </c>
      <c r="N6386" s="8">
        <v>2.9700000000000001E-2</v>
      </c>
      <c r="O6386" s="8">
        <v>0.32669999999999999</v>
      </c>
      <c r="P6386" s="8">
        <v>2.9700000000000001E-2</v>
      </c>
      <c r="Q6386" s="8">
        <v>0.16830000000000001</v>
      </c>
      <c r="R6386" s="8">
        <v>5.9400000000000001E-2</v>
      </c>
      <c r="S6386" s="8">
        <v>9.9000000000000008E-3</v>
      </c>
      <c r="T6386" s="8">
        <v>9.9000000000000005E-2</v>
      </c>
      <c r="U6386" s="8">
        <v>2.9700000000000001E-2</v>
      </c>
      <c r="V6386" s="8">
        <v>2.9700000000000001E-2</v>
      </c>
      <c r="W6386" s="8">
        <v>0.19800000000000001</v>
      </c>
      <c r="X6386" s="8">
        <v>1.9800000000000002E-2</v>
      </c>
    </row>
    <row r="6387" spans="1:24" x14ac:dyDescent="0.3">
      <c r="A6387" s="22" t="s">
        <v>68</v>
      </c>
      <c r="B6387">
        <v>29</v>
      </c>
      <c r="C6387" t="s">
        <v>64</v>
      </c>
      <c r="D6387">
        <v>130</v>
      </c>
      <c r="E6387" s="8">
        <v>0.10340000000000001</v>
      </c>
      <c r="F6387" s="8">
        <v>0.2414</v>
      </c>
      <c r="G6387" s="8">
        <v>0.2069</v>
      </c>
      <c r="H6387" s="8">
        <v>0.10340000000000001</v>
      </c>
      <c r="I6387" s="8">
        <v>3.4500000000000003E-2</v>
      </c>
      <c r="K6387" s="8">
        <v>0.13789999999999999</v>
      </c>
      <c r="L6387" s="8">
        <v>0.13789999999999999</v>
      </c>
      <c r="M6387" s="8">
        <v>0.13789999999999999</v>
      </c>
      <c r="N6387" s="8">
        <v>3.4500000000000003E-2</v>
      </c>
      <c r="O6387" s="8">
        <v>0.10340000000000001</v>
      </c>
      <c r="P6387" s="8">
        <v>3.4500000000000003E-2</v>
      </c>
      <c r="Q6387" s="8">
        <v>0.2414</v>
      </c>
      <c r="R6387" s="8">
        <v>3.4500000000000003E-2</v>
      </c>
      <c r="T6387" s="8">
        <v>0.10340000000000001</v>
      </c>
      <c r="U6387" s="8">
        <v>3.4500000000000003E-2</v>
      </c>
      <c r="V6387" s="8">
        <v>3.4500000000000003E-2</v>
      </c>
      <c r="W6387" s="8">
        <v>0.10340000000000001</v>
      </c>
      <c r="X6387" s="8">
        <v>3.4500000000000003E-2</v>
      </c>
    </row>
    <row r="6389" spans="1:24" ht="72" x14ac:dyDescent="0.3">
      <c r="A6389" s="22" t="s">
        <v>1417</v>
      </c>
    </row>
    <row r="6390" spans="1:24" x14ac:dyDescent="0.3">
      <c r="A6390" s="22" t="s">
        <v>66</v>
      </c>
      <c r="B6390" t="s">
        <v>62</v>
      </c>
      <c r="C6390" t="s">
        <v>57</v>
      </c>
      <c r="D6390" t="s">
        <v>63</v>
      </c>
      <c r="E6390" t="s">
        <v>226</v>
      </c>
      <c r="F6390" t="s">
        <v>228</v>
      </c>
      <c r="G6390" t="s">
        <v>229</v>
      </c>
      <c r="H6390" t="s">
        <v>154</v>
      </c>
      <c r="I6390" t="s">
        <v>230</v>
      </c>
      <c r="J6390" t="s">
        <v>231</v>
      </c>
      <c r="K6390" t="s">
        <v>232</v>
      </c>
      <c r="L6390" t="s">
        <v>233</v>
      </c>
      <c r="M6390" t="s">
        <v>234</v>
      </c>
      <c r="N6390" t="s">
        <v>235</v>
      </c>
      <c r="O6390" t="s">
        <v>236</v>
      </c>
      <c r="P6390" t="s">
        <v>237</v>
      </c>
      <c r="Q6390" t="s">
        <v>136</v>
      </c>
      <c r="R6390" t="s">
        <v>238</v>
      </c>
      <c r="S6390" t="s">
        <v>239</v>
      </c>
      <c r="T6390" t="s">
        <v>241</v>
      </c>
      <c r="U6390" t="s">
        <v>242</v>
      </c>
      <c r="V6390" t="s">
        <v>243</v>
      </c>
      <c r="W6390" t="s">
        <v>244</v>
      </c>
      <c r="X6390" t="s">
        <v>245</v>
      </c>
    </row>
    <row r="6391" spans="1:24" x14ac:dyDescent="0.3">
      <c r="A6391" s="22" t="s">
        <v>67</v>
      </c>
      <c r="B6391">
        <v>98</v>
      </c>
      <c r="C6391" t="s">
        <v>64</v>
      </c>
      <c r="D6391">
        <v>130</v>
      </c>
      <c r="E6391" s="8">
        <v>4.0800000000000003E-2</v>
      </c>
      <c r="F6391" s="8">
        <v>0.22450000000000001</v>
      </c>
      <c r="G6391" s="8">
        <v>0.2041</v>
      </c>
      <c r="H6391" s="8">
        <v>0.1429</v>
      </c>
      <c r="I6391" s="8">
        <v>4.0800000000000003E-2</v>
      </c>
      <c r="J6391" s="8">
        <v>2.0400000000000001E-2</v>
      </c>
      <c r="K6391" s="8">
        <v>3.0599999999999999E-2</v>
      </c>
      <c r="L6391" s="8">
        <v>0.1837</v>
      </c>
      <c r="M6391" s="8">
        <v>0.15310000000000001</v>
      </c>
      <c r="N6391" s="8">
        <v>4.0800000000000003E-2</v>
      </c>
      <c r="O6391" s="8">
        <v>0.27550000000000002</v>
      </c>
      <c r="P6391" s="8">
        <v>2.0400000000000001E-2</v>
      </c>
      <c r="Q6391" s="8">
        <v>0.19389999999999999</v>
      </c>
      <c r="R6391" s="8">
        <v>4.0800000000000003E-2</v>
      </c>
      <c r="S6391" s="8">
        <v>1.0200000000000001E-2</v>
      </c>
      <c r="T6391" s="8">
        <v>9.1800000000000007E-2</v>
      </c>
      <c r="U6391" s="8">
        <v>3.0599999999999999E-2</v>
      </c>
      <c r="V6391" s="8">
        <v>4.0800000000000003E-2</v>
      </c>
      <c r="W6391" s="8">
        <v>0.2041</v>
      </c>
      <c r="X6391" s="8">
        <v>2.0400000000000001E-2</v>
      </c>
    </row>
    <row r="6392" spans="1:24" x14ac:dyDescent="0.3">
      <c r="A6392" s="22" t="s">
        <v>68</v>
      </c>
      <c r="B6392">
        <v>32</v>
      </c>
      <c r="C6392" t="s">
        <v>64</v>
      </c>
      <c r="D6392">
        <v>130</v>
      </c>
      <c r="E6392" s="8">
        <v>0.15620000000000001</v>
      </c>
      <c r="F6392" s="8">
        <v>0.1875</v>
      </c>
      <c r="G6392" s="8">
        <v>0.28120000000000001</v>
      </c>
      <c r="H6392" s="8">
        <v>9.3799999999999994E-2</v>
      </c>
      <c r="I6392" s="8">
        <v>6.25E-2</v>
      </c>
      <c r="K6392" s="8">
        <v>0.125</v>
      </c>
      <c r="L6392" s="8">
        <v>0.28120000000000001</v>
      </c>
      <c r="M6392" s="8">
        <v>0.125</v>
      </c>
      <c r="O6392" s="8">
        <v>0.28120000000000001</v>
      </c>
      <c r="P6392" s="8">
        <v>6.25E-2</v>
      </c>
      <c r="Q6392" s="8">
        <v>0.15620000000000001</v>
      </c>
      <c r="R6392" s="8">
        <v>9.3799999999999994E-2</v>
      </c>
      <c r="T6392" s="8">
        <v>0.125</v>
      </c>
      <c r="U6392" s="8">
        <v>3.1199999999999999E-2</v>
      </c>
      <c r="W6392" s="8">
        <v>9.3799999999999994E-2</v>
      </c>
      <c r="X6392" s="8">
        <v>3.1199999999999999E-2</v>
      </c>
    </row>
    <row r="6394" spans="1:24" ht="72" x14ac:dyDescent="0.3">
      <c r="A6394" s="22" t="s">
        <v>1418</v>
      </c>
    </row>
    <row r="6395" spans="1:24" x14ac:dyDescent="0.3">
      <c r="A6395" s="22" t="s">
        <v>66</v>
      </c>
      <c r="B6395" t="s">
        <v>62</v>
      </c>
      <c r="C6395" t="s">
        <v>57</v>
      </c>
      <c r="D6395" t="s">
        <v>63</v>
      </c>
      <c r="E6395" t="s">
        <v>226</v>
      </c>
      <c r="F6395" t="s">
        <v>228</v>
      </c>
      <c r="G6395" t="s">
        <v>229</v>
      </c>
      <c r="H6395" t="s">
        <v>154</v>
      </c>
      <c r="I6395" t="s">
        <v>230</v>
      </c>
      <c r="J6395" t="s">
        <v>231</v>
      </c>
      <c r="K6395" t="s">
        <v>232</v>
      </c>
      <c r="L6395" t="s">
        <v>233</v>
      </c>
      <c r="M6395" t="s">
        <v>234</v>
      </c>
      <c r="N6395" t="s">
        <v>235</v>
      </c>
      <c r="O6395" t="s">
        <v>236</v>
      </c>
      <c r="P6395" t="s">
        <v>237</v>
      </c>
      <c r="Q6395" t="s">
        <v>136</v>
      </c>
      <c r="R6395" t="s">
        <v>238</v>
      </c>
      <c r="S6395" t="s">
        <v>239</v>
      </c>
      <c r="T6395" t="s">
        <v>241</v>
      </c>
      <c r="U6395" t="s">
        <v>242</v>
      </c>
      <c r="V6395" t="s">
        <v>243</v>
      </c>
      <c r="W6395" t="s">
        <v>244</v>
      </c>
      <c r="X6395" t="s">
        <v>245</v>
      </c>
    </row>
    <row r="6396" spans="1:24" x14ac:dyDescent="0.3">
      <c r="A6396" s="22" t="s">
        <v>67</v>
      </c>
      <c r="B6396">
        <v>118</v>
      </c>
      <c r="C6396" t="s">
        <v>64</v>
      </c>
      <c r="D6396">
        <v>130</v>
      </c>
      <c r="E6396" s="8">
        <v>7.6300000000000007E-2</v>
      </c>
      <c r="F6396" s="8">
        <v>0.2203</v>
      </c>
      <c r="G6396" s="8">
        <v>0.21190000000000001</v>
      </c>
      <c r="H6396" s="8">
        <v>0.12709999999999999</v>
      </c>
      <c r="I6396" s="8">
        <v>5.0799999999999998E-2</v>
      </c>
      <c r="J6396" s="8">
        <v>1.6899999999999998E-2</v>
      </c>
      <c r="K6396" s="8">
        <v>4.24E-2</v>
      </c>
      <c r="L6396" s="8">
        <v>0.19489999999999999</v>
      </c>
      <c r="M6396" s="8">
        <v>0.12709999999999999</v>
      </c>
      <c r="N6396" s="8">
        <v>2.5399999999999999E-2</v>
      </c>
      <c r="O6396" s="8">
        <v>0.28810000000000002</v>
      </c>
      <c r="P6396" s="8">
        <v>2.5399999999999999E-2</v>
      </c>
      <c r="Q6396" s="8">
        <v>0.18640000000000001</v>
      </c>
      <c r="R6396" s="8">
        <v>5.0799999999999998E-2</v>
      </c>
      <c r="S6396" s="8">
        <v>8.5000000000000006E-3</v>
      </c>
      <c r="T6396" s="8">
        <v>0.1017</v>
      </c>
      <c r="U6396" s="8">
        <v>3.39E-2</v>
      </c>
      <c r="V6396" s="8">
        <v>3.39E-2</v>
      </c>
      <c r="W6396" s="8">
        <v>0.16950000000000001</v>
      </c>
      <c r="X6396" s="8">
        <v>2.5399999999999999E-2</v>
      </c>
    </row>
    <row r="6397" spans="1:24" x14ac:dyDescent="0.3">
      <c r="A6397" s="22" t="s">
        <v>68</v>
      </c>
      <c r="B6397">
        <v>12</v>
      </c>
      <c r="C6397" t="s">
        <v>64</v>
      </c>
      <c r="D6397">
        <v>130</v>
      </c>
      <c r="F6397" s="8">
        <v>0.16669999999999999</v>
      </c>
      <c r="G6397" s="8">
        <v>0.33329999999999999</v>
      </c>
      <c r="H6397" s="8">
        <v>0.16669999999999999</v>
      </c>
      <c r="K6397" s="8">
        <v>0.16669999999999999</v>
      </c>
      <c r="L6397" s="8">
        <v>0.33329999999999999</v>
      </c>
      <c r="M6397" s="8">
        <v>0.33329999999999999</v>
      </c>
      <c r="N6397" s="8">
        <v>8.3299999999999999E-2</v>
      </c>
      <c r="O6397" s="8">
        <v>0.16669999999999999</v>
      </c>
      <c r="P6397" s="8">
        <v>8.3299999999999999E-2</v>
      </c>
      <c r="Q6397" s="8">
        <v>0.16669999999999999</v>
      </c>
      <c r="R6397" s="8">
        <v>8.3299999999999999E-2</v>
      </c>
      <c r="T6397" s="8">
        <v>8.3299999999999999E-2</v>
      </c>
      <c r="W6397" s="8">
        <v>0.25</v>
      </c>
    </row>
    <row r="6399" spans="1:24" ht="72" x14ac:dyDescent="0.3">
      <c r="A6399" s="22" t="s">
        <v>1419</v>
      </c>
    </row>
    <row r="6400" spans="1:24" x14ac:dyDescent="0.3">
      <c r="A6400" s="22" t="s">
        <v>66</v>
      </c>
      <c r="B6400" t="s">
        <v>62</v>
      </c>
      <c r="C6400" t="s">
        <v>57</v>
      </c>
      <c r="D6400" t="s">
        <v>63</v>
      </c>
      <c r="E6400" t="s">
        <v>226</v>
      </c>
      <c r="F6400" t="s">
        <v>228</v>
      </c>
      <c r="G6400" t="s">
        <v>229</v>
      </c>
      <c r="H6400" t="s">
        <v>154</v>
      </c>
      <c r="I6400" t="s">
        <v>230</v>
      </c>
      <c r="J6400" t="s">
        <v>231</v>
      </c>
      <c r="K6400" t="s">
        <v>232</v>
      </c>
      <c r="L6400" t="s">
        <v>233</v>
      </c>
      <c r="M6400" t="s">
        <v>234</v>
      </c>
      <c r="N6400" t="s">
        <v>235</v>
      </c>
      <c r="O6400" t="s">
        <v>236</v>
      </c>
      <c r="P6400" t="s">
        <v>237</v>
      </c>
      <c r="Q6400" t="s">
        <v>136</v>
      </c>
      <c r="R6400" t="s">
        <v>238</v>
      </c>
      <c r="S6400" t="s">
        <v>239</v>
      </c>
      <c r="T6400" t="s">
        <v>241</v>
      </c>
      <c r="U6400" t="s">
        <v>242</v>
      </c>
      <c r="V6400" t="s">
        <v>243</v>
      </c>
      <c r="W6400" t="s">
        <v>244</v>
      </c>
      <c r="X6400" t="s">
        <v>245</v>
      </c>
    </row>
    <row r="6401" spans="1:24" x14ac:dyDescent="0.3">
      <c r="A6401" s="22" t="s">
        <v>67</v>
      </c>
      <c r="B6401">
        <v>130</v>
      </c>
      <c r="C6401" t="s">
        <v>64</v>
      </c>
      <c r="D6401">
        <v>130</v>
      </c>
      <c r="E6401" s="8">
        <v>6.9199999999999998E-2</v>
      </c>
      <c r="F6401" s="8">
        <v>0.21540000000000001</v>
      </c>
      <c r="G6401" s="8">
        <v>0.22309999999999999</v>
      </c>
      <c r="H6401" s="8">
        <v>0.1308</v>
      </c>
      <c r="I6401" s="8">
        <v>4.6199999999999998E-2</v>
      </c>
      <c r="J6401" s="8">
        <v>1.54E-2</v>
      </c>
      <c r="K6401" s="8">
        <v>5.3800000000000001E-2</v>
      </c>
      <c r="L6401" s="8">
        <v>0.2077</v>
      </c>
      <c r="M6401" s="8">
        <v>0.1462</v>
      </c>
      <c r="N6401" s="8">
        <v>3.0800000000000001E-2</v>
      </c>
      <c r="O6401" s="8">
        <v>0.27689999999999998</v>
      </c>
      <c r="P6401" s="8">
        <v>3.0800000000000001E-2</v>
      </c>
      <c r="Q6401" s="8">
        <v>0.18459999999999999</v>
      </c>
      <c r="R6401" s="8">
        <v>5.3800000000000001E-2</v>
      </c>
      <c r="S6401" s="8">
        <v>7.7000000000000002E-3</v>
      </c>
      <c r="T6401" s="8">
        <v>0.1</v>
      </c>
      <c r="U6401" s="8">
        <v>3.0800000000000001E-2</v>
      </c>
      <c r="V6401" s="8">
        <v>3.0800000000000001E-2</v>
      </c>
      <c r="W6401" s="8">
        <v>0.1769</v>
      </c>
      <c r="X6401" s="8">
        <v>2.3099999999999999E-2</v>
      </c>
    </row>
    <row r="6403" spans="1:24" ht="57.6" x14ac:dyDescent="0.3">
      <c r="A6403" s="22" t="s">
        <v>1420</v>
      </c>
    </row>
    <row r="6404" spans="1:24" x14ac:dyDescent="0.3">
      <c r="A6404" s="22" t="s">
        <v>66</v>
      </c>
      <c r="B6404" t="s">
        <v>62</v>
      </c>
      <c r="C6404" t="s">
        <v>57</v>
      </c>
      <c r="D6404" t="s">
        <v>63</v>
      </c>
      <c r="E6404" t="s">
        <v>226</v>
      </c>
      <c r="F6404" t="s">
        <v>228</v>
      </c>
      <c r="G6404" t="s">
        <v>229</v>
      </c>
      <c r="H6404" t="s">
        <v>154</v>
      </c>
      <c r="I6404" t="s">
        <v>230</v>
      </c>
      <c r="J6404" t="s">
        <v>231</v>
      </c>
      <c r="K6404" t="s">
        <v>232</v>
      </c>
      <c r="L6404" t="s">
        <v>233</v>
      </c>
      <c r="M6404" t="s">
        <v>234</v>
      </c>
      <c r="N6404" t="s">
        <v>235</v>
      </c>
      <c r="O6404" t="s">
        <v>236</v>
      </c>
      <c r="P6404" t="s">
        <v>237</v>
      </c>
      <c r="Q6404" t="s">
        <v>136</v>
      </c>
      <c r="R6404" t="s">
        <v>238</v>
      </c>
      <c r="S6404" t="s">
        <v>239</v>
      </c>
      <c r="T6404" t="s">
        <v>241</v>
      </c>
      <c r="U6404" t="s">
        <v>242</v>
      </c>
      <c r="V6404" t="s">
        <v>243</v>
      </c>
      <c r="W6404" t="s">
        <v>244</v>
      </c>
      <c r="X6404" t="s">
        <v>245</v>
      </c>
    </row>
    <row r="6405" spans="1:24" x14ac:dyDescent="0.3">
      <c r="A6405" s="22" t="s">
        <v>67</v>
      </c>
      <c r="B6405">
        <v>77</v>
      </c>
      <c r="C6405" t="s">
        <v>64</v>
      </c>
      <c r="D6405">
        <v>130</v>
      </c>
      <c r="E6405" s="8">
        <v>9.0899999999999995E-2</v>
      </c>
      <c r="F6405" s="8">
        <v>0.20780000000000001</v>
      </c>
      <c r="G6405" s="8">
        <v>0.15579999999999999</v>
      </c>
      <c r="H6405" s="8">
        <v>0.12989999999999999</v>
      </c>
      <c r="I6405" s="8">
        <v>6.4899999999999999E-2</v>
      </c>
      <c r="K6405" s="8">
        <v>2.5999999999999999E-2</v>
      </c>
      <c r="L6405" s="8">
        <v>0.1948</v>
      </c>
      <c r="M6405" s="8">
        <v>0.1429</v>
      </c>
      <c r="N6405" s="8">
        <v>3.9E-2</v>
      </c>
      <c r="O6405" s="8">
        <v>0.2727</v>
      </c>
      <c r="P6405" s="8">
        <v>3.9E-2</v>
      </c>
      <c r="Q6405" s="8">
        <v>0.1948</v>
      </c>
      <c r="R6405" s="8">
        <v>5.1900000000000002E-2</v>
      </c>
      <c r="S6405" s="8">
        <v>1.2999999999999999E-2</v>
      </c>
      <c r="T6405" s="8">
        <v>0.1169</v>
      </c>
      <c r="U6405" s="8">
        <v>5.1900000000000002E-2</v>
      </c>
      <c r="V6405" s="8">
        <v>2.5999999999999999E-2</v>
      </c>
      <c r="W6405" s="8">
        <v>0.1429</v>
      </c>
      <c r="X6405" s="8">
        <v>2.5999999999999999E-2</v>
      </c>
    </row>
    <row r="6406" spans="1:24" x14ac:dyDescent="0.3">
      <c r="A6406" s="22" t="s">
        <v>68</v>
      </c>
      <c r="B6406">
        <v>53</v>
      </c>
      <c r="C6406" t="s">
        <v>64</v>
      </c>
      <c r="D6406">
        <v>130</v>
      </c>
      <c r="E6406" s="8">
        <v>3.7699999999999997E-2</v>
      </c>
      <c r="F6406" s="8">
        <v>0.22639999999999999</v>
      </c>
      <c r="G6406" s="8">
        <v>0.32079999999999997</v>
      </c>
      <c r="H6406" s="8">
        <v>0.1321</v>
      </c>
      <c r="I6406" s="8">
        <v>1.89E-2</v>
      </c>
      <c r="J6406" s="8">
        <v>3.7699999999999997E-2</v>
      </c>
      <c r="K6406" s="8">
        <v>9.4299999999999995E-2</v>
      </c>
      <c r="L6406" s="8">
        <v>0.22639999999999999</v>
      </c>
      <c r="M6406" s="8">
        <v>0.15090000000000001</v>
      </c>
      <c r="N6406" s="8">
        <v>1.89E-2</v>
      </c>
      <c r="O6406" s="8">
        <v>0.28299999999999997</v>
      </c>
      <c r="P6406" s="8">
        <v>1.89E-2</v>
      </c>
      <c r="Q6406" s="8">
        <v>0.16980000000000001</v>
      </c>
      <c r="R6406" s="8">
        <v>5.6599999999999998E-2</v>
      </c>
      <c r="T6406" s="8">
        <v>7.5499999999999998E-2</v>
      </c>
      <c r="V6406" s="8">
        <v>3.7699999999999997E-2</v>
      </c>
      <c r="W6406" s="8">
        <v>0.22639999999999999</v>
      </c>
      <c r="X6406" s="8">
        <v>1.89E-2</v>
      </c>
    </row>
    <row r="6408" spans="1:24" ht="72" x14ac:dyDescent="0.3">
      <c r="A6408" s="22" t="s">
        <v>1421</v>
      </c>
    </row>
    <row r="6409" spans="1:24" x14ac:dyDescent="0.3">
      <c r="A6409" s="22" t="s">
        <v>66</v>
      </c>
      <c r="B6409" t="s">
        <v>62</v>
      </c>
      <c r="C6409" t="s">
        <v>57</v>
      </c>
      <c r="D6409" t="s">
        <v>63</v>
      </c>
      <c r="E6409" t="s">
        <v>226</v>
      </c>
      <c r="F6409" t="s">
        <v>228</v>
      </c>
      <c r="G6409" t="s">
        <v>229</v>
      </c>
      <c r="H6409" t="s">
        <v>154</v>
      </c>
      <c r="I6409" t="s">
        <v>230</v>
      </c>
      <c r="J6409" t="s">
        <v>231</v>
      </c>
      <c r="K6409" t="s">
        <v>232</v>
      </c>
      <c r="L6409" t="s">
        <v>233</v>
      </c>
      <c r="M6409" t="s">
        <v>234</v>
      </c>
      <c r="N6409" t="s">
        <v>235</v>
      </c>
      <c r="O6409" t="s">
        <v>236</v>
      </c>
      <c r="P6409" t="s">
        <v>237</v>
      </c>
      <c r="Q6409" t="s">
        <v>136</v>
      </c>
      <c r="R6409" t="s">
        <v>238</v>
      </c>
      <c r="S6409" t="s">
        <v>239</v>
      </c>
      <c r="T6409" t="s">
        <v>241</v>
      </c>
      <c r="U6409" t="s">
        <v>242</v>
      </c>
      <c r="V6409" t="s">
        <v>243</v>
      </c>
      <c r="W6409" t="s">
        <v>244</v>
      </c>
      <c r="X6409" t="s">
        <v>245</v>
      </c>
    </row>
    <row r="6410" spans="1:24" x14ac:dyDescent="0.3">
      <c r="A6410" s="22" t="s">
        <v>67</v>
      </c>
      <c r="B6410">
        <v>114</v>
      </c>
      <c r="C6410" t="s">
        <v>64</v>
      </c>
      <c r="D6410">
        <v>130</v>
      </c>
      <c r="E6410" s="8">
        <v>7.8899999999999998E-2</v>
      </c>
      <c r="F6410" s="8">
        <v>0.21049999999999999</v>
      </c>
      <c r="G6410" s="8">
        <v>0.20180000000000001</v>
      </c>
      <c r="H6410" s="8">
        <v>0.13159999999999999</v>
      </c>
      <c r="I6410" s="8">
        <v>5.2600000000000001E-2</v>
      </c>
      <c r="J6410" s="8">
        <v>8.8000000000000005E-3</v>
      </c>
      <c r="K6410" s="8">
        <v>5.2600000000000001E-2</v>
      </c>
      <c r="L6410" s="8">
        <v>0.1754</v>
      </c>
      <c r="M6410" s="8">
        <v>0.14910000000000001</v>
      </c>
      <c r="N6410" s="8">
        <v>2.63E-2</v>
      </c>
      <c r="O6410" s="8">
        <v>0.23680000000000001</v>
      </c>
      <c r="P6410" s="8">
        <v>2.63E-2</v>
      </c>
      <c r="Q6410" s="8">
        <v>0.193</v>
      </c>
      <c r="R6410" s="8">
        <v>5.2600000000000001E-2</v>
      </c>
      <c r="S6410" s="8">
        <v>8.8000000000000005E-3</v>
      </c>
      <c r="T6410" s="8">
        <v>8.77E-2</v>
      </c>
      <c r="U6410" s="8">
        <v>1.7500000000000002E-2</v>
      </c>
      <c r="V6410" s="8">
        <v>2.63E-2</v>
      </c>
      <c r="W6410" s="8">
        <v>0.16669999999999999</v>
      </c>
      <c r="X6410" s="8">
        <v>2.63E-2</v>
      </c>
    </row>
    <row r="6411" spans="1:24" x14ac:dyDescent="0.3">
      <c r="A6411" s="22" t="s">
        <v>68</v>
      </c>
      <c r="B6411">
        <v>16</v>
      </c>
      <c r="C6411" t="s">
        <v>64</v>
      </c>
      <c r="D6411">
        <v>130</v>
      </c>
      <c r="F6411" s="8">
        <v>0.25</v>
      </c>
      <c r="G6411" s="8">
        <v>0.375</v>
      </c>
      <c r="H6411" s="8">
        <v>0.125</v>
      </c>
      <c r="J6411" s="8">
        <v>6.25E-2</v>
      </c>
      <c r="K6411" s="8">
        <v>6.25E-2</v>
      </c>
      <c r="L6411" s="8">
        <v>0.4375</v>
      </c>
      <c r="M6411" s="8">
        <v>0.125</v>
      </c>
      <c r="N6411" s="8">
        <v>6.25E-2</v>
      </c>
      <c r="O6411" s="8">
        <v>0.5625</v>
      </c>
      <c r="P6411" s="8">
        <v>6.25E-2</v>
      </c>
      <c r="Q6411" s="8">
        <v>0.125</v>
      </c>
      <c r="R6411" s="8">
        <v>6.25E-2</v>
      </c>
      <c r="T6411" s="8">
        <v>0.1875</v>
      </c>
      <c r="U6411" s="8">
        <v>0.125</v>
      </c>
      <c r="V6411" s="8">
        <v>6.25E-2</v>
      </c>
      <c r="W6411" s="8">
        <v>0.25</v>
      </c>
    </row>
    <row r="6413" spans="1:24" ht="57.6" x14ac:dyDescent="0.3">
      <c r="A6413" s="27" t="s">
        <v>1422</v>
      </c>
    </row>
    <row r="6414" spans="1:24" x14ac:dyDescent="0.3">
      <c r="A6414" s="22" t="s">
        <v>66</v>
      </c>
      <c r="B6414" t="s">
        <v>62</v>
      </c>
      <c r="C6414" t="s">
        <v>57</v>
      </c>
      <c r="D6414" t="s">
        <v>63</v>
      </c>
      <c r="E6414" t="s">
        <v>226</v>
      </c>
      <c r="F6414" t="s">
        <v>228</v>
      </c>
      <c r="G6414" t="s">
        <v>229</v>
      </c>
      <c r="H6414" t="s">
        <v>154</v>
      </c>
      <c r="I6414" t="s">
        <v>230</v>
      </c>
      <c r="J6414" t="s">
        <v>231</v>
      </c>
      <c r="K6414" t="s">
        <v>232</v>
      </c>
      <c r="L6414" t="s">
        <v>233</v>
      </c>
      <c r="M6414" t="s">
        <v>234</v>
      </c>
      <c r="N6414" t="s">
        <v>235</v>
      </c>
      <c r="O6414" t="s">
        <v>236</v>
      </c>
      <c r="P6414" t="s">
        <v>237</v>
      </c>
      <c r="Q6414" t="s">
        <v>136</v>
      </c>
      <c r="R6414" t="s">
        <v>238</v>
      </c>
      <c r="S6414" t="s">
        <v>239</v>
      </c>
      <c r="T6414" t="s">
        <v>241</v>
      </c>
      <c r="U6414" t="s">
        <v>242</v>
      </c>
      <c r="V6414" t="s">
        <v>243</v>
      </c>
      <c r="W6414" t="s">
        <v>244</v>
      </c>
      <c r="X6414" t="s">
        <v>245</v>
      </c>
    </row>
    <row r="6415" spans="1:24" x14ac:dyDescent="0.3">
      <c r="A6415" s="22" t="s">
        <v>81</v>
      </c>
      <c r="B6415">
        <v>32</v>
      </c>
      <c r="C6415" t="s">
        <v>64</v>
      </c>
      <c r="D6415">
        <v>130</v>
      </c>
      <c r="E6415" s="8">
        <v>9.3799999999999994E-2</v>
      </c>
      <c r="F6415" s="8">
        <v>0.21879999999999999</v>
      </c>
      <c r="G6415" s="8">
        <v>0.21879999999999999</v>
      </c>
      <c r="H6415" s="8">
        <v>9.3799999999999994E-2</v>
      </c>
      <c r="I6415" s="8">
        <v>9.3799999999999994E-2</v>
      </c>
      <c r="J6415" s="8">
        <v>3.1199999999999999E-2</v>
      </c>
      <c r="K6415" s="8">
        <v>3.1199999999999999E-2</v>
      </c>
      <c r="L6415" s="8">
        <v>0.1875</v>
      </c>
      <c r="M6415" s="8">
        <v>6.25E-2</v>
      </c>
      <c r="N6415" s="8">
        <v>9.3799999999999994E-2</v>
      </c>
      <c r="O6415" s="8">
        <v>0.21879999999999999</v>
      </c>
      <c r="Q6415" s="8">
        <v>0.1875</v>
      </c>
      <c r="R6415" s="8">
        <v>6.25E-2</v>
      </c>
      <c r="T6415" s="8">
        <v>9.3799999999999994E-2</v>
      </c>
      <c r="U6415" s="8">
        <v>6.25E-2</v>
      </c>
      <c r="V6415" s="8">
        <v>3.1199999999999999E-2</v>
      </c>
      <c r="W6415" s="8">
        <v>0.125</v>
      </c>
      <c r="X6415" s="8">
        <v>3.1199999999999999E-2</v>
      </c>
    </row>
    <row r="6416" spans="1:24" x14ac:dyDescent="0.3">
      <c r="A6416" s="22" t="s">
        <v>82</v>
      </c>
      <c r="B6416">
        <v>34</v>
      </c>
      <c r="C6416" t="s">
        <v>64</v>
      </c>
      <c r="D6416">
        <v>130</v>
      </c>
      <c r="E6416" s="8">
        <v>8.8200000000000001E-2</v>
      </c>
      <c r="F6416" s="8">
        <v>0.32350000000000001</v>
      </c>
      <c r="G6416" s="8">
        <v>0.1176</v>
      </c>
      <c r="H6416" s="8">
        <v>0.2059</v>
      </c>
      <c r="I6416" s="8">
        <v>2.9399999999999999E-2</v>
      </c>
      <c r="K6416" s="8">
        <v>8.8200000000000001E-2</v>
      </c>
      <c r="L6416" s="8">
        <v>0.17649999999999999</v>
      </c>
      <c r="M6416" s="8">
        <v>0.2059</v>
      </c>
      <c r="O6416" s="8">
        <v>0.2059</v>
      </c>
      <c r="P6416" s="8">
        <v>5.8799999999999998E-2</v>
      </c>
      <c r="Q6416" s="8">
        <v>0.14710000000000001</v>
      </c>
      <c r="R6416" s="8">
        <v>5.8799999999999998E-2</v>
      </c>
      <c r="T6416" s="8">
        <v>5.8799999999999998E-2</v>
      </c>
      <c r="W6416" s="8">
        <v>0.14710000000000001</v>
      </c>
      <c r="X6416" s="8">
        <v>2.9399999999999999E-2</v>
      </c>
    </row>
    <row r="6417" spans="1:24" x14ac:dyDescent="0.3">
      <c r="A6417" s="22" t="s">
        <v>83</v>
      </c>
      <c r="B6417">
        <v>33</v>
      </c>
      <c r="C6417" t="s">
        <v>64</v>
      </c>
      <c r="D6417">
        <v>130</v>
      </c>
      <c r="E6417" s="8">
        <v>6.0600000000000001E-2</v>
      </c>
      <c r="F6417" s="8">
        <v>0.1515</v>
      </c>
      <c r="G6417" s="8">
        <v>0.21210000000000001</v>
      </c>
      <c r="H6417" s="8">
        <v>0.1515</v>
      </c>
      <c r="I6417" s="8">
        <v>6.0600000000000001E-2</v>
      </c>
      <c r="K6417" s="8">
        <v>3.0300000000000001E-2</v>
      </c>
      <c r="L6417" s="8">
        <v>0.1212</v>
      </c>
      <c r="M6417" s="8">
        <v>0.1212</v>
      </c>
      <c r="O6417" s="8">
        <v>0.30299999999999999</v>
      </c>
      <c r="P6417" s="8">
        <v>3.0300000000000001E-2</v>
      </c>
      <c r="Q6417" s="8">
        <v>0.2727</v>
      </c>
      <c r="R6417" s="8">
        <v>3.0300000000000001E-2</v>
      </c>
      <c r="S6417" s="8">
        <v>3.0300000000000001E-2</v>
      </c>
      <c r="T6417" s="8">
        <v>0.1212</v>
      </c>
      <c r="W6417" s="8">
        <v>0.1515</v>
      </c>
    </row>
    <row r="6418" spans="1:24" x14ac:dyDescent="0.3">
      <c r="A6418" s="22" t="s">
        <v>84</v>
      </c>
      <c r="B6418">
        <v>31</v>
      </c>
      <c r="C6418" t="s">
        <v>64</v>
      </c>
      <c r="D6418">
        <v>130</v>
      </c>
      <c r="E6418" s="8">
        <v>3.2300000000000002E-2</v>
      </c>
      <c r="F6418" s="8">
        <v>0.1613</v>
      </c>
      <c r="G6418" s="8">
        <v>0.3548</v>
      </c>
      <c r="H6418" s="8">
        <v>6.4500000000000002E-2</v>
      </c>
      <c r="J6418" s="8">
        <v>3.2300000000000002E-2</v>
      </c>
      <c r="K6418" s="8">
        <v>6.4500000000000002E-2</v>
      </c>
      <c r="L6418" s="8">
        <v>0.3548</v>
      </c>
      <c r="M6418" s="8">
        <v>0.19350000000000001</v>
      </c>
      <c r="N6418" s="8">
        <v>3.2300000000000002E-2</v>
      </c>
      <c r="O6418" s="8">
        <v>0.3871</v>
      </c>
      <c r="P6418" s="8">
        <v>3.2300000000000002E-2</v>
      </c>
      <c r="Q6418" s="8">
        <v>0.129</v>
      </c>
      <c r="R6418" s="8">
        <v>6.4500000000000002E-2</v>
      </c>
      <c r="T6418" s="8">
        <v>0.129</v>
      </c>
      <c r="U6418" s="8">
        <v>6.4500000000000002E-2</v>
      </c>
      <c r="V6418" s="8">
        <v>9.6799999999999997E-2</v>
      </c>
      <c r="W6418" s="8">
        <v>0.2903</v>
      </c>
      <c r="X6418" s="8">
        <v>3.2300000000000002E-2</v>
      </c>
    </row>
    <row r="6420" spans="1:24" ht="28.8" x14ac:dyDescent="0.3">
      <c r="A6420" s="27" t="s">
        <v>1423</v>
      </c>
    </row>
    <row r="6421" spans="1:24" x14ac:dyDescent="0.3">
      <c r="A6421" s="22" t="s">
        <v>62</v>
      </c>
      <c r="B6421" t="s">
        <v>57</v>
      </c>
      <c r="C6421" t="s">
        <v>63</v>
      </c>
      <c r="D6421" t="s">
        <v>226</v>
      </c>
      <c r="E6421" t="s">
        <v>228</v>
      </c>
      <c r="F6421" t="s">
        <v>229</v>
      </c>
      <c r="G6421" t="s">
        <v>154</v>
      </c>
      <c r="H6421" t="s">
        <v>232</v>
      </c>
      <c r="I6421" t="s">
        <v>233</v>
      </c>
      <c r="J6421" t="s">
        <v>234</v>
      </c>
      <c r="K6421" t="s">
        <v>236</v>
      </c>
      <c r="L6421" t="s">
        <v>1424</v>
      </c>
      <c r="M6421" t="s">
        <v>136</v>
      </c>
      <c r="N6421" t="s">
        <v>238</v>
      </c>
      <c r="O6421" t="s">
        <v>239</v>
      </c>
      <c r="P6421" t="s">
        <v>244</v>
      </c>
    </row>
    <row r="6422" spans="1:24" x14ac:dyDescent="0.3">
      <c r="A6422" s="22">
        <v>194</v>
      </c>
      <c r="B6422" t="s">
        <v>64</v>
      </c>
      <c r="C6422">
        <v>194</v>
      </c>
      <c r="D6422" s="8">
        <v>1.03E-2</v>
      </c>
      <c r="E6422" s="8">
        <v>0.1237</v>
      </c>
      <c r="F6422" s="8">
        <v>2.58E-2</v>
      </c>
      <c r="G6422" s="8">
        <v>0.29380000000000001</v>
      </c>
      <c r="H6422" s="8">
        <v>5.1999999999999998E-3</v>
      </c>
      <c r="I6422" s="8">
        <v>1.03E-2</v>
      </c>
      <c r="J6422" s="8">
        <v>4.1200000000000001E-2</v>
      </c>
      <c r="K6422" s="8">
        <v>5.1999999999999998E-3</v>
      </c>
      <c r="L6422" s="8">
        <v>0.35049999999999998</v>
      </c>
      <c r="M6422" s="8">
        <v>0.12889999999999999</v>
      </c>
      <c r="N6422" s="8">
        <v>5.1999999999999998E-3</v>
      </c>
      <c r="O6422" s="8">
        <v>1.03E-2</v>
      </c>
      <c r="P6422" s="8">
        <v>2.06E-2</v>
      </c>
    </row>
    <row r="6424" spans="1:24" ht="57.6" x14ac:dyDescent="0.3">
      <c r="A6424" s="22" t="s">
        <v>1425</v>
      </c>
    </row>
    <row r="6425" spans="1:24" x14ac:dyDescent="0.3">
      <c r="A6425" s="22" t="s">
        <v>66</v>
      </c>
      <c r="B6425" t="s">
        <v>62</v>
      </c>
      <c r="C6425" t="s">
        <v>57</v>
      </c>
      <c r="D6425" t="s">
        <v>63</v>
      </c>
      <c r="E6425" t="s">
        <v>226</v>
      </c>
      <c r="F6425" t="s">
        <v>228</v>
      </c>
      <c r="G6425" t="s">
        <v>229</v>
      </c>
      <c r="H6425" t="s">
        <v>154</v>
      </c>
      <c r="I6425" t="s">
        <v>232</v>
      </c>
      <c r="J6425" t="s">
        <v>233</v>
      </c>
      <c r="K6425" t="s">
        <v>234</v>
      </c>
      <c r="L6425" t="s">
        <v>236</v>
      </c>
      <c r="M6425" t="s">
        <v>1424</v>
      </c>
      <c r="N6425" t="s">
        <v>136</v>
      </c>
      <c r="O6425" t="s">
        <v>238</v>
      </c>
      <c r="P6425" t="s">
        <v>239</v>
      </c>
      <c r="Q6425" t="s">
        <v>244</v>
      </c>
    </row>
    <row r="6426" spans="1:24" x14ac:dyDescent="0.3">
      <c r="A6426" s="22" t="s">
        <v>67</v>
      </c>
      <c r="B6426">
        <v>185</v>
      </c>
      <c r="C6426" t="s">
        <v>64</v>
      </c>
      <c r="D6426">
        <v>194</v>
      </c>
      <c r="E6426" s="8">
        <v>1.0800000000000001E-2</v>
      </c>
      <c r="F6426" s="8">
        <v>0.12970000000000001</v>
      </c>
      <c r="G6426" s="8">
        <v>2.7E-2</v>
      </c>
      <c r="H6426" s="8">
        <v>0.29189999999999999</v>
      </c>
      <c r="I6426" s="8">
        <v>5.4000000000000003E-3</v>
      </c>
      <c r="J6426" s="8">
        <v>1.0800000000000001E-2</v>
      </c>
      <c r="K6426" s="8">
        <v>4.3200000000000002E-2</v>
      </c>
      <c r="L6426" s="8">
        <v>5.4000000000000003E-3</v>
      </c>
      <c r="M6426" s="8">
        <v>0.34050000000000002</v>
      </c>
      <c r="N6426" s="8">
        <v>0.1351</v>
      </c>
      <c r="O6426" s="8">
        <v>5.4000000000000003E-3</v>
      </c>
      <c r="P6426" s="8">
        <v>1.0800000000000001E-2</v>
      </c>
      <c r="Q6426" s="8">
        <v>1.6199999999999999E-2</v>
      </c>
    </row>
    <row r="6427" spans="1:24" x14ac:dyDescent="0.3">
      <c r="A6427" s="22" t="s">
        <v>68</v>
      </c>
      <c r="B6427">
        <v>9</v>
      </c>
      <c r="C6427" t="s">
        <v>64</v>
      </c>
      <c r="D6427">
        <v>194</v>
      </c>
      <c r="H6427" s="8">
        <v>0.33329999999999999</v>
      </c>
      <c r="M6427" s="8">
        <v>0.55559999999999998</v>
      </c>
      <c r="Q6427" s="8">
        <v>0.1111</v>
      </c>
    </row>
    <row r="6429" spans="1:24" x14ac:dyDescent="0.3">
      <c r="A6429"/>
    </row>
    <row r="6430" spans="1:24" x14ac:dyDescent="0.3">
      <c r="A6430"/>
    </row>
    <row r="6431" spans="1:24" x14ac:dyDescent="0.3">
      <c r="A6431"/>
    </row>
    <row r="6432" spans="1:24" x14ac:dyDescent="0.3">
      <c r="A6432"/>
    </row>
    <row r="6433" spans="1:17" ht="57.6" x14ac:dyDescent="0.3">
      <c r="A6433" s="22" t="s">
        <v>1426</v>
      </c>
    </row>
    <row r="6434" spans="1:17" x14ac:dyDescent="0.3">
      <c r="A6434" s="22" t="s">
        <v>66</v>
      </c>
      <c r="B6434" t="s">
        <v>62</v>
      </c>
      <c r="C6434" t="s">
        <v>57</v>
      </c>
      <c r="D6434" t="s">
        <v>63</v>
      </c>
      <c r="E6434" t="s">
        <v>226</v>
      </c>
      <c r="F6434" t="s">
        <v>228</v>
      </c>
      <c r="G6434" t="s">
        <v>229</v>
      </c>
      <c r="H6434" t="s">
        <v>154</v>
      </c>
      <c r="I6434" t="s">
        <v>232</v>
      </c>
      <c r="J6434" t="s">
        <v>233</v>
      </c>
      <c r="K6434" t="s">
        <v>234</v>
      </c>
      <c r="L6434" t="s">
        <v>236</v>
      </c>
      <c r="M6434" t="s">
        <v>1424</v>
      </c>
      <c r="N6434" t="s">
        <v>136</v>
      </c>
      <c r="O6434" t="s">
        <v>238</v>
      </c>
      <c r="P6434" t="s">
        <v>239</v>
      </c>
      <c r="Q6434" t="s">
        <v>244</v>
      </c>
    </row>
    <row r="6435" spans="1:17" x14ac:dyDescent="0.3">
      <c r="A6435" s="22" t="s">
        <v>67</v>
      </c>
      <c r="B6435">
        <v>185</v>
      </c>
      <c r="C6435" t="s">
        <v>64</v>
      </c>
      <c r="D6435">
        <v>194</v>
      </c>
      <c r="E6435" s="8">
        <v>1.0800000000000001E-2</v>
      </c>
      <c r="F6435" s="8">
        <v>0.11890000000000001</v>
      </c>
      <c r="G6435" s="8">
        <v>2.7E-2</v>
      </c>
      <c r="H6435" s="8">
        <v>0.29730000000000001</v>
      </c>
      <c r="I6435" s="8">
        <v>5.4000000000000003E-3</v>
      </c>
      <c r="J6435" s="8">
        <v>1.0800000000000001E-2</v>
      </c>
      <c r="K6435" s="8">
        <v>4.3200000000000002E-2</v>
      </c>
      <c r="L6435" s="8">
        <v>5.4000000000000003E-3</v>
      </c>
      <c r="M6435" s="8">
        <v>0.35139999999999999</v>
      </c>
      <c r="N6435" s="8">
        <v>0.12429999999999999</v>
      </c>
      <c r="O6435" s="8">
        <v>5.4000000000000003E-3</v>
      </c>
      <c r="P6435" s="8">
        <v>1.0800000000000001E-2</v>
      </c>
      <c r="Q6435" s="8">
        <v>2.1600000000000001E-2</v>
      </c>
    </row>
    <row r="6436" spans="1:17" x14ac:dyDescent="0.3">
      <c r="A6436" s="22" t="s">
        <v>68</v>
      </c>
      <c r="B6436">
        <v>9</v>
      </c>
      <c r="C6436" t="s">
        <v>64</v>
      </c>
      <c r="D6436">
        <v>194</v>
      </c>
      <c r="F6436" s="8">
        <v>0.22220000000000001</v>
      </c>
      <c r="H6436" s="8">
        <v>0.22220000000000001</v>
      </c>
      <c r="M6436" s="8">
        <v>0.33329999999999999</v>
      </c>
      <c r="N6436" s="8">
        <v>0.22220000000000001</v>
      </c>
    </row>
    <row r="6438" spans="1:17" ht="43.2" x14ac:dyDescent="0.3">
      <c r="A6438" s="22" t="s">
        <v>1427</v>
      </c>
    </row>
    <row r="6439" spans="1:17" x14ac:dyDescent="0.3">
      <c r="A6439" s="22" t="s">
        <v>66</v>
      </c>
      <c r="B6439" t="s">
        <v>62</v>
      </c>
      <c r="C6439" t="s">
        <v>57</v>
      </c>
      <c r="D6439" t="s">
        <v>63</v>
      </c>
      <c r="E6439" t="s">
        <v>226</v>
      </c>
      <c r="F6439" t="s">
        <v>228</v>
      </c>
      <c r="G6439" t="s">
        <v>229</v>
      </c>
      <c r="H6439" t="s">
        <v>154</v>
      </c>
      <c r="I6439" t="s">
        <v>232</v>
      </c>
      <c r="J6439" t="s">
        <v>233</v>
      </c>
      <c r="K6439" t="s">
        <v>234</v>
      </c>
      <c r="L6439" t="s">
        <v>236</v>
      </c>
      <c r="M6439" t="s">
        <v>1424</v>
      </c>
      <c r="N6439" t="s">
        <v>136</v>
      </c>
      <c r="O6439" t="s">
        <v>238</v>
      </c>
      <c r="P6439" t="s">
        <v>239</v>
      </c>
      <c r="Q6439" t="s">
        <v>244</v>
      </c>
    </row>
    <row r="6440" spans="1:17" x14ac:dyDescent="0.3">
      <c r="A6440" s="22" t="s">
        <v>67</v>
      </c>
      <c r="B6440">
        <v>193</v>
      </c>
      <c r="C6440" t="s">
        <v>64</v>
      </c>
      <c r="D6440">
        <v>194</v>
      </c>
      <c r="E6440" s="8">
        <v>1.04E-2</v>
      </c>
      <c r="F6440" s="8">
        <v>0.1244</v>
      </c>
      <c r="G6440" s="8">
        <v>2.5899999999999999E-2</v>
      </c>
      <c r="H6440" s="8">
        <v>0.29530000000000001</v>
      </c>
      <c r="I6440" s="8">
        <v>5.1999999999999998E-3</v>
      </c>
      <c r="J6440" s="8">
        <v>1.04E-2</v>
      </c>
      <c r="K6440" s="8">
        <v>4.1500000000000002E-2</v>
      </c>
      <c r="L6440" s="8">
        <v>5.1999999999999998E-3</v>
      </c>
      <c r="M6440" s="8">
        <v>0.34720000000000001</v>
      </c>
      <c r="N6440" s="8">
        <v>0.1295</v>
      </c>
      <c r="O6440" s="8">
        <v>5.1999999999999998E-3</v>
      </c>
      <c r="P6440" s="8">
        <v>1.04E-2</v>
      </c>
      <c r="Q6440" s="8">
        <v>2.07E-2</v>
      </c>
    </row>
    <row r="6441" spans="1:17" x14ac:dyDescent="0.3">
      <c r="A6441" s="22" t="s">
        <v>68</v>
      </c>
      <c r="B6441">
        <v>1</v>
      </c>
      <c r="C6441" t="s">
        <v>64</v>
      </c>
      <c r="D6441">
        <v>194</v>
      </c>
      <c r="M6441" s="8">
        <v>1</v>
      </c>
    </row>
    <row r="6443" spans="1:17" ht="57.6" x14ac:dyDescent="0.3">
      <c r="A6443" s="22" t="s">
        <v>1428</v>
      </c>
    </row>
    <row r="6444" spans="1:17" x14ac:dyDescent="0.3">
      <c r="A6444" s="22" t="s">
        <v>66</v>
      </c>
      <c r="B6444" t="s">
        <v>62</v>
      </c>
      <c r="C6444" t="s">
        <v>57</v>
      </c>
      <c r="D6444" t="s">
        <v>63</v>
      </c>
      <c r="E6444" t="s">
        <v>226</v>
      </c>
      <c r="F6444" t="s">
        <v>228</v>
      </c>
      <c r="G6444" t="s">
        <v>229</v>
      </c>
      <c r="H6444" t="s">
        <v>154</v>
      </c>
      <c r="I6444" t="s">
        <v>232</v>
      </c>
      <c r="J6444" t="s">
        <v>233</v>
      </c>
      <c r="K6444" t="s">
        <v>234</v>
      </c>
      <c r="L6444" t="s">
        <v>236</v>
      </c>
      <c r="M6444" t="s">
        <v>1424</v>
      </c>
      <c r="N6444" t="s">
        <v>136</v>
      </c>
      <c r="O6444" t="s">
        <v>238</v>
      </c>
      <c r="P6444" t="s">
        <v>239</v>
      </c>
      <c r="Q6444" t="s">
        <v>244</v>
      </c>
    </row>
    <row r="6445" spans="1:17" x14ac:dyDescent="0.3">
      <c r="A6445" s="22" t="s">
        <v>67</v>
      </c>
      <c r="B6445">
        <v>181</v>
      </c>
      <c r="C6445" t="s">
        <v>64</v>
      </c>
      <c r="D6445">
        <v>194</v>
      </c>
      <c r="E6445" s="8">
        <v>1.0999999999999999E-2</v>
      </c>
      <c r="F6445" s="8">
        <v>0.12709999999999999</v>
      </c>
      <c r="G6445" s="8">
        <v>2.2100000000000002E-2</v>
      </c>
      <c r="H6445" s="8">
        <v>0.29830000000000001</v>
      </c>
      <c r="I6445" s="8">
        <v>5.4999999999999997E-3</v>
      </c>
      <c r="J6445" s="8">
        <v>1.0999999999999999E-2</v>
      </c>
      <c r="K6445" s="8">
        <v>4.4200000000000003E-2</v>
      </c>
      <c r="M6445" s="8">
        <v>0.35360000000000003</v>
      </c>
      <c r="N6445" s="8">
        <v>0.1215</v>
      </c>
      <c r="O6445" s="8">
        <v>5.4999999999999997E-3</v>
      </c>
      <c r="P6445" s="8">
        <v>1.0999999999999999E-2</v>
      </c>
      <c r="Q6445" s="8">
        <v>2.2100000000000002E-2</v>
      </c>
    </row>
    <row r="6446" spans="1:17" x14ac:dyDescent="0.3">
      <c r="A6446" s="22" t="s">
        <v>68</v>
      </c>
      <c r="B6446">
        <v>13</v>
      </c>
      <c r="C6446" t="s">
        <v>64</v>
      </c>
      <c r="D6446">
        <v>194</v>
      </c>
      <c r="F6446" s="8">
        <v>7.6899999999999996E-2</v>
      </c>
      <c r="G6446" s="8">
        <v>7.6899999999999996E-2</v>
      </c>
      <c r="H6446" s="8">
        <v>0.23080000000000001</v>
      </c>
      <c r="L6446" s="8">
        <v>7.6899999999999996E-2</v>
      </c>
      <c r="M6446" s="8">
        <v>0.30769999999999997</v>
      </c>
      <c r="N6446" s="8">
        <v>0.23080000000000001</v>
      </c>
    </row>
    <row r="6448" spans="1:17" ht="57.6" x14ac:dyDescent="0.3">
      <c r="A6448" s="22" t="s">
        <v>1429</v>
      </c>
    </row>
    <row r="6449" spans="1:17" x14ac:dyDescent="0.3">
      <c r="A6449" s="22" t="s">
        <v>66</v>
      </c>
      <c r="B6449" t="s">
        <v>62</v>
      </c>
      <c r="C6449" t="s">
        <v>57</v>
      </c>
      <c r="D6449" t="s">
        <v>63</v>
      </c>
      <c r="E6449" t="s">
        <v>226</v>
      </c>
      <c r="F6449" t="s">
        <v>228</v>
      </c>
      <c r="G6449" t="s">
        <v>229</v>
      </c>
      <c r="H6449" t="s">
        <v>154</v>
      </c>
      <c r="I6449" t="s">
        <v>232</v>
      </c>
      <c r="J6449" t="s">
        <v>233</v>
      </c>
      <c r="K6449" t="s">
        <v>234</v>
      </c>
      <c r="L6449" t="s">
        <v>236</v>
      </c>
      <c r="M6449" t="s">
        <v>1424</v>
      </c>
      <c r="N6449" t="s">
        <v>136</v>
      </c>
      <c r="O6449" t="s">
        <v>238</v>
      </c>
      <c r="P6449" t="s">
        <v>239</v>
      </c>
      <c r="Q6449" t="s">
        <v>244</v>
      </c>
    </row>
    <row r="6450" spans="1:17" x14ac:dyDescent="0.3">
      <c r="A6450" s="22" t="s">
        <v>67</v>
      </c>
      <c r="B6450">
        <v>5</v>
      </c>
      <c r="C6450" t="s">
        <v>64</v>
      </c>
      <c r="D6450">
        <v>194</v>
      </c>
      <c r="F6450" s="8">
        <v>0.6</v>
      </c>
      <c r="H6450" s="8">
        <v>0.2</v>
      </c>
      <c r="M6450" s="8">
        <v>0.2</v>
      </c>
    </row>
    <row r="6451" spans="1:17" x14ac:dyDescent="0.3">
      <c r="A6451" s="22" t="s">
        <v>68</v>
      </c>
      <c r="B6451">
        <v>189</v>
      </c>
      <c r="C6451" t="s">
        <v>64</v>
      </c>
      <c r="D6451">
        <v>194</v>
      </c>
      <c r="E6451" s="8">
        <v>1.06E-2</v>
      </c>
      <c r="F6451" s="8">
        <v>0.1111</v>
      </c>
      <c r="G6451" s="8">
        <v>2.6499999999999999E-2</v>
      </c>
      <c r="H6451" s="8">
        <v>0.29630000000000001</v>
      </c>
      <c r="I6451" s="8">
        <v>5.3E-3</v>
      </c>
      <c r="J6451" s="8">
        <v>1.06E-2</v>
      </c>
      <c r="K6451" s="8">
        <v>4.2299999999999997E-2</v>
      </c>
      <c r="L6451" s="8">
        <v>5.3E-3</v>
      </c>
      <c r="M6451" s="8">
        <v>0.35449999999999998</v>
      </c>
      <c r="N6451" s="8">
        <v>0.1323</v>
      </c>
      <c r="O6451" s="8">
        <v>5.3E-3</v>
      </c>
      <c r="P6451" s="8">
        <v>1.06E-2</v>
      </c>
      <c r="Q6451" s="8">
        <v>2.12E-2</v>
      </c>
    </row>
    <row r="6453" spans="1:17" ht="57.6" x14ac:dyDescent="0.3">
      <c r="A6453" s="22" t="s">
        <v>1430</v>
      </c>
    </row>
    <row r="6454" spans="1:17" x14ac:dyDescent="0.3">
      <c r="A6454" s="22" t="s">
        <v>66</v>
      </c>
      <c r="B6454" t="s">
        <v>62</v>
      </c>
      <c r="C6454" t="s">
        <v>57</v>
      </c>
      <c r="D6454" t="s">
        <v>63</v>
      </c>
      <c r="E6454" t="s">
        <v>226</v>
      </c>
      <c r="F6454" t="s">
        <v>228</v>
      </c>
      <c r="G6454" t="s">
        <v>229</v>
      </c>
      <c r="H6454" t="s">
        <v>154</v>
      </c>
      <c r="I6454" t="s">
        <v>232</v>
      </c>
      <c r="J6454" t="s">
        <v>233</v>
      </c>
      <c r="K6454" t="s">
        <v>234</v>
      </c>
      <c r="L6454" t="s">
        <v>236</v>
      </c>
      <c r="M6454" t="s">
        <v>1424</v>
      </c>
      <c r="N6454" t="s">
        <v>136</v>
      </c>
      <c r="O6454" t="s">
        <v>238</v>
      </c>
      <c r="P6454" t="s">
        <v>239</v>
      </c>
      <c r="Q6454" t="s">
        <v>244</v>
      </c>
    </row>
    <row r="6455" spans="1:17" x14ac:dyDescent="0.3">
      <c r="A6455" s="22" t="s">
        <v>67</v>
      </c>
      <c r="B6455">
        <v>154</v>
      </c>
      <c r="C6455" t="s">
        <v>64</v>
      </c>
      <c r="D6455">
        <v>194</v>
      </c>
      <c r="E6455" s="8">
        <v>1.2999999999999999E-2</v>
      </c>
      <c r="F6455" s="8">
        <v>0.12989999999999999</v>
      </c>
      <c r="G6455" s="8">
        <v>2.5999999999999999E-2</v>
      </c>
      <c r="H6455" s="8">
        <v>0.2792</v>
      </c>
      <c r="I6455" s="8">
        <v>6.4999999999999997E-3</v>
      </c>
      <c r="J6455" s="8">
        <v>1.2999999999999999E-2</v>
      </c>
      <c r="K6455" s="8">
        <v>4.5499999999999999E-2</v>
      </c>
      <c r="M6455" s="8">
        <v>0.37009999999999998</v>
      </c>
      <c r="N6455" s="8">
        <v>0.1169</v>
      </c>
      <c r="O6455" s="8">
        <v>6.4999999999999997E-3</v>
      </c>
      <c r="P6455" s="8">
        <v>6.4999999999999997E-3</v>
      </c>
      <c r="Q6455" s="8">
        <v>1.95E-2</v>
      </c>
    </row>
    <row r="6456" spans="1:17" x14ac:dyDescent="0.3">
      <c r="A6456" s="22" t="s">
        <v>68</v>
      </c>
      <c r="B6456">
        <v>40</v>
      </c>
      <c r="C6456" t="s">
        <v>64</v>
      </c>
      <c r="D6456">
        <v>194</v>
      </c>
      <c r="F6456" s="8">
        <v>0.1</v>
      </c>
      <c r="G6456" s="8">
        <v>2.5000000000000001E-2</v>
      </c>
      <c r="H6456" s="8">
        <v>0.35</v>
      </c>
      <c r="K6456" s="8">
        <v>2.5000000000000001E-2</v>
      </c>
      <c r="L6456" s="8">
        <v>2.5000000000000001E-2</v>
      </c>
      <c r="M6456" s="8">
        <v>0.27500000000000002</v>
      </c>
      <c r="N6456" s="8">
        <v>0.17499999999999999</v>
      </c>
      <c r="P6456" s="8">
        <v>2.5000000000000001E-2</v>
      </c>
      <c r="Q6456" s="8">
        <v>2.5000000000000001E-2</v>
      </c>
    </row>
    <row r="6458" spans="1:17" ht="43.2" x14ac:dyDescent="0.3">
      <c r="A6458" s="22" t="s">
        <v>1431</v>
      </c>
    </row>
    <row r="6459" spans="1:17" x14ac:dyDescent="0.3">
      <c r="A6459" s="22" t="s">
        <v>66</v>
      </c>
      <c r="B6459" t="s">
        <v>62</v>
      </c>
      <c r="C6459" t="s">
        <v>57</v>
      </c>
      <c r="D6459" t="s">
        <v>63</v>
      </c>
      <c r="E6459" t="s">
        <v>226</v>
      </c>
      <c r="F6459" t="s">
        <v>228</v>
      </c>
      <c r="G6459" t="s">
        <v>229</v>
      </c>
      <c r="H6459" t="s">
        <v>154</v>
      </c>
      <c r="I6459" t="s">
        <v>232</v>
      </c>
      <c r="J6459" t="s">
        <v>233</v>
      </c>
      <c r="K6459" t="s">
        <v>234</v>
      </c>
      <c r="L6459" t="s">
        <v>236</v>
      </c>
      <c r="M6459" t="s">
        <v>1424</v>
      </c>
      <c r="N6459" t="s">
        <v>136</v>
      </c>
      <c r="O6459" t="s">
        <v>238</v>
      </c>
      <c r="P6459" t="s">
        <v>239</v>
      </c>
      <c r="Q6459" t="s">
        <v>244</v>
      </c>
    </row>
    <row r="6460" spans="1:17" x14ac:dyDescent="0.3">
      <c r="A6460" s="22" t="s">
        <v>67</v>
      </c>
      <c r="B6460">
        <v>151</v>
      </c>
      <c r="C6460" t="s">
        <v>64</v>
      </c>
      <c r="D6460">
        <v>194</v>
      </c>
      <c r="E6460" s="8">
        <v>1.32E-2</v>
      </c>
      <c r="F6460" s="8">
        <v>9.9299999999999999E-2</v>
      </c>
      <c r="G6460" s="8">
        <v>2.6499999999999999E-2</v>
      </c>
      <c r="H6460" s="8">
        <v>0.29139999999999999</v>
      </c>
      <c r="I6460" s="8">
        <v>6.6E-3</v>
      </c>
      <c r="J6460" s="8">
        <v>1.32E-2</v>
      </c>
      <c r="K6460" s="8">
        <v>4.6399999999999997E-2</v>
      </c>
      <c r="L6460" s="8">
        <v>6.6E-3</v>
      </c>
      <c r="M6460" s="8">
        <v>0.35759999999999997</v>
      </c>
      <c r="N6460" s="8">
        <v>0.13250000000000001</v>
      </c>
      <c r="O6460" s="8">
        <v>6.6E-3</v>
      </c>
      <c r="P6460" s="8">
        <v>6.6E-3</v>
      </c>
      <c r="Q6460" s="8">
        <v>2.6499999999999999E-2</v>
      </c>
    </row>
    <row r="6461" spans="1:17" x14ac:dyDescent="0.3">
      <c r="A6461" s="22" t="s">
        <v>68</v>
      </c>
      <c r="B6461">
        <v>43</v>
      </c>
      <c r="C6461" t="s">
        <v>64</v>
      </c>
      <c r="D6461">
        <v>194</v>
      </c>
      <c r="F6461" s="8">
        <v>0.20930000000000001</v>
      </c>
      <c r="G6461" s="8">
        <v>2.3300000000000001E-2</v>
      </c>
      <c r="H6461" s="8">
        <v>0.30230000000000001</v>
      </c>
      <c r="K6461" s="8">
        <v>2.3300000000000001E-2</v>
      </c>
      <c r="M6461" s="8">
        <v>0.3256</v>
      </c>
      <c r="N6461" s="8">
        <v>0.1163</v>
      </c>
      <c r="P6461" s="8">
        <v>2.3300000000000001E-2</v>
      </c>
    </row>
    <row r="6463" spans="1:17" ht="57.6" x14ac:dyDescent="0.3">
      <c r="A6463" s="22" t="s">
        <v>1432</v>
      </c>
    </row>
    <row r="6464" spans="1:17" x14ac:dyDescent="0.3">
      <c r="A6464" s="22" t="s">
        <v>66</v>
      </c>
      <c r="B6464" t="s">
        <v>62</v>
      </c>
      <c r="C6464" t="s">
        <v>57</v>
      </c>
      <c r="D6464" t="s">
        <v>63</v>
      </c>
      <c r="E6464" t="s">
        <v>226</v>
      </c>
      <c r="F6464" t="s">
        <v>228</v>
      </c>
      <c r="G6464" t="s">
        <v>229</v>
      </c>
      <c r="H6464" t="s">
        <v>154</v>
      </c>
      <c r="I6464" t="s">
        <v>232</v>
      </c>
      <c r="J6464" t="s">
        <v>233</v>
      </c>
      <c r="K6464" t="s">
        <v>234</v>
      </c>
      <c r="L6464" t="s">
        <v>236</v>
      </c>
      <c r="M6464" t="s">
        <v>1424</v>
      </c>
      <c r="N6464" t="s">
        <v>136</v>
      </c>
      <c r="O6464" t="s">
        <v>238</v>
      </c>
      <c r="P6464" t="s">
        <v>239</v>
      </c>
      <c r="Q6464" t="s">
        <v>244</v>
      </c>
    </row>
    <row r="6465" spans="1:17" x14ac:dyDescent="0.3">
      <c r="A6465" s="22" t="s">
        <v>67</v>
      </c>
      <c r="B6465">
        <v>146</v>
      </c>
      <c r="C6465" t="s">
        <v>64</v>
      </c>
      <c r="D6465">
        <v>194</v>
      </c>
      <c r="E6465" s="8">
        <v>1.37E-2</v>
      </c>
      <c r="F6465" s="8">
        <v>8.8999999999999996E-2</v>
      </c>
      <c r="G6465" s="8">
        <v>2.7400000000000001E-2</v>
      </c>
      <c r="H6465" s="8">
        <v>0.31509999999999999</v>
      </c>
      <c r="I6465" s="8">
        <v>6.7999999999999996E-3</v>
      </c>
      <c r="J6465" s="8">
        <v>6.7999999999999996E-3</v>
      </c>
      <c r="K6465" s="8">
        <v>3.4200000000000001E-2</v>
      </c>
      <c r="L6465" s="8">
        <v>6.7999999999999996E-3</v>
      </c>
      <c r="M6465" s="8">
        <v>0.3493</v>
      </c>
      <c r="N6465" s="8">
        <v>0.13700000000000001</v>
      </c>
      <c r="O6465" s="8">
        <v>6.7999999999999996E-3</v>
      </c>
      <c r="P6465" s="8">
        <v>1.37E-2</v>
      </c>
      <c r="Q6465" s="8">
        <v>2.0500000000000001E-2</v>
      </c>
    </row>
    <row r="6466" spans="1:17" x14ac:dyDescent="0.3">
      <c r="A6466" s="22" t="s">
        <v>68</v>
      </c>
      <c r="B6466">
        <v>48</v>
      </c>
      <c r="C6466" t="s">
        <v>64</v>
      </c>
      <c r="D6466">
        <v>194</v>
      </c>
      <c r="F6466" s="8">
        <v>0.22919999999999999</v>
      </c>
      <c r="G6466" s="8">
        <v>2.0799999999999999E-2</v>
      </c>
      <c r="H6466" s="8">
        <v>0.22919999999999999</v>
      </c>
      <c r="J6466" s="8">
        <v>2.0799999999999999E-2</v>
      </c>
      <c r="K6466" s="8">
        <v>6.25E-2</v>
      </c>
      <c r="M6466" s="8">
        <v>0.35420000000000001</v>
      </c>
      <c r="N6466" s="8">
        <v>0.1042</v>
      </c>
      <c r="Q6466" s="8">
        <v>2.0799999999999999E-2</v>
      </c>
    </row>
    <row r="6468" spans="1:17" ht="57.6" x14ac:dyDescent="0.3">
      <c r="A6468" s="22" t="s">
        <v>1433</v>
      </c>
    </row>
    <row r="6469" spans="1:17" x14ac:dyDescent="0.3">
      <c r="A6469" s="22" t="s">
        <v>66</v>
      </c>
      <c r="B6469" t="s">
        <v>62</v>
      </c>
      <c r="C6469" t="s">
        <v>57</v>
      </c>
      <c r="D6469" t="s">
        <v>63</v>
      </c>
      <c r="E6469" t="s">
        <v>226</v>
      </c>
      <c r="F6469" t="s">
        <v>228</v>
      </c>
      <c r="G6469" t="s">
        <v>229</v>
      </c>
      <c r="H6469" t="s">
        <v>154</v>
      </c>
      <c r="I6469" t="s">
        <v>232</v>
      </c>
      <c r="J6469" t="s">
        <v>233</v>
      </c>
      <c r="K6469" t="s">
        <v>234</v>
      </c>
      <c r="L6469" t="s">
        <v>236</v>
      </c>
      <c r="M6469" t="s">
        <v>1424</v>
      </c>
      <c r="N6469" t="s">
        <v>136</v>
      </c>
      <c r="O6469" t="s">
        <v>238</v>
      </c>
      <c r="P6469" t="s">
        <v>239</v>
      </c>
      <c r="Q6469" t="s">
        <v>244</v>
      </c>
    </row>
    <row r="6470" spans="1:17" x14ac:dyDescent="0.3">
      <c r="A6470" s="22" t="s">
        <v>67</v>
      </c>
      <c r="B6470">
        <v>181</v>
      </c>
      <c r="C6470" t="s">
        <v>64</v>
      </c>
      <c r="D6470">
        <v>194</v>
      </c>
      <c r="E6470" s="8">
        <v>1.0999999999999999E-2</v>
      </c>
      <c r="F6470" s="8">
        <v>0.11600000000000001</v>
      </c>
      <c r="G6470" s="8">
        <v>2.2100000000000002E-2</v>
      </c>
      <c r="H6470" s="8">
        <v>0.31490000000000001</v>
      </c>
      <c r="I6470" s="8">
        <v>5.4999999999999997E-3</v>
      </c>
      <c r="J6470" s="8">
        <v>5.4999999999999997E-3</v>
      </c>
      <c r="K6470" s="8">
        <v>3.8699999999999998E-2</v>
      </c>
      <c r="L6470" s="8">
        <v>5.4999999999999997E-3</v>
      </c>
      <c r="M6470" s="8">
        <v>0.33150000000000002</v>
      </c>
      <c r="N6470" s="8">
        <v>0.1381</v>
      </c>
      <c r="O6470" s="8">
        <v>5.4999999999999997E-3</v>
      </c>
      <c r="P6470" s="8">
        <v>1.0999999999999999E-2</v>
      </c>
      <c r="Q6470" s="8">
        <v>1.0999999999999999E-2</v>
      </c>
    </row>
    <row r="6471" spans="1:17" x14ac:dyDescent="0.3">
      <c r="A6471" s="22" t="s">
        <v>68</v>
      </c>
      <c r="B6471">
        <v>13</v>
      </c>
      <c r="C6471" t="s">
        <v>64</v>
      </c>
      <c r="D6471">
        <v>194</v>
      </c>
      <c r="F6471" s="8">
        <v>0.23080000000000001</v>
      </c>
      <c r="G6471" s="8">
        <v>7.6899999999999996E-2</v>
      </c>
      <c r="J6471" s="8">
        <v>7.6899999999999996E-2</v>
      </c>
      <c r="K6471" s="8">
        <v>7.6899999999999996E-2</v>
      </c>
      <c r="M6471" s="8">
        <v>0.61539999999999995</v>
      </c>
      <c r="Q6471" s="8">
        <v>0.15379999999999999</v>
      </c>
    </row>
    <row r="6473" spans="1:17" ht="57.6" x14ac:dyDescent="0.3">
      <c r="A6473" s="22" t="s">
        <v>1434</v>
      </c>
    </row>
    <row r="6474" spans="1:17" x14ac:dyDescent="0.3">
      <c r="A6474" s="22" t="s">
        <v>66</v>
      </c>
      <c r="B6474" t="s">
        <v>62</v>
      </c>
      <c r="C6474" t="s">
        <v>57</v>
      </c>
      <c r="D6474" t="s">
        <v>63</v>
      </c>
      <c r="E6474" t="s">
        <v>226</v>
      </c>
      <c r="F6474" t="s">
        <v>228</v>
      </c>
      <c r="G6474" t="s">
        <v>229</v>
      </c>
      <c r="H6474" t="s">
        <v>154</v>
      </c>
      <c r="I6474" t="s">
        <v>232</v>
      </c>
      <c r="J6474" t="s">
        <v>233</v>
      </c>
      <c r="K6474" t="s">
        <v>234</v>
      </c>
      <c r="L6474" t="s">
        <v>236</v>
      </c>
      <c r="M6474" t="s">
        <v>1424</v>
      </c>
      <c r="N6474" t="s">
        <v>136</v>
      </c>
      <c r="O6474" t="s">
        <v>238</v>
      </c>
      <c r="P6474" t="s">
        <v>239</v>
      </c>
      <c r="Q6474" t="s">
        <v>244</v>
      </c>
    </row>
    <row r="6475" spans="1:17" x14ac:dyDescent="0.3">
      <c r="A6475" s="22" t="s">
        <v>67</v>
      </c>
      <c r="B6475">
        <v>194</v>
      </c>
      <c r="C6475" t="s">
        <v>64</v>
      </c>
      <c r="D6475">
        <v>194</v>
      </c>
      <c r="E6475" s="8">
        <v>1.03E-2</v>
      </c>
      <c r="F6475" s="8">
        <v>0.1237</v>
      </c>
      <c r="G6475" s="8">
        <v>2.58E-2</v>
      </c>
      <c r="H6475" s="8">
        <v>0.29380000000000001</v>
      </c>
      <c r="I6475" s="8">
        <v>5.1999999999999998E-3</v>
      </c>
      <c r="J6475" s="8">
        <v>1.03E-2</v>
      </c>
      <c r="K6475" s="8">
        <v>4.1200000000000001E-2</v>
      </c>
      <c r="L6475" s="8">
        <v>5.1999999999999998E-3</v>
      </c>
      <c r="M6475" s="8">
        <v>0.35049999999999998</v>
      </c>
      <c r="N6475" s="8">
        <v>0.12889999999999999</v>
      </c>
      <c r="O6475" s="8">
        <v>5.1999999999999998E-3</v>
      </c>
      <c r="P6475" s="8">
        <v>1.03E-2</v>
      </c>
      <c r="Q6475" s="8">
        <v>2.06E-2</v>
      </c>
    </row>
    <row r="6477" spans="1:17" ht="43.2" x14ac:dyDescent="0.3">
      <c r="A6477" s="22" t="s">
        <v>1435</v>
      </c>
    </row>
    <row r="6478" spans="1:17" x14ac:dyDescent="0.3">
      <c r="A6478" s="22" t="s">
        <v>66</v>
      </c>
      <c r="B6478" t="s">
        <v>62</v>
      </c>
      <c r="C6478" t="s">
        <v>57</v>
      </c>
      <c r="D6478" t="s">
        <v>63</v>
      </c>
      <c r="E6478" t="s">
        <v>226</v>
      </c>
      <c r="F6478" t="s">
        <v>228</v>
      </c>
      <c r="G6478" t="s">
        <v>229</v>
      </c>
      <c r="H6478" t="s">
        <v>154</v>
      </c>
      <c r="I6478" t="s">
        <v>232</v>
      </c>
      <c r="J6478" t="s">
        <v>233</v>
      </c>
      <c r="K6478" t="s">
        <v>234</v>
      </c>
      <c r="L6478" t="s">
        <v>236</v>
      </c>
      <c r="M6478" t="s">
        <v>1424</v>
      </c>
      <c r="N6478" t="s">
        <v>136</v>
      </c>
      <c r="O6478" t="s">
        <v>238</v>
      </c>
      <c r="P6478" t="s">
        <v>239</v>
      </c>
      <c r="Q6478" t="s">
        <v>244</v>
      </c>
    </row>
    <row r="6479" spans="1:17" x14ac:dyDescent="0.3">
      <c r="A6479" s="22" t="s">
        <v>67</v>
      </c>
      <c r="B6479">
        <v>122</v>
      </c>
      <c r="C6479" t="s">
        <v>64</v>
      </c>
      <c r="D6479">
        <v>194</v>
      </c>
      <c r="F6479" s="8">
        <v>9.8400000000000001E-2</v>
      </c>
      <c r="G6479" s="8">
        <v>3.2800000000000003E-2</v>
      </c>
      <c r="H6479" s="8">
        <v>0.30330000000000001</v>
      </c>
      <c r="J6479" s="8">
        <v>8.2000000000000007E-3</v>
      </c>
      <c r="K6479" s="8">
        <v>5.74E-2</v>
      </c>
      <c r="L6479" s="8">
        <v>8.2000000000000007E-3</v>
      </c>
      <c r="M6479" s="8">
        <v>0.34429999999999999</v>
      </c>
      <c r="N6479" s="8">
        <v>0.14749999999999999</v>
      </c>
      <c r="O6479" s="8">
        <v>8.2000000000000007E-3</v>
      </c>
      <c r="Q6479" s="8">
        <v>1.6400000000000001E-2</v>
      </c>
    </row>
    <row r="6480" spans="1:17" x14ac:dyDescent="0.3">
      <c r="A6480" s="22" t="s">
        <v>68</v>
      </c>
      <c r="B6480">
        <v>72</v>
      </c>
      <c r="C6480" t="s">
        <v>64</v>
      </c>
      <c r="D6480">
        <v>194</v>
      </c>
      <c r="E6480" s="8">
        <v>2.7799999999999998E-2</v>
      </c>
      <c r="F6480" s="8">
        <v>0.16669999999999999</v>
      </c>
      <c r="G6480" s="8">
        <v>1.3899999999999999E-2</v>
      </c>
      <c r="H6480" s="8">
        <v>0.27779999999999999</v>
      </c>
      <c r="I6480" s="8">
        <v>1.3899999999999999E-2</v>
      </c>
      <c r="J6480" s="8">
        <v>1.3899999999999999E-2</v>
      </c>
      <c r="K6480" s="8">
        <v>1.3899999999999999E-2</v>
      </c>
      <c r="M6480" s="8">
        <v>0.36109999999999998</v>
      </c>
      <c r="N6480" s="8">
        <v>9.7199999999999995E-2</v>
      </c>
      <c r="P6480" s="8">
        <v>2.7799999999999998E-2</v>
      </c>
      <c r="Q6480" s="8">
        <v>2.7799999999999998E-2</v>
      </c>
    </row>
    <row r="6482" spans="1:17" ht="57.6" x14ac:dyDescent="0.3">
      <c r="A6482" s="22" t="s">
        <v>1436</v>
      </c>
    </row>
    <row r="6483" spans="1:17" x14ac:dyDescent="0.3">
      <c r="A6483" s="22" t="s">
        <v>66</v>
      </c>
      <c r="B6483" t="s">
        <v>62</v>
      </c>
      <c r="C6483" t="s">
        <v>57</v>
      </c>
      <c r="D6483" t="s">
        <v>63</v>
      </c>
      <c r="E6483" t="s">
        <v>226</v>
      </c>
      <c r="F6483" t="s">
        <v>228</v>
      </c>
      <c r="G6483" t="s">
        <v>229</v>
      </c>
      <c r="H6483" t="s">
        <v>154</v>
      </c>
      <c r="I6483" t="s">
        <v>232</v>
      </c>
      <c r="J6483" t="s">
        <v>233</v>
      </c>
      <c r="K6483" t="s">
        <v>234</v>
      </c>
      <c r="L6483" t="s">
        <v>236</v>
      </c>
      <c r="M6483" t="s">
        <v>1424</v>
      </c>
      <c r="N6483" t="s">
        <v>136</v>
      </c>
      <c r="O6483" t="s">
        <v>238</v>
      </c>
      <c r="P6483" t="s">
        <v>239</v>
      </c>
      <c r="Q6483" t="s">
        <v>244</v>
      </c>
    </row>
    <row r="6484" spans="1:17" x14ac:dyDescent="0.3">
      <c r="A6484" s="22" t="s">
        <v>67</v>
      </c>
      <c r="B6484">
        <v>175</v>
      </c>
      <c r="C6484" t="s">
        <v>64</v>
      </c>
      <c r="D6484">
        <v>194</v>
      </c>
      <c r="E6484" s="8">
        <v>1.14E-2</v>
      </c>
      <c r="F6484" s="8">
        <v>0.12570000000000001</v>
      </c>
      <c r="G6484" s="8">
        <v>2.29E-2</v>
      </c>
      <c r="H6484" s="8">
        <v>0.29139999999999999</v>
      </c>
      <c r="I6484" s="8">
        <v>5.7000000000000002E-3</v>
      </c>
      <c r="J6484" s="8">
        <v>5.7000000000000002E-3</v>
      </c>
      <c r="K6484" s="8">
        <v>0.04</v>
      </c>
      <c r="L6484" s="8">
        <v>5.7000000000000002E-3</v>
      </c>
      <c r="M6484" s="8">
        <v>0.34860000000000002</v>
      </c>
      <c r="N6484" s="8">
        <v>0.13139999999999999</v>
      </c>
      <c r="O6484" s="8">
        <v>5.7000000000000002E-3</v>
      </c>
      <c r="P6484" s="8">
        <v>1.14E-2</v>
      </c>
      <c r="Q6484" s="8">
        <v>2.29E-2</v>
      </c>
    </row>
    <row r="6485" spans="1:17" x14ac:dyDescent="0.3">
      <c r="A6485" s="22" t="s">
        <v>68</v>
      </c>
      <c r="B6485">
        <v>19</v>
      </c>
      <c r="C6485" t="s">
        <v>64</v>
      </c>
      <c r="D6485">
        <v>194</v>
      </c>
      <c r="F6485" s="8">
        <v>0.1053</v>
      </c>
      <c r="G6485" s="8">
        <v>5.2600000000000001E-2</v>
      </c>
      <c r="H6485" s="8">
        <v>0.31580000000000003</v>
      </c>
      <c r="J6485" s="8">
        <v>5.2600000000000001E-2</v>
      </c>
      <c r="K6485" s="8">
        <v>5.2600000000000001E-2</v>
      </c>
      <c r="M6485" s="8">
        <v>0.36840000000000001</v>
      </c>
      <c r="N6485" s="8">
        <v>0.1053</v>
      </c>
    </row>
    <row r="6487" spans="1:17" ht="43.2" x14ac:dyDescent="0.3">
      <c r="A6487" s="27" t="s">
        <v>1437</v>
      </c>
    </row>
    <row r="6488" spans="1:17" x14ac:dyDescent="0.3">
      <c r="A6488" s="22" t="s">
        <v>66</v>
      </c>
      <c r="B6488" t="s">
        <v>62</v>
      </c>
      <c r="C6488" t="s">
        <v>57</v>
      </c>
      <c r="D6488" t="s">
        <v>63</v>
      </c>
      <c r="E6488" t="s">
        <v>226</v>
      </c>
      <c r="F6488" t="s">
        <v>228</v>
      </c>
      <c r="G6488" t="s">
        <v>229</v>
      </c>
      <c r="H6488" t="s">
        <v>154</v>
      </c>
      <c r="I6488" t="s">
        <v>232</v>
      </c>
      <c r="J6488" t="s">
        <v>233</v>
      </c>
      <c r="K6488" t="s">
        <v>234</v>
      </c>
      <c r="L6488" t="s">
        <v>236</v>
      </c>
      <c r="M6488" t="s">
        <v>1424</v>
      </c>
      <c r="N6488" t="s">
        <v>136</v>
      </c>
      <c r="O6488" t="s">
        <v>238</v>
      </c>
      <c r="P6488" t="s">
        <v>239</v>
      </c>
      <c r="Q6488" t="s">
        <v>244</v>
      </c>
    </row>
    <row r="6489" spans="1:17" x14ac:dyDescent="0.3">
      <c r="A6489" s="22" t="s">
        <v>81</v>
      </c>
      <c r="B6489">
        <v>54</v>
      </c>
      <c r="C6489" t="s">
        <v>64</v>
      </c>
      <c r="D6489">
        <v>194</v>
      </c>
      <c r="F6489" s="8">
        <v>0.1111</v>
      </c>
      <c r="G6489" s="8">
        <v>3.6999999999999998E-2</v>
      </c>
      <c r="H6489" s="8">
        <v>0.27779999999999999</v>
      </c>
      <c r="K6489" s="8">
        <v>1.8499999999999999E-2</v>
      </c>
      <c r="L6489" s="8">
        <v>1.8499999999999999E-2</v>
      </c>
      <c r="M6489" s="8">
        <v>0.40739999999999998</v>
      </c>
      <c r="N6489" s="8">
        <v>9.2600000000000002E-2</v>
      </c>
      <c r="O6489" s="8">
        <v>1.8499999999999999E-2</v>
      </c>
      <c r="P6489" s="8">
        <v>1.8499999999999999E-2</v>
      </c>
      <c r="Q6489" s="8">
        <v>1.8499999999999999E-2</v>
      </c>
    </row>
    <row r="6490" spans="1:17" x14ac:dyDescent="0.3">
      <c r="A6490" s="22" t="s">
        <v>82</v>
      </c>
      <c r="B6490">
        <v>47</v>
      </c>
      <c r="C6490" t="s">
        <v>64</v>
      </c>
      <c r="D6490">
        <v>194</v>
      </c>
      <c r="F6490" s="8">
        <v>0.17019999999999999</v>
      </c>
      <c r="G6490" s="8">
        <v>2.1299999999999999E-2</v>
      </c>
      <c r="H6490" s="8">
        <v>0.34039999999999998</v>
      </c>
      <c r="K6490" s="8">
        <v>4.2599999999999999E-2</v>
      </c>
      <c r="M6490" s="8">
        <v>0.2979</v>
      </c>
      <c r="N6490" s="8">
        <v>0.12770000000000001</v>
      </c>
      <c r="P6490" s="8">
        <v>2.1299999999999999E-2</v>
      </c>
    </row>
    <row r="6491" spans="1:17" x14ac:dyDescent="0.3">
      <c r="A6491" s="22" t="s">
        <v>83</v>
      </c>
      <c r="B6491">
        <v>48</v>
      </c>
      <c r="C6491" t="s">
        <v>64</v>
      </c>
      <c r="D6491">
        <v>194</v>
      </c>
      <c r="E6491" s="8">
        <v>4.1700000000000001E-2</v>
      </c>
      <c r="F6491" s="8">
        <v>0.1042</v>
      </c>
      <c r="G6491" s="8">
        <v>2.0799999999999999E-2</v>
      </c>
      <c r="H6491" s="8">
        <v>0.29170000000000001</v>
      </c>
      <c r="J6491" s="8">
        <v>2.0799999999999999E-2</v>
      </c>
      <c r="K6491" s="8">
        <v>4.1700000000000001E-2</v>
      </c>
      <c r="M6491" s="8">
        <v>0.33329999999999999</v>
      </c>
      <c r="N6491" s="8">
        <v>0.14580000000000001</v>
      </c>
      <c r="Q6491" s="8">
        <v>2.0799999999999999E-2</v>
      </c>
    </row>
    <row r="6492" spans="1:17" x14ac:dyDescent="0.3">
      <c r="A6492" s="22" t="s">
        <v>84</v>
      </c>
      <c r="B6492">
        <v>45</v>
      </c>
      <c r="C6492" t="s">
        <v>64</v>
      </c>
      <c r="D6492">
        <v>194</v>
      </c>
      <c r="F6492" s="8">
        <v>0.1111</v>
      </c>
      <c r="G6492" s="8">
        <v>2.2200000000000001E-2</v>
      </c>
      <c r="H6492" s="8">
        <v>0.26669999999999999</v>
      </c>
      <c r="I6492" s="8">
        <v>2.2200000000000001E-2</v>
      </c>
      <c r="J6492" s="8">
        <v>2.2200000000000001E-2</v>
      </c>
      <c r="K6492" s="8">
        <v>6.6699999999999995E-2</v>
      </c>
      <c r="M6492" s="8">
        <v>0.35560000000000003</v>
      </c>
      <c r="N6492" s="8">
        <v>0.15559999999999999</v>
      </c>
      <c r="Q6492" s="8">
        <v>4.4400000000000002E-2</v>
      </c>
    </row>
    <row r="6494" spans="1:17" ht="28.8" x14ac:dyDescent="0.3">
      <c r="A6494" s="27" t="s">
        <v>1438</v>
      </c>
    </row>
    <row r="6495" spans="1:17" x14ac:dyDescent="0.3">
      <c r="A6495" s="22" t="s">
        <v>62</v>
      </c>
      <c r="B6495" t="s">
        <v>57</v>
      </c>
      <c r="C6495" t="s">
        <v>63</v>
      </c>
      <c r="D6495" t="s">
        <v>226</v>
      </c>
      <c r="E6495" t="s">
        <v>228</v>
      </c>
      <c r="F6495" t="s">
        <v>229</v>
      </c>
      <c r="G6495" t="s">
        <v>154</v>
      </c>
      <c r="H6495" t="s">
        <v>233</v>
      </c>
      <c r="I6495" t="s">
        <v>234</v>
      </c>
      <c r="J6495" t="s">
        <v>236</v>
      </c>
      <c r="K6495" t="s">
        <v>1424</v>
      </c>
      <c r="L6495" t="s">
        <v>136</v>
      </c>
      <c r="M6495" t="s">
        <v>239</v>
      </c>
      <c r="N6495" t="s">
        <v>243</v>
      </c>
      <c r="O6495" t="s">
        <v>244</v>
      </c>
    </row>
    <row r="6496" spans="1:17" x14ac:dyDescent="0.3">
      <c r="A6496" s="22">
        <v>129</v>
      </c>
      <c r="B6496" t="s">
        <v>64</v>
      </c>
      <c r="C6496">
        <v>129</v>
      </c>
      <c r="D6496" s="8">
        <v>1.55E-2</v>
      </c>
      <c r="E6496" s="8">
        <v>0.1318</v>
      </c>
      <c r="F6496" s="8">
        <v>7.7999999999999996E-3</v>
      </c>
      <c r="G6496" s="8">
        <v>0.1008</v>
      </c>
      <c r="H6496" s="8">
        <v>7.7999999999999996E-3</v>
      </c>
      <c r="I6496" s="8">
        <v>1.55E-2</v>
      </c>
      <c r="J6496" s="8">
        <v>3.1E-2</v>
      </c>
      <c r="K6496" s="8">
        <v>0.62019999999999997</v>
      </c>
      <c r="L6496" s="8">
        <v>0.1085</v>
      </c>
      <c r="M6496" s="8">
        <v>1.55E-2</v>
      </c>
      <c r="N6496" s="8">
        <v>7.7999999999999996E-3</v>
      </c>
      <c r="O6496" s="8">
        <v>7.7999999999999996E-3</v>
      </c>
    </row>
    <row r="6498" spans="1:16" ht="57.6" x14ac:dyDescent="0.3">
      <c r="A6498" s="22" t="s">
        <v>1439</v>
      </c>
    </row>
    <row r="6499" spans="1:16" x14ac:dyDescent="0.3">
      <c r="A6499" s="22" t="s">
        <v>66</v>
      </c>
      <c r="B6499" t="s">
        <v>62</v>
      </c>
      <c r="C6499" t="s">
        <v>57</v>
      </c>
      <c r="D6499" t="s">
        <v>63</v>
      </c>
      <c r="E6499" t="s">
        <v>226</v>
      </c>
      <c r="F6499" t="s">
        <v>228</v>
      </c>
      <c r="G6499" t="s">
        <v>229</v>
      </c>
      <c r="H6499" t="s">
        <v>154</v>
      </c>
      <c r="I6499" t="s">
        <v>233</v>
      </c>
      <c r="J6499" t="s">
        <v>234</v>
      </c>
      <c r="K6499" t="s">
        <v>236</v>
      </c>
      <c r="L6499" t="s">
        <v>1424</v>
      </c>
      <c r="M6499" t="s">
        <v>136</v>
      </c>
      <c r="N6499" t="s">
        <v>239</v>
      </c>
      <c r="O6499" t="s">
        <v>243</v>
      </c>
      <c r="P6499" t="s">
        <v>244</v>
      </c>
    </row>
    <row r="6500" spans="1:16" x14ac:dyDescent="0.3">
      <c r="A6500" s="22" t="s">
        <v>67</v>
      </c>
      <c r="B6500">
        <v>122</v>
      </c>
      <c r="C6500" t="s">
        <v>64</v>
      </c>
      <c r="D6500">
        <v>129</v>
      </c>
      <c r="E6500" s="8">
        <v>1.6400000000000001E-2</v>
      </c>
      <c r="F6500" s="8">
        <v>0.13930000000000001</v>
      </c>
      <c r="G6500" s="8">
        <v>8.2000000000000007E-3</v>
      </c>
      <c r="H6500" s="8">
        <v>0.1066</v>
      </c>
      <c r="I6500" s="8">
        <v>8.2000000000000007E-3</v>
      </c>
      <c r="J6500" s="8">
        <v>1.6400000000000001E-2</v>
      </c>
      <c r="K6500" s="8">
        <v>3.2800000000000003E-2</v>
      </c>
      <c r="L6500" s="8">
        <v>0.60660000000000003</v>
      </c>
      <c r="M6500" s="8">
        <v>0.1066</v>
      </c>
      <c r="N6500" s="8">
        <v>1.6400000000000001E-2</v>
      </c>
      <c r="O6500" s="8">
        <v>8.2000000000000007E-3</v>
      </c>
      <c r="P6500" s="8">
        <v>8.2000000000000007E-3</v>
      </c>
    </row>
    <row r="6501" spans="1:16" x14ac:dyDescent="0.3">
      <c r="A6501" s="22" t="s">
        <v>68</v>
      </c>
      <c r="B6501">
        <v>7</v>
      </c>
      <c r="C6501" t="s">
        <v>64</v>
      </c>
      <c r="D6501">
        <v>129</v>
      </c>
      <c r="L6501" s="8">
        <v>0.85709999999999997</v>
      </c>
      <c r="M6501" s="8">
        <v>0.1429</v>
      </c>
    </row>
    <row r="6503" spans="1:16" x14ac:dyDescent="0.3">
      <c r="A6503"/>
    </row>
    <row r="6504" spans="1:16" x14ac:dyDescent="0.3">
      <c r="A6504"/>
    </row>
    <row r="6505" spans="1:16" x14ac:dyDescent="0.3">
      <c r="A6505"/>
    </row>
    <row r="6507" spans="1:16" ht="57.6" x14ac:dyDescent="0.3">
      <c r="A6507" s="22" t="s">
        <v>1440</v>
      </c>
    </row>
    <row r="6508" spans="1:16" x14ac:dyDescent="0.3">
      <c r="A6508" s="22" t="s">
        <v>66</v>
      </c>
      <c r="B6508" t="s">
        <v>62</v>
      </c>
      <c r="C6508" t="s">
        <v>57</v>
      </c>
      <c r="D6508" t="s">
        <v>63</v>
      </c>
      <c r="E6508" t="s">
        <v>226</v>
      </c>
      <c r="F6508" t="s">
        <v>228</v>
      </c>
      <c r="G6508" t="s">
        <v>229</v>
      </c>
      <c r="H6508" t="s">
        <v>154</v>
      </c>
      <c r="I6508" t="s">
        <v>233</v>
      </c>
      <c r="J6508" t="s">
        <v>234</v>
      </c>
      <c r="K6508" t="s">
        <v>236</v>
      </c>
      <c r="L6508" t="s">
        <v>1424</v>
      </c>
      <c r="M6508" t="s">
        <v>136</v>
      </c>
      <c r="N6508" t="s">
        <v>239</v>
      </c>
      <c r="O6508" t="s">
        <v>243</v>
      </c>
      <c r="P6508" t="s">
        <v>244</v>
      </c>
    </row>
    <row r="6509" spans="1:16" x14ac:dyDescent="0.3">
      <c r="A6509" s="22" t="s">
        <v>67</v>
      </c>
      <c r="B6509">
        <v>123</v>
      </c>
      <c r="C6509" t="s">
        <v>64</v>
      </c>
      <c r="D6509">
        <v>129</v>
      </c>
      <c r="E6509" s="8">
        <v>1.6299999999999999E-2</v>
      </c>
      <c r="F6509" s="8">
        <v>0.122</v>
      </c>
      <c r="G6509" s="8">
        <v>8.0999999999999996E-3</v>
      </c>
      <c r="H6509" s="8">
        <v>9.7600000000000006E-2</v>
      </c>
      <c r="I6509" s="8">
        <v>8.0999999999999996E-3</v>
      </c>
      <c r="J6509" s="8">
        <v>1.6299999999999999E-2</v>
      </c>
      <c r="K6509" s="8">
        <v>3.2500000000000001E-2</v>
      </c>
      <c r="L6509" s="8">
        <v>0.626</v>
      </c>
      <c r="M6509" s="8">
        <v>0.1057</v>
      </c>
      <c r="N6509" s="8">
        <v>1.6299999999999999E-2</v>
      </c>
      <c r="O6509" s="8">
        <v>8.0999999999999996E-3</v>
      </c>
      <c r="P6509" s="8">
        <v>8.0999999999999996E-3</v>
      </c>
    </row>
    <row r="6510" spans="1:16" x14ac:dyDescent="0.3">
      <c r="A6510" s="22" t="s">
        <v>68</v>
      </c>
      <c r="B6510">
        <v>6</v>
      </c>
      <c r="C6510" t="s">
        <v>64</v>
      </c>
      <c r="D6510">
        <v>129</v>
      </c>
      <c r="F6510" s="8">
        <v>0.33329999999999999</v>
      </c>
      <c r="H6510" s="8">
        <v>0.16669999999999999</v>
      </c>
      <c r="L6510" s="8">
        <v>0.5</v>
      </c>
      <c r="M6510" s="8">
        <v>0.16669999999999999</v>
      </c>
    </row>
    <row r="6512" spans="1:16" ht="43.2" x14ac:dyDescent="0.3">
      <c r="A6512" s="22" t="s">
        <v>1441</v>
      </c>
    </row>
    <row r="6513" spans="1:16" x14ac:dyDescent="0.3">
      <c r="A6513" s="22" t="s">
        <v>66</v>
      </c>
      <c r="B6513" t="s">
        <v>62</v>
      </c>
      <c r="C6513" t="s">
        <v>57</v>
      </c>
      <c r="D6513" t="s">
        <v>63</v>
      </c>
      <c r="E6513" t="s">
        <v>226</v>
      </c>
      <c r="F6513" t="s">
        <v>228</v>
      </c>
      <c r="G6513" t="s">
        <v>229</v>
      </c>
      <c r="H6513" t="s">
        <v>154</v>
      </c>
      <c r="I6513" t="s">
        <v>233</v>
      </c>
      <c r="J6513" t="s">
        <v>234</v>
      </c>
      <c r="K6513" t="s">
        <v>236</v>
      </c>
      <c r="L6513" t="s">
        <v>1424</v>
      </c>
      <c r="M6513" t="s">
        <v>136</v>
      </c>
      <c r="N6513" t="s">
        <v>239</v>
      </c>
      <c r="O6513" t="s">
        <v>243</v>
      </c>
      <c r="P6513" t="s">
        <v>244</v>
      </c>
    </row>
    <row r="6514" spans="1:16" x14ac:dyDescent="0.3">
      <c r="A6514" s="22" t="s">
        <v>67</v>
      </c>
      <c r="B6514">
        <v>128</v>
      </c>
      <c r="C6514" t="s">
        <v>64</v>
      </c>
      <c r="D6514">
        <v>129</v>
      </c>
      <c r="E6514" s="8">
        <v>1.5599999999999999E-2</v>
      </c>
      <c r="F6514" s="8">
        <v>0.1328</v>
      </c>
      <c r="G6514" s="8">
        <v>7.7999999999999996E-3</v>
      </c>
      <c r="H6514" s="8">
        <v>0.1016</v>
      </c>
      <c r="I6514" s="8">
        <v>7.7999999999999996E-3</v>
      </c>
      <c r="J6514" s="8">
        <v>1.5599999999999999E-2</v>
      </c>
      <c r="K6514" s="8">
        <v>3.1199999999999999E-2</v>
      </c>
      <c r="L6514" s="8">
        <v>0.61719999999999997</v>
      </c>
      <c r="M6514" s="8">
        <v>0.1094</v>
      </c>
      <c r="N6514" s="8">
        <v>1.5599999999999999E-2</v>
      </c>
      <c r="O6514" s="8">
        <v>7.7999999999999996E-3</v>
      </c>
      <c r="P6514" s="8">
        <v>7.7999999999999996E-3</v>
      </c>
    </row>
    <row r="6515" spans="1:16" x14ac:dyDescent="0.3">
      <c r="A6515" s="22" t="s">
        <v>68</v>
      </c>
      <c r="B6515">
        <v>1</v>
      </c>
      <c r="C6515" t="s">
        <v>64</v>
      </c>
      <c r="D6515">
        <v>129</v>
      </c>
      <c r="L6515" s="8">
        <v>1</v>
      </c>
    </row>
    <row r="6517" spans="1:16" ht="57.6" x14ac:dyDescent="0.3">
      <c r="A6517" s="22" t="s">
        <v>1442</v>
      </c>
    </row>
    <row r="6518" spans="1:16" x14ac:dyDescent="0.3">
      <c r="A6518" s="22" t="s">
        <v>66</v>
      </c>
      <c r="B6518" t="s">
        <v>62</v>
      </c>
      <c r="C6518" t="s">
        <v>57</v>
      </c>
      <c r="D6518" t="s">
        <v>63</v>
      </c>
      <c r="E6518" t="s">
        <v>226</v>
      </c>
      <c r="F6518" t="s">
        <v>228</v>
      </c>
      <c r="G6518" t="s">
        <v>229</v>
      </c>
      <c r="H6518" t="s">
        <v>154</v>
      </c>
      <c r="I6518" t="s">
        <v>233</v>
      </c>
      <c r="J6518" t="s">
        <v>234</v>
      </c>
      <c r="K6518" t="s">
        <v>236</v>
      </c>
      <c r="L6518" t="s">
        <v>1424</v>
      </c>
      <c r="M6518" t="s">
        <v>136</v>
      </c>
      <c r="N6518" t="s">
        <v>239</v>
      </c>
      <c r="O6518" t="s">
        <v>243</v>
      </c>
      <c r="P6518" t="s">
        <v>244</v>
      </c>
    </row>
    <row r="6519" spans="1:16" x14ac:dyDescent="0.3">
      <c r="A6519" s="22" t="s">
        <v>67</v>
      </c>
      <c r="B6519">
        <v>119</v>
      </c>
      <c r="C6519" t="s">
        <v>64</v>
      </c>
      <c r="D6519">
        <v>129</v>
      </c>
      <c r="E6519" s="8">
        <v>1.6799999999999999E-2</v>
      </c>
      <c r="F6519" s="8">
        <v>0.10920000000000001</v>
      </c>
      <c r="G6519" s="8">
        <v>8.3999999999999995E-3</v>
      </c>
      <c r="H6519" s="8">
        <v>0.1008</v>
      </c>
      <c r="I6519" s="8">
        <v>8.3999999999999995E-3</v>
      </c>
      <c r="J6519" s="8">
        <v>1.6799999999999999E-2</v>
      </c>
      <c r="K6519" s="8">
        <v>3.3599999999999998E-2</v>
      </c>
      <c r="L6519" s="8">
        <v>0.63029999999999997</v>
      </c>
      <c r="M6519" s="8">
        <v>0.1176</v>
      </c>
      <c r="N6519" s="8">
        <v>1.6799999999999999E-2</v>
      </c>
      <c r="O6519" s="8">
        <v>8.3999999999999995E-3</v>
      </c>
      <c r="P6519" s="8">
        <v>8.3999999999999995E-3</v>
      </c>
    </row>
    <row r="6520" spans="1:16" x14ac:dyDescent="0.3">
      <c r="A6520" s="22" t="s">
        <v>68</v>
      </c>
      <c r="B6520">
        <v>10</v>
      </c>
      <c r="C6520" t="s">
        <v>64</v>
      </c>
      <c r="D6520">
        <v>129</v>
      </c>
      <c r="F6520" s="8">
        <v>0.4</v>
      </c>
      <c r="H6520" s="8">
        <v>0.1</v>
      </c>
      <c r="L6520" s="8">
        <v>0.5</v>
      </c>
    </row>
    <row r="6522" spans="1:16" ht="57.6" x14ac:dyDescent="0.3">
      <c r="A6522" s="22" t="s">
        <v>1443</v>
      </c>
    </row>
    <row r="6523" spans="1:16" x14ac:dyDescent="0.3">
      <c r="A6523" s="22" t="s">
        <v>66</v>
      </c>
      <c r="B6523" t="s">
        <v>62</v>
      </c>
      <c r="C6523" t="s">
        <v>57</v>
      </c>
      <c r="D6523" t="s">
        <v>63</v>
      </c>
      <c r="E6523" t="s">
        <v>226</v>
      </c>
      <c r="F6523" t="s">
        <v>228</v>
      </c>
      <c r="G6523" t="s">
        <v>229</v>
      </c>
      <c r="H6523" t="s">
        <v>154</v>
      </c>
      <c r="I6523" t="s">
        <v>233</v>
      </c>
      <c r="J6523" t="s">
        <v>234</v>
      </c>
      <c r="K6523" t="s">
        <v>236</v>
      </c>
      <c r="L6523" t="s">
        <v>1424</v>
      </c>
      <c r="M6523" t="s">
        <v>136</v>
      </c>
      <c r="N6523" t="s">
        <v>239</v>
      </c>
      <c r="O6523" t="s">
        <v>243</v>
      </c>
      <c r="P6523" t="s">
        <v>244</v>
      </c>
    </row>
    <row r="6524" spans="1:16" x14ac:dyDescent="0.3">
      <c r="A6524" s="22" t="s">
        <v>67</v>
      </c>
      <c r="B6524">
        <v>5</v>
      </c>
      <c r="C6524" t="s">
        <v>64</v>
      </c>
      <c r="D6524">
        <v>129</v>
      </c>
      <c r="L6524" s="8">
        <v>1</v>
      </c>
    </row>
    <row r="6525" spans="1:16" x14ac:dyDescent="0.3">
      <c r="A6525" s="22" t="s">
        <v>68</v>
      </c>
      <c r="B6525">
        <v>124</v>
      </c>
      <c r="C6525" t="s">
        <v>64</v>
      </c>
      <c r="D6525">
        <v>129</v>
      </c>
      <c r="E6525" s="8">
        <v>1.61E-2</v>
      </c>
      <c r="F6525" s="8">
        <v>0.1371</v>
      </c>
      <c r="G6525" s="8">
        <v>8.0999999999999996E-3</v>
      </c>
      <c r="H6525" s="8">
        <v>0.1048</v>
      </c>
      <c r="I6525" s="8">
        <v>8.0999999999999996E-3</v>
      </c>
      <c r="J6525" s="8">
        <v>1.61E-2</v>
      </c>
      <c r="K6525" s="8">
        <v>3.2300000000000002E-2</v>
      </c>
      <c r="L6525" s="8">
        <v>0.6048</v>
      </c>
      <c r="M6525" s="8">
        <v>0.1129</v>
      </c>
      <c r="N6525" s="8">
        <v>1.61E-2</v>
      </c>
      <c r="O6525" s="8">
        <v>8.0999999999999996E-3</v>
      </c>
      <c r="P6525" s="8">
        <v>8.0999999999999996E-3</v>
      </c>
    </row>
    <row r="6527" spans="1:16" ht="57.6" x14ac:dyDescent="0.3">
      <c r="A6527" s="22" t="s">
        <v>1444</v>
      </c>
    </row>
    <row r="6528" spans="1:16" x14ac:dyDescent="0.3">
      <c r="A6528" s="22" t="s">
        <v>66</v>
      </c>
      <c r="B6528" t="s">
        <v>62</v>
      </c>
      <c r="C6528" t="s">
        <v>57</v>
      </c>
      <c r="D6528" t="s">
        <v>63</v>
      </c>
      <c r="E6528" t="s">
        <v>226</v>
      </c>
      <c r="F6528" t="s">
        <v>228</v>
      </c>
      <c r="G6528" t="s">
        <v>229</v>
      </c>
      <c r="H6528" t="s">
        <v>154</v>
      </c>
      <c r="I6528" t="s">
        <v>233</v>
      </c>
      <c r="J6528" t="s">
        <v>234</v>
      </c>
      <c r="K6528" t="s">
        <v>236</v>
      </c>
      <c r="L6528" t="s">
        <v>1424</v>
      </c>
      <c r="M6528" t="s">
        <v>136</v>
      </c>
      <c r="N6528" t="s">
        <v>239</v>
      </c>
      <c r="O6528" t="s">
        <v>243</v>
      </c>
      <c r="P6528" t="s">
        <v>244</v>
      </c>
    </row>
    <row r="6529" spans="1:16" x14ac:dyDescent="0.3">
      <c r="A6529" s="22" t="s">
        <v>67</v>
      </c>
      <c r="B6529">
        <v>105</v>
      </c>
      <c r="C6529" t="s">
        <v>64</v>
      </c>
      <c r="D6529">
        <v>129</v>
      </c>
      <c r="E6529" s="8">
        <v>1.9E-2</v>
      </c>
      <c r="F6529" s="8">
        <v>0.1333</v>
      </c>
      <c r="G6529" s="8">
        <v>9.4999999999999998E-3</v>
      </c>
      <c r="H6529" s="8">
        <v>9.5200000000000007E-2</v>
      </c>
      <c r="J6529" s="8">
        <v>9.4999999999999998E-3</v>
      </c>
      <c r="K6529" s="8">
        <v>1.9E-2</v>
      </c>
      <c r="L6529" s="8">
        <v>0.61899999999999999</v>
      </c>
      <c r="M6529" s="8">
        <v>0.1143</v>
      </c>
      <c r="N6529" s="8">
        <v>1.9E-2</v>
      </c>
      <c r="O6529" s="8">
        <v>9.4999999999999998E-3</v>
      </c>
      <c r="P6529" s="8">
        <v>9.4999999999999998E-3</v>
      </c>
    </row>
    <row r="6530" spans="1:16" x14ac:dyDescent="0.3">
      <c r="A6530" s="22" t="s">
        <v>68</v>
      </c>
      <c r="B6530">
        <v>24</v>
      </c>
      <c r="C6530" t="s">
        <v>64</v>
      </c>
      <c r="D6530">
        <v>129</v>
      </c>
      <c r="F6530" s="8">
        <v>0.125</v>
      </c>
      <c r="H6530" s="8">
        <v>0.125</v>
      </c>
      <c r="I6530" s="8">
        <v>4.1700000000000001E-2</v>
      </c>
      <c r="J6530" s="8">
        <v>4.1700000000000001E-2</v>
      </c>
      <c r="K6530" s="8">
        <v>8.3299999999999999E-2</v>
      </c>
      <c r="L6530" s="8">
        <v>0.625</v>
      </c>
      <c r="M6530" s="8">
        <v>8.3299999999999999E-2</v>
      </c>
    </row>
    <row r="6532" spans="1:16" ht="43.2" x14ac:dyDescent="0.3">
      <c r="A6532" s="22" t="s">
        <v>1445</v>
      </c>
    </row>
    <row r="6533" spans="1:16" x14ac:dyDescent="0.3">
      <c r="A6533" s="22" t="s">
        <v>66</v>
      </c>
      <c r="B6533" t="s">
        <v>62</v>
      </c>
      <c r="C6533" t="s">
        <v>57</v>
      </c>
      <c r="D6533" t="s">
        <v>63</v>
      </c>
      <c r="E6533" t="s">
        <v>226</v>
      </c>
      <c r="F6533" t="s">
        <v>228</v>
      </c>
      <c r="G6533" t="s">
        <v>229</v>
      </c>
      <c r="H6533" t="s">
        <v>154</v>
      </c>
      <c r="I6533" t="s">
        <v>233</v>
      </c>
      <c r="J6533" t="s">
        <v>234</v>
      </c>
      <c r="K6533" t="s">
        <v>236</v>
      </c>
      <c r="L6533" t="s">
        <v>1424</v>
      </c>
      <c r="M6533" t="s">
        <v>136</v>
      </c>
      <c r="N6533" t="s">
        <v>239</v>
      </c>
      <c r="O6533" t="s">
        <v>243</v>
      </c>
      <c r="P6533" t="s">
        <v>244</v>
      </c>
    </row>
    <row r="6534" spans="1:16" x14ac:dyDescent="0.3">
      <c r="A6534" s="22" t="s">
        <v>67</v>
      </c>
      <c r="B6534">
        <v>100</v>
      </c>
      <c r="C6534" t="s">
        <v>64</v>
      </c>
      <c r="D6534">
        <v>129</v>
      </c>
      <c r="E6534" s="8">
        <v>0.02</v>
      </c>
      <c r="F6534" s="8">
        <v>0.13</v>
      </c>
      <c r="G6534" s="8">
        <v>0.01</v>
      </c>
      <c r="H6534" s="8">
        <v>0.12</v>
      </c>
      <c r="I6534" s="8">
        <v>0.01</v>
      </c>
      <c r="J6534" s="8">
        <v>0.01</v>
      </c>
      <c r="K6534" s="8">
        <v>0.04</v>
      </c>
      <c r="L6534" s="8">
        <v>0.61</v>
      </c>
      <c r="M6534" s="8">
        <v>0.1</v>
      </c>
      <c r="N6534" s="8">
        <v>0.01</v>
      </c>
      <c r="O6534" s="8">
        <v>0.01</v>
      </c>
    </row>
    <row r="6535" spans="1:16" x14ac:dyDescent="0.3">
      <c r="A6535" s="22" t="s">
        <v>68</v>
      </c>
      <c r="B6535">
        <v>29</v>
      </c>
      <c r="C6535" t="s">
        <v>64</v>
      </c>
      <c r="D6535">
        <v>129</v>
      </c>
      <c r="F6535" s="8">
        <v>0.13789999999999999</v>
      </c>
      <c r="H6535" s="8">
        <v>3.4500000000000003E-2</v>
      </c>
      <c r="J6535" s="8">
        <v>3.4500000000000003E-2</v>
      </c>
      <c r="L6535" s="8">
        <v>0.6552</v>
      </c>
      <c r="M6535" s="8">
        <v>0.13789999999999999</v>
      </c>
      <c r="N6535" s="8">
        <v>3.4500000000000003E-2</v>
      </c>
      <c r="P6535" s="8">
        <v>3.4500000000000003E-2</v>
      </c>
    </row>
    <row r="6537" spans="1:16" ht="57.6" x14ac:dyDescent="0.3">
      <c r="A6537" s="22" t="s">
        <v>1446</v>
      </c>
    </row>
    <row r="6538" spans="1:16" x14ac:dyDescent="0.3">
      <c r="A6538" s="22" t="s">
        <v>66</v>
      </c>
      <c r="B6538" t="s">
        <v>62</v>
      </c>
      <c r="C6538" t="s">
        <v>57</v>
      </c>
      <c r="D6538" t="s">
        <v>63</v>
      </c>
      <c r="E6538" t="s">
        <v>226</v>
      </c>
      <c r="F6538" t="s">
        <v>228</v>
      </c>
      <c r="G6538" t="s">
        <v>229</v>
      </c>
      <c r="H6538" t="s">
        <v>154</v>
      </c>
      <c r="I6538" t="s">
        <v>233</v>
      </c>
      <c r="J6538" t="s">
        <v>234</v>
      </c>
      <c r="K6538" t="s">
        <v>236</v>
      </c>
      <c r="L6538" t="s">
        <v>1424</v>
      </c>
      <c r="M6538" t="s">
        <v>136</v>
      </c>
      <c r="N6538" t="s">
        <v>239</v>
      </c>
      <c r="O6538" t="s">
        <v>243</v>
      </c>
      <c r="P6538" t="s">
        <v>244</v>
      </c>
    </row>
    <row r="6539" spans="1:16" x14ac:dyDescent="0.3">
      <c r="A6539" s="22" t="s">
        <v>67</v>
      </c>
      <c r="B6539">
        <v>97</v>
      </c>
      <c r="C6539" t="s">
        <v>64</v>
      </c>
      <c r="D6539">
        <v>129</v>
      </c>
      <c r="E6539" s="8">
        <v>2.06E-2</v>
      </c>
      <c r="F6539" s="8">
        <v>0.1134</v>
      </c>
      <c r="G6539" s="8">
        <v>1.03E-2</v>
      </c>
      <c r="H6539" s="8">
        <v>0.1134</v>
      </c>
      <c r="I6539" s="8">
        <v>1.03E-2</v>
      </c>
      <c r="J6539" s="8">
        <v>1.03E-2</v>
      </c>
      <c r="K6539" s="8">
        <v>3.09E-2</v>
      </c>
      <c r="L6539" s="8">
        <v>0.61860000000000004</v>
      </c>
      <c r="M6539" s="8">
        <v>0.1237</v>
      </c>
      <c r="N6539" s="8">
        <v>1.03E-2</v>
      </c>
    </row>
    <row r="6540" spans="1:16" x14ac:dyDescent="0.3">
      <c r="A6540" s="22" t="s">
        <v>68</v>
      </c>
      <c r="B6540">
        <v>32</v>
      </c>
      <c r="C6540" t="s">
        <v>64</v>
      </c>
      <c r="D6540">
        <v>129</v>
      </c>
      <c r="F6540" s="8">
        <v>0.1875</v>
      </c>
      <c r="H6540" s="8">
        <v>6.25E-2</v>
      </c>
      <c r="J6540" s="8">
        <v>3.1199999999999999E-2</v>
      </c>
      <c r="K6540" s="8">
        <v>3.1199999999999999E-2</v>
      </c>
      <c r="L6540" s="8">
        <v>0.625</v>
      </c>
      <c r="M6540" s="8">
        <v>6.25E-2</v>
      </c>
      <c r="N6540" s="8">
        <v>3.1199999999999999E-2</v>
      </c>
      <c r="O6540" s="8">
        <v>3.1199999999999999E-2</v>
      </c>
      <c r="P6540" s="8">
        <v>3.1199999999999999E-2</v>
      </c>
    </row>
    <row r="6542" spans="1:16" ht="57.6" x14ac:dyDescent="0.3">
      <c r="A6542" s="22" t="s">
        <v>1447</v>
      </c>
    </row>
    <row r="6543" spans="1:16" x14ac:dyDescent="0.3">
      <c r="A6543" s="22" t="s">
        <v>66</v>
      </c>
      <c r="B6543" t="s">
        <v>62</v>
      </c>
      <c r="C6543" t="s">
        <v>57</v>
      </c>
      <c r="D6543" t="s">
        <v>63</v>
      </c>
      <c r="E6543" t="s">
        <v>226</v>
      </c>
      <c r="F6543" t="s">
        <v>228</v>
      </c>
      <c r="G6543" t="s">
        <v>229</v>
      </c>
      <c r="H6543" t="s">
        <v>154</v>
      </c>
      <c r="I6543" t="s">
        <v>233</v>
      </c>
      <c r="J6543" t="s">
        <v>234</v>
      </c>
      <c r="K6543" t="s">
        <v>236</v>
      </c>
      <c r="L6543" t="s">
        <v>1424</v>
      </c>
      <c r="M6543" t="s">
        <v>136</v>
      </c>
      <c r="N6543" t="s">
        <v>239</v>
      </c>
      <c r="O6543" t="s">
        <v>243</v>
      </c>
      <c r="P6543" t="s">
        <v>244</v>
      </c>
    </row>
    <row r="6544" spans="1:16" x14ac:dyDescent="0.3">
      <c r="A6544" s="22" t="s">
        <v>67</v>
      </c>
      <c r="B6544">
        <v>117</v>
      </c>
      <c r="C6544" t="s">
        <v>64</v>
      </c>
      <c r="D6544">
        <v>129</v>
      </c>
      <c r="E6544" s="8">
        <v>1.7100000000000001E-2</v>
      </c>
      <c r="F6544" s="8">
        <v>0.14530000000000001</v>
      </c>
      <c r="G6544" s="8">
        <v>8.5000000000000006E-3</v>
      </c>
      <c r="H6544" s="8">
        <v>0.1026</v>
      </c>
      <c r="I6544" s="8">
        <v>8.5000000000000006E-3</v>
      </c>
      <c r="J6544" s="8">
        <v>8.5000000000000006E-3</v>
      </c>
      <c r="K6544" s="8">
        <v>3.4200000000000001E-2</v>
      </c>
      <c r="L6544" s="8">
        <v>0.60680000000000001</v>
      </c>
      <c r="M6544" s="8">
        <v>0.1026</v>
      </c>
      <c r="N6544" s="8">
        <v>1.7100000000000001E-2</v>
      </c>
      <c r="O6544" s="8">
        <v>8.5000000000000006E-3</v>
      </c>
    </row>
    <row r="6545" spans="1:16" x14ac:dyDescent="0.3">
      <c r="A6545" s="22" t="s">
        <v>68</v>
      </c>
      <c r="B6545">
        <v>12</v>
      </c>
      <c r="C6545" t="s">
        <v>64</v>
      </c>
      <c r="D6545">
        <v>129</v>
      </c>
      <c r="H6545" s="8">
        <v>8.3299999999999999E-2</v>
      </c>
      <c r="J6545" s="8">
        <v>8.3299999999999999E-2</v>
      </c>
      <c r="L6545" s="8">
        <v>0.75</v>
      </c>
      <c r="M6545" s="8">
        <v>0.16669999999999999</v>
      </c>
      <c r="P6545" s="8">
        <v>8.3299999999999999E-2</v>
      </c>
    </row>
    <row r="6547" spans="1:16" ht="57.6" x14ac:dyDescent="0.3">
      <c r="A6547" s="22" t="s">
        <v>1448</v>
      </c>
    </row>
    <row r="6548" spans="1:16" x14ac:dyDescent="0.3">
      <c r="A6548" s="22" t="s">
        <v>66</v>
      </c>
      <c r="B6548" t="s">
        <v>62</v>
      </c>
      <c r="C6548" t="s">
        <v>57</v>
      </c>
      <c r="D6548" t="s">
        <v>63</v>
      </c>
      <c r="E6548" t="s">
        <v>226</v>
      </c>
      <c r="F6548" t="s">
        <v>228</v>
      </c>
      <c r="G6548" t="s">
        <v>229</v>
      </c>
      <c r="H6548" t="s">
        <v>154</v>
      </c>
      <c r="I6548" t="s">
        <v>233</v>
      </c>
      <c r="J6548" t="s">
        <v>234</v>
      </c>
      <c r="K6548" t="s">
        <v>236</v>
      </c>
      <c r="L6548" t="s">
        <v>1424</v>
      </c>
      <c r="M6548" t="s">
        <v>136</v>
      </c>
      <c r="N6548" t="s">
        <v>239</v>
      </c>
      <c r="O6548" t="s">
        <v>243</v>
      </c>
      <c r="P6548" t="s">
        <v>244</v>
      </c>
    </row>
    <row r="6549" spans="1:16" x14ac:dyDescent="0.3">
      <c r="A6549" s="22" t="s">
        <v>67</v>
      </c>
      <c r="B6549">
        <v>129</v>
      </c>
      <c r="C6549" t="s">
        <v>64</v>
      </c>
      <c r="D6549">
        <v>129</v>
      </c>
      <c r="E6549" s="8">
        <v>1.55E-2</v>
      </c>
      <c r="F6549" s="8">
        <v>0.1318</v>
      </c>
      <c r="G6549" s="8">
        <v>7.7999999999999996E-3</v>
      </c>
      <c r="H6549" s="8">
        <v>0.1008</v>
      </c>
      <c r="I6549" s="8">
        <v>7.7999999999999996E-3</v>
      </c>
      <c r="J6549" s="8">
        <v>1.55E-2</v>
      </c>
      <c r="K6549" s="8">
        <v>3.1E-2</v>
      </c>
      <c r="L6549" s="8">
        <v>0.62019999999999997</v>
      </c>
      <c r="M6549" s="8">
        <v>0.1085</v>
      </c>
      <c r="N6549" s="8">
        <v>1.55E-2</v>
      </c>
      <c r="O6549" s="8">
        <v>7.7999999999999996E-3</v>
      </c>
      <c r="P6549" s="8">
        <v>7.7999999999999996E-3</v>
      </c>
    </row>
    <row r="6551" spans="1:16" ht="43.2" x14ac:dyDescent="0.3">
      <c r="A6551" s="22" t="s">
        <v>1449</v>
      </c>
    </row>
    <row r="6552" spans="1:16" x14ac:dyDescent="0.3">
      <c r="A6552" s="22" t="s">
        <v>66</v>
      </c>
      <c r="B6552" t="s">
        <v>62</v>
      </c>
      <c r="C6552" t="s">
        <v>57</v>
      </c>
      <c r="D6552" t="s">
        <v>63</v>
      </c>
      <c r="E6552" t="s">
        <v>226</v>
      </c>
      <c r="F6552" t="s">
        <v>228</v>
      </c>
      <c r="G6552" t="s">
        <v>229</v>
      </c>
      <c r="H6552" t="s">
        <v>154</v>
      </c>
      <c r="I6552" t="s">
        <v>233</v>
      </c>
      <c r="J6552" t="s">
        <v>234</v>
      </c>
      <c r="K6552" t="s">
        <v>236</v>
      </c>
      <c r="L6552" t="s">
        <v>1424</v>
      </c>
      <c r="M6552" t="s">
        <v>136</v>
      </c>
      <c r="N6552" t="s">
        <v>239</v>
      </c>
      <c r="O6552" t="s">
        <v>243</v>
      </c>
      <c r="P6552" t="s">
        <v>244</v>
      </c>
    </row>
    <row r="6553" spans="1:16" x14ac:dyDescent="0.3">
      <c r="A6553" s="22" t="s">
        <v>67</v>
      </c>
      <c r="B6553">
        <v>76</v>
      </c>
      <c r="C6553" t="s">
        <v>64</v>
      </c>
      <c r="D6553">
        <v>129</v>
      </c>
      <c r="E6553" s="8">
        <v>1.32E-2</v>
      </c>
      <c r="F6553" s="8">
        <v>0.1711</v>
      </c>
      <c r="G6553" s="8">
        <v>1.32E-2</v>
      </c>
      <c r="H6553" s="8">
        <v>7.8899999999999998E-2</v>
      </c>
      <c r="I6553" s="8">
        <v>1.32E-2</v>
      </c>
      <c r="J6553" s="8">
        <v>1.32E-2</v>
      </c>
      <c r="K6553" s="8">
        <v>5.2600000000000001E-2</v>
      </c>
      <c r="L6553" s="8">
        <v>0.59209999999999996</v>
      </c>
      <c r="M6553" s="8">
        <v>0.1053</v>
      </c>
      <c r="N6553" s="8">
        <v>2.63E-2</v>
      </c>
      <c r="O6553" s="8">
        <v>1.32E-2</v>
      </c>
    </row>
    <row r="6554" spans="1:16" x14ac:dyDescent="0.3">
      <c r="A6554" s="22" t="s">
        <v>68</v>
      </c>
      <c r="B6554">
        <v>53</v>
      </c>
      <c r="C6554" t="s">
        <v>64</v>
      </c>
      <c r="D6554">
        <v>129</v>
      </c>
      <c r="E6554" s="8">
        <v>1.89E-2</v>
      </c>
      <c r="F6554" s="8">
        <v>7.5499999999999998E-2</v>
      </c>
      <c r="H6554" s="8">
        <v>0.1321</v>
      </c>
      <c r="J6554" s="8">
        <v>1.89E-2</v>
      </c>
      <c r="L6554" s="8">
        <v>0.66039999999999999</v>
      </c>
      <c r="M6554" s="8">
        <v>0.1132</v>
      </c>
      <c r="P6554" s="8">
        <v>1.89E-2</v>
      </c>
    </row>
    <row r="6556" spans="1:16" ht="57.6" x14ac:dyDescent="0.3">
      <c r="A6556" s="22" t="s">
        <v>1450</v>
      </c>
    </row>
    <row r="6557" spans="1:16" x14ac:dyDescent="0.3">
      <c r="A6557" s="22" t="s">
        <v>66</v>
      </c>
      <c r="B6557" t="s">
        <v>62</v>
      </c>
      <c r="C6557" t="s">
        <v>57</v>
      </c>
      <c r="D6557" t="s">
        <v>63</v>
      </c>
      <c r="E6557" t="s">
        <v>226</v>
      </c>
      <c r="F6557" t="s">
        <v>228</v>
      </c>
      <c r="G6557" t="s">
        <v>229</v>
      </c>
      <c r="H6557" t="s">
        <v>154</v>
      </c>
      <c r="I6557" t="s">
        <v>233</v>
      </c>
      <c r="J6557" t="s">
        <v>234</v>
      </c>
      <c r="K6557" t="s">
        <v>236</v>
      </c>
      <c r="L6557" t="s">
        <v>1424</v>
      </c>
      <c r="M6557" t="s">
        <v>136</v>
      </c>
      <c r="N6557" t="s">
        <v>239</v>
      </c>
      <c r="O6557" t="s">
        <v>243</v>
      </c>
      <c r="P6557" t="s">
        <v>244</v>
      </c>
    </row>
    <row r="6558" spans="1:16" x14ac:dyDescent="0.3">
      <c r="A6558" s="22" t="s">
        <v>67</v>
      </c>
      <c r="B6558">
        <v>113</v>
      </c>
      <c r="C6558" t="s">
        <v>64</v>
      </c>
      <c r="D6558">
        <v>129</v>
      </c>
      <c r="E6558" s="8">
        <v>1.77E-2</v>
      </c>
      <c r="F6558" s="8">
        <v>0.1239</v>
      </c>
      <c r="G6558" s="8">
        <v>8.8000000000000005E-3</v>
      </c>
      <c r="H6558" s="8">
        <v>0.1062</v>
      </c>
      <c r="J6558" s="8">
        <v>8.8000000000000005E-3</v>
      </c>
      <c r="K6558" s="8">
        <v>2.6499999999999999E-2</v>
      </c>
      <c r="L6558" s="8">
        <v>0.62829999999999997</v>
      </c>
      <c r="M6558" s="8">
        <v>0.1062</v>
      </c>
      <c r="N6558" s="8">
        <v>1.77E-2</v>
      </c>
      <c r="O6558" s="8">
        <v>8.8000000000000005E-3</v>
      </c>
      <c r="P6558" s="8">
        <v>8.8000000000000005E-3</v>
      </c>
    </row>
    <row r="6559" spans="1:16" x14ac:dyDescent="0.3">
      <c r="A6559" s="22" t="s">
        <v>68</v>
      </c>
      <c r="B6559">
        <v>16</v>
      </c>
      <c r="C6559" t="s">
        <v>64</v>
      </c>
      <c r="D6559">
        <v>129</v>
      </c>
      <c r="F6559" s="8">
        <v>0.1875</v>
      </c>
      <c r="H6559" s="8">
        <v>6.25E-2</v>
      </c>
      <c r="I6559" s="8">
        <v>6.25E-2</v>
      </c>
      <c r="J6559" s="8">
        <v>6.25E-2</v>
      </c>
      <c r="K6559" s="8">
        <v>6.25E-2</v>
      </c>
      <c r="L6559" s="8">
        <v>0.5625</v>
      </c>
      <c r="M6559" s="8">
        <v>0.125</v>
      </c>
    </row>
    <row r="6561" spans="1:16" ht="43.2" x14ac:dyDescent="0.3">
      <c r="A6561" s="27" t="s">
        <v>1451</v>
      </c>
    </row>
    <row r="6562" spans="1:16" x14ac:dyDescent="0.3">
      <c r="A6562" s="22" t="s">
        <v>66</v>
      </c>
      <c r="B6562" t="s">
        <v>62</v>
      </c>
      <c r="C6562" t="s">
        <v>57</v>
      </c>
      <c r="D6562" t="s">
        <v>63</v>
      </c>
      <c r="E6562" t="s">
        <v>226</v>
      </c>
      <c r="F6562" t="s">
        <v>228</v>
      </c>
      <c r="G6562" t="s">
        <v>229</v>
      </c>
      <c r="H6562" t="s">
        <v>154</v>
      </c>
      <c r="I6562" t="s">
        <v>233</v>
      </c>
      <c r="J6562" t="s">
        <v>234</v>
      </c>
      <c r="K6562" t="s">
        <v>236</v>
      </c>
      <c r="L6562" t="s">
        <v>1424</v>
      </c>
      <c r="M6562" t="s">
        <v>136</v>
      </c>
      <c r="N6562" t="s">
        <v>239</v>
      </c>
      <c r="O6562" t="s">
        <v>243</v>
      </c>
      <c r="P6562" t="s">
        <v>244</v>
      </c>
    </row>
    <row r="6563" spans="1:16" x14ac:dyDescent="0.3">
      <c r="A6563" s="22" t="s">
        <v>81</v>
      </c>
      <c r="B6563">
        <v>32</v>
      </c>
      <c r="C6563" t="s">
        <v>64</v>
      </c>
      <c r="D6563">
        <v>129</v>
      </c>
      <c r="F6563" s="8">
        <v>0.1875</v>
      </c>
      <c r="H6563" s="8">
        <v>6.25E-2</v>
      </c>
      <c r="I6563" s="8">
        <v>3.1199999999999999E-2</v>
      </c>
      <c r="J6563" s="8">
        <v>3.1199999999999999E-2</v>
      </c>
      <c r="K6563" s="8">
        <v>9.3799999999999994E-2</v>
      </c>
      <c r="L6563" s="8">
        <v>0.5625</v>
      </c>
      <c r="M6563" s="8">
        <v>0.15620000000000001</v>
      </c>
      <c r="N6563" s="8">
        <v>3.1199999999999999E-2</v>
      </c>
    </row>
    <row r="6564" spans="1:16" x14ac:dyDescent="0.3">
      <c r="A6564" s="22" t="s">
        <v>82</v>
      </c>
      <c r="B6564">
        <v>33</v>
      </c>
      <c r="C6564" t="s">
        <v>64</v>
      </c>
      <c r="D6564">
        <v>129</v>
      </c>
      <c r="F6564" s="8">
        <v>0.18179999999999999</v>
      </c>
      <c r="G6564" s="8">
        <v>3.0300000000000001E-2</v>
      </c>
      <c r="H6564" s="8">
        <v>6.0600000000000001E-2</v>
      </c>
      <c r="K6564" s="8">
        <v>3.0300000000000001E-2</v>
      </c>
      <c r="L6564" s="8">
        <v>0.69699999999999995</v>
      </c>
      <c r="M6564" s="8">
        <v>3.0300000000000001E-2</v>
      </c>
      <c r="N6564" s="8">
        <v>3.0300000000000001E-2</v>
      </c>
    </row>
    <row r="6565" spans="1:16" x14ac:dyDescent="0.3">
      <c r="A6565" s="22" t="s">
        <v>83</v>
      </c>
      <c r="B6565">
        <v>33</v>
      </c>
      <c r="C6565" t="s">
        <v>64</v>
      </c>
      <c r="D6565">
        <v>129</v>
      </c>
      <c r="E6565" s="8">
        <v>3.0300000000000001E-2</v>
      </c>
      <c r="F6565" s="8">
        <v>3.0300000000000001E-2</v>
      </c>
      <c r="H6565" s="8">
        <v>0.1212</v>
      </c>
      <c r="L6565" s="8">
        <v>0.66669999999999996</v>
      </c>
      <c r="M6565" s="8">
        <v>0.1212</v>
      </c>
      <c r="O6565" s="8">
        <v>3.0300000000000001E-2</v>
      </c>
    </row>
    <row r="6566" spans="1:16" x14ac:dyDescent="0.3">
      <c r="A6566" s="22" t="s">
        <v>84</v>
      </c>
      <c r="B6566">
        <v>31</v>
      </c>
      <c r="C6566" t="s">
        <v>64</v>
      </c>
      <c r="D6566">
        <v>129</v>
      </c>
      <c r="E6566" s="8">
        <v>3.2300000000000002E-2</v>
      </c>
      <c r="F6566" s="8">
        <v>0.129</v>
      </c>
      <c r="H6566" s="8">
        <v>0.1613</v>
      </c>
      <c r="J6566" s="8">
        <v>3.2300000000000002E-2</v>
      </c>
      <c r="L6566" s="8">
        <v>0.5484</v>
      </c>
      <c r="M6566" s="8">
        <v>0.129</v>
      </c>
      <c r="P6566" s="8">
        <v>3.2300000000000002E-2</v>
      </c>
    </row>
    <row r="6568" spans="1:16" ht="43.2" x14ac:dyDescent="0.3">
      <c r="A6568" s="22" t="s">
        <v>1452</v>
      </c>
    </row>
    <row r="6569" spans="1:16" x14ac:dyDescent="0.3">
      <c r="A6569" s="22" t="s">
        <v>62</v>
      </c>
      <c r="B6569" t="s">
        <v>57</v>
      </c>
      <c r="C6569" t="s">
        <v>63</v>
      </c>
      <c r="D6569" t="s">
        <v>1453</v>
      </c>
      <c r="E6569" t="s">
        <v>154</v>
      </c>
      <c r="F6569" t="s">
        <v>1454</v>
      </c>
      <c r="G6569" t="s">
        <v>1455</v>
      </c>
      <c r="H6569" t="s">
        <v>1456</v>
      </c>
      <c r="I6569" t="s">
        <v>1457</v>
      </c>
      <c r="J6569" t="s">
        <v>1458</v>
      </c>
      <c r="K6569" t="s">
        <v>1459</v>
      </c>
      <c r="L6569" t="s">
        <v>1460</v>
      </c>
      <c r="M6569" t="s">
        <v>239</v>
      </c>
      <c r="N6569" t="s">
        <v>1461</v>
      </c>
      <c r="O6569" t="s">
        <v>1462</v>
      </c>
    </row>
    <row r="6570" spans="1:16" x14ac:dyDescent="0.3">
      <c r="A6570" s="22">
        <v>195</v>
      </c>
      <c r="B6570" t="s">
        <v>64</v>
      </c>
      <c r="C6570">
        <v>195</v>
      </c>
      <c r="D6570" s="8">
        <v>0.32819999999999999</v>
      </c>
      <c r="E6570" s="8">
        <v>3.5900000000000001E-2</v>
      </c>
      <c r="F6570" s="8">
        <v>5.6399999999999999E-2</v>
      </c>
      <c r="G6570" s="8">
        <v>1.03E-2</v>
      </c>
      <c r="H6570" s="8">
        <v>4.6199999999999998E-2</v>
      </c>
      <c r="I6570" s="8">
        <v>1.03E-2</v>
      </c>
      <c r="J6570" s="8">
        <v>0.68720000000000003</v>
      </c>
      <c r="K6570" s="8">
        <v>1.54E-2</v>
      </c>
      <c r="L6570" s="8">
        <v>1.54E-2</v>
      </c>
      <c r="M6570" s="8">
        <v>5.1000000000000004E-3</v>
      </c>
      <c r="N6570" s="8">
        <v>5.1000000000000004E-3</v>
      </c>
      <c r="O6570" s="8">
        <v>5.1000000000000004E-3</v>
      </c>
    </row>
    <row r="6572" spans="1:16" ht="57.6" x14ac:dyDescent="0.3">
      <c r="A6572" s="22" t="s">
        <v>1463</v>
      </c>
    </row>
    <row r="6573" spans="1:16" x14ac:dyDescent="0.3">
      <c r="A6573" s="22" t="s">
        <v>66</v>
      </c>
      <c r="B6573" t="s">
        <v>62</v>
      </c>
      <c r="C6573" t="s">
        <v>57</v>
      </c>
      <c r="D6573" t="s">
        <v>63</v>
      </c>
      <c r="E6573" t="s">
        <v>1453</v>
      </c>
      <c r="F6573" t="s">
        <v>154</v>
      </c>
      <c r="G6573" t="s">
        <v>1454</v>
      </c>
      <c r="H6573" t="s">
        <v>1455</v>
      </c>
      <c r="I6573" t="s">
        <v>1456</v>
      </c>
      <c r="J6573" t="s">
        <v>1457</v>
      </c>
      <c r="K6573" t="s">
        <v>1458</v>
      </c>
      <c r="L6573" t="s">
        <v>1459</v>
      </c>
      <c r="M6573" t="s">
        <v>1460</v>
      </c>
      <c r="N6573" t="s">
        <v>239</v>
      </c>
      <c r="O6573" t="s">
        <v>1461</v>
      </c>
      <c r="P6573" t="s">
        <v>1462</v>
      </c>
    </row>
    <row r="6574" spans="1:16" x14ac:dyDescent="0.3">
      <c r="A6574" s="22" t="s">
        <v>67</v>
      </c>
      <c r="B6574">
        <v>186</v>
      </c>
      <c r="C6574" t="s">
        <v>64</v>
      </c>
      <c r="D6574">
        <v>195</v>
      </c>
      <c r="E6574" s="8">
        <v>0.33329999999999999</v>
      </c>
      <c r="F6574" s="8">
        <v>3.7600000000000001E-2</v>
      </c>
      <c r="G6574" s="8">
        <v>5.3800000000000001E-2</v>
      </c>
      <c r="H6574" s="8">
        <v>1.0800000000000001E-2</v>
      </c>
      <c r="I6574" s="8">
        <v>3.7600000000000001E-2</v>
      </c>
      <c r="J6574" s="8">
        <v>1.0800000000000001E-2</v>
      </c>
      <c r="K6574" s="8">
        <v>0.68279999999999996</v>
      </c>
      <c r="L6574" s="8">
        <v>1.61E-2</v>
      </c>
      <c r="M6574" s="8">
        <v>1.61E-2</v>
      </c>
      <c r="N6574" s="8">
        <v>5.4000000000000003E-3</v>
      </c>
      <c r="O6574" s="8">
        <v>5.4000000000000003E-3</v>
      </c>
      <c r="P6574" s="8">
        <v>5.4000000000000003E-3</v>
      </c>
    </row>
    <row r="6575" spans="1:16" x14ac:dyDescent="0.3">
      <c r="A6575" s="22" t="s">
        <v>68</v>
      </c>
      <c r="B6575">
        <v>9</v>
      </c>
      <c r="C6575" t="s">
        <v>64</v>
      </c>
      <c r="D6575">
        <v>195</v>
      </c>
      <c r="E6575" s="8">
        <v>0.22220000000000001</v>
      </c>
      <c r="G6575" s="8">
        <v>0.1111</v>
      </c>
      <c r="I6575" s="8">
        <v>0.22220000000000001</v>
      </c>
      <c r="K6575" s="8">
        <v>0.77780000000000005</v>
      </c>
    </row>
    <row r="6577" spans="1:16" x14ac:dyDescent="0.3">
      <c r="A6577"/>
    </row>
    <row r="6578" spans="1:16" x14ac:dyDescent="0.3">
      <c r="A6578"/>
    </row>
    <row r="6579" spans="1:16" x14ac:dyDescent="0.3">
      <c r="A6579"/>
    </row>
    <row r="6581" spans="1:16" ht="57.6" x14ac:dyDescent="0.3">
      <c r="A6581" s="22" t="s">
        <v>1464</v>
      </c>
    </row>
    <row r="6582" spans="1:16" x14ac:dyDescent="0.3">
      <c r="A6582" s="22" t="s">
        <v>66</v>
      </c>
      <c r="B6582" t="s">
        <v>62</v>
      </c>
      <c r="C6582" t="s">
        <v>57</v>
      </c>
      <c r="D6582" t="s">
        <v>63</v>
      </c>
      <c r="E6582" t="s">
        <v>1453</v>
      </c>
      <c r="F6582" t="s">
        <v>154</v>
      </c>
      <c r="G6582" t="s">
        <v>1454</v>
      </c>
      <c r="H6582" t="s">
        <v>1455</v>
      </c>
      <c r="I6582" t="s">
        <v>1456</v>
      </c>
      <c r="J6582" t="s">
        <v>1457</v>
      </c>
      <c r="K6582" t="s">
        <v>1458</v>
      </c>
      <c r="L6582" t="s">
        <v>1459</v>
      </c>
      <c r="M6582" t="s">
        <v>1460</v>
      </c>
      <c r="N6582" t="s">
        <v>239</v>
      </c>
      <c r="O6582" t="s">
        <v>1461</v>
      </c>
      <c r="P6582" t="s">
        <v>1462</v>
      </c>
    </row>
    <row r="6583" spans="1:16" x14ac:dyDescent="0.3">
      <c r="A6583" s="22" t="s">
        <v>67</v>
      </c>
      <c r="B6583">
        <v>186</v>
      </c>
      <c r="C6583" t="s">
        <v>64</v>
      </c>
      <c r="D6583">
        <v>195</v>
      </c>
      <c r="E6583" s="8">
        <v>0.31719999999999998</v>
      </c>
      <c r="F6583" s="8">
        <v>3.7600000000000001E-2</v>
      </c>
      <c r="G6583" s="8">
        <v>5.91E-2</v>
      </c>
      <c r="H6583" s="8">
        <v>1.0800000000000001E-2</v>
      </c>
      <c r="I6583" s="8">
        <v>4.8399999999999999E-2</v>
      </c>
      <c r="J6583" s="8">
        <v>1.0800000000000001E-2</v>
      </c>
      <c r="K6583" s="8">
        <v>0.70430000000000004</v>
      </c>
      <c r="L6583" s="8">
        <v>1.61E-2</v>
      </c>
      <c r="M6583" s="8">
        <v>1.0800000000000001E-2</v>
      </c>
      <c r="N6583" s="8">
        <v>5.4000000000000003E-3</v>
      </c>
      <c r="O6583" s="8">
        <v>5.4000000000000003E-3</v>
      </c>
      <c r="P6583" s="8">
        <v>5.4000000000000003E-3</v>
      </c>
    </row>
    <row r="6584" spans="1:16" x14ac:dyDescent="0.3">
      <c r="A6584" s="22" t="s">
        <v>68</v>
      </c>
      <c r="B6584">
        <v>9</v>
      </c>
      <c r="C6584" t="s">
        <v>64</v>
      </c>
      <c r="D6584">
        <v>195</v>
      </c>
      <c r="E6584" s="8">
        <v>0.55559999999999998</v>
      </c>
      <c r="K6584" s="8">
        <v>0.33329999999999999</v>
      </c>
      <c r="M6584" s="8">
        <v>0.1111</v>
      </c>
    </row>
    <row r="6586" spans="1:16" ht="57.6" x14ac:dyDescent="0.3">
      <c r="A6586" s="22" t="s">
        <v>1465</v>
      </c>
    </row>
    <row r="6587" spans="1:16" x14ac:dyDescent="0.3">
      <c r="A6587" s="22" t="s">
        <v>66</v>
      </c>
      <c r="B6587" t="s">
        <v>62</v>
      </c>
      <c r="C6587" t="s">
        <v>57</v>
      </c>
      <c r="D6587" t="s">
        <v>63</v>
      </c>
      <c r="E6587" t="s">
        <v>1453</v>
      </c>
      <c r="F6587" t="s">
        <v>154</v>
      </c>
      <c r="G6587" t="s">
        <v>1454</v>
      </c>
      <c r="H6587" t="s">
        <v>1455</v>
      </c>
      <c r="I6587" t="s">
        <v>1456</v>
      </c>
      <c r="J6587" t="s">
        <v>1457</v>
      </c>
      <c r="K6587" t="s">
        <v>1458</v>
      </c>
      <c r="L6587" t="s">
        <v>1459</v>
      </c>
      <c r="M6587" t="s">
        <v>1460</v>
      </c>
      <c r="N6587" t="s">
        <v>239</v>
      </c>
      <c r="O6587" t="s">
        <v>1461</v>
      </c>
      <c r="P6587" t="s">
        <v>1462</v>
      </c>
    </row>
    <row r="6588" spans="1:16" x14ac:dyDescent="0.3">
      <c r="A6588" s="22" t="s">
        <v>67</v>
      </c>
      <c r="B6588">
        <v>194</v>
      </c>
      <c r="C6588" t="s">
        <v>64</v>
      </c>
      <c r="D6588">
        <v>195</v>
      </c>
      <c r="E6588" s="8">
        <v>0.32990000000000003</v>
      </c>
      <c r="F6588" s="8">
        <v>3.61E-2</v>
      </c>
      <c r="G6588" s="8">
        <v>5.67E-2</v>
      </c>
      <c r="H6588" s="8">
        <v>1.03E-2</v>
      </c>
      <c r="I6588" s="8">
        <v>4.6399999999999997E-2</v>
      </c>
      <c r="J6588" s="8">
        <v>1.03E-2</v>
      </c>
      <c r="K6588" s="8">
        <v>0.68559999999999999</v>
      </c>
      <c r="L6588" s="8">
        <v>1.55E-2</v>
      </c>
      <c r="M6588" s="8">
        <v>1.55E-2</v>
      </c>
      <c r="N6588" s="8">
        <v>5.1999999999999998E-3</v>
      </c>
      <c r="O6588" s="8">
        <v>5.1999999999999998E-3</v>
      </c>
      <c r="P6588" s="8">
        <v>5.1999999999999998E-3</v>
      </c>
    </row>
    <row r="6589" spans="1:16" x14ac:dyDescent="0.3">
      <c r="A6589" s="22" t="s">
        <v>68</v>
      </c>
      <c r="B6589">
        <v>1</v>
      </c>
      <c r="C6589" t="s">
        <v>64</v>
      </c>
      <c r="D6589">
        <v>195</v>
      </c>
      <c r="K6589" s="8">
        <v>1</v>
      </c>
    </row>
    <row r="6591" spans="1:16" ht="57.6" x14ac:dyDescent="0.3">
      <c r="A6591" s="22" t="s">
        <v>1466</v>
      </c>
    </row>
    <row r="6592" spans="1:16" x14ac:dyDescent="0.3">
      <c r="A6592" s="22" t="s">
        <v>66</v>
      </c>
      <c r="B6592" t="s">
        <v>62</v>
      </c>
      <c r="C6592" t="s">
        <v>57</v>
      </c>
      <c r="D6592" t="s">
        <v>63</v>
      </c>
      <c r="E6592" t="s">
        <v>1453</v>
      </c>
      <c r="F6592" t="s">
        <v>154</v>
      </c>
      <c r="G6592" t="s">
        <v>1454</v>
      </c>
      <c r="H6592" t="s">
        <v>1455</v>
      </c>
      <c r="I6592" t="s">
        <v>1456</v>
      </c>
      <c r="J6592" t="s">
        <v>1457</v>
      </c>
      <c r="K6592" t="s">
        <v>1458</v>
      </c>
      <c r="L6592" t="s">
        <v>1459</v>
      </c>
      <c r="M6592" t="s">
        <v>1460</v>
      </c>
      <c r="N6592" t="s">
        <v>239</v>
      </c>
      <c r="O6592" t="s">
        <v>1461</v>
      </c>
      <c r="P6592" t="s">
        <v>1462</v>
      </c>
    </row>
    <row r="6593" spans="1:16" x14ac:dyDescent="0.3">
      <c r="A6593" s="22" t="s">
        <v>67</v>
      </c>
      <c r="B6593">
        <v>182</v>
      </c>
      <c r="C6593" t="s">
        <v>64</v>
      </c>
      <c r="D6593">
        <v>195</v>
      </c>
      <c r="E6593" s="8">
        <v>0.34620000000000001</v>
      </c>
      <c r="F6593" s="8">
        <v>3.85E-2</v>
      </c>
      <c r="G6593" s="8">
        <v>5.4899999999999997E-2</v>
      </c>
      <c r="H6593" s="8">
        <v>1.0999999999999999E-2</v>
      </c>
      <c r="I6593" s="8">
        <v>3.85E-2</v>
      </c>
      <c r="J6593" s="8">
        <v>1.0999999999999999E-2</v>
      </c>
      <c r="K6593" s="8">
        <v>0.67030000000000001</v>
      </c>
      <c r="L6593" s="8">
        <v>1.6500000000000001E-2</v>
      </c>
      <c r="M6593" s="8">
        <v>1.6500000000000001E-2</v>
      </c>
      <c r="N6593" s="8">
        <v>5.4999999999999997E-3</v>
      </c>
      <c r="O6593" s="8">
        <v>5.4999999999999997E-3</v>
      </c>
      <c r="P6593" s="8">
        <v>5.4999999999999997E-3</v>
      </c>
    </row>
    <row r="6594" spans="1:16" x14ac:dyDescent="0.3">
      <c r="A6594" s="22" t="s">
        <v>68</v>
      </c>
      <c r="B6594">
        <v>13</v>
      </c>
      <c r="C6594" t="s">
        <v>64</v>
      </c>
      <c r="D6594">
        <v>195</v>
      </c>
      <c r="E6594" s="8">
        <v>7.6899999999999996E-2</v>
      </c>
      <c r="G6594" s="8">
        <v>7.6899999999999996E-2</v>
      </c>
      <c r="I6594" s="8">
        <v>0.15379999999999999</v>
      </c>
      <c r="K6594" s="8">
        <v>0.92310000000000003</v>
      </c>
    </row>
    <row r="6596" spans="1:16" ht="57.6" x14ac:dyDescent="0.3">
      <c r="A6596" s="22" t="s">
        <v>1467</v>
      </c>
    </row>
    <row r="6597" spans="1:16" x14ac:dyDescent="0.3">
      <c r="A6597" s="22" t="s">
        <v>66</v>
      </c>
      <c r="B6597" t="s">
        <v>62</v>
      </c>
      <c r="C6597" t="s">
        <v>57</v>
      </c>
      <c r="D6597" t="s">
        <v>63</v>
      </c>
      <c r="E6597" t="s">
        <v>1453</v>
      </c>
      <c r="F6597" t="s">
        <v>154</v>
      </c>
      <c r="G6597" t="s">
        <v>1454</v>
      </c>
      <c r="H6597" t="s">
        <v>1455</v>
      </c>
      <c r="I6597" t="s">
        <v>1456</v>
      </c>
      <c r="J6597" t="s">
        <v>1457</v>
      </c>
      <c r="K6597" t="s">
        <v>1458</v>
      </c>
      <c r="L6597" t="s">
        <v>1459</v>
      </c>
      <c r="M6597" t="s">
        <v>1460</v>
      </c>
      <c r="N6597" t="s">
        <v>239</v>
      </c>
      <c r="O6597" t="s">
        <v>1461</v>
      </c>
      <c r="P6597" t="s">
        <v>1462</v>
      </c>
    </row>
    <row r="6598" spans="1:16" x14ac:dyDescent="0.3">
      <c r="A6598" s="22" t="s">
        <v>67</v>
      </c>
      <c r="B6598">
        <v>5</v>
      </c>
      <c r="C6598" t="s">
        <v>64</v>
      </c>
      <c r="D6598">
        <v>195</v>
      </c>
      <c r="E6598" s="8">
        <v>0.6</v>
      </c>
      <c r="K6598" s="8">
        <v>0.4</v>
      </c>
    </row>
    <row r="6599" spans="1:16" x14ac:dyDescent="0.3">
      <c r="A6599" s="22" t="s">
        <v>68</v>
      </c>
      <c r="B6599">
        <v>190</v>
      </c>
      <c r="C6599" t="s">
        <v>64</v>
      </c>
      <c r="D6599">
        <v>195</v>
      </c>
      <c r="E6599" s="8">
        <v>0.3211</v>
      </c>
      <c r="F6599" s="8">
        <v>3.6799999999999999E-2</v>
      </c>
      <c r="G6599" s="8">
        <v>5.79E-2</v>
      </c>
      <c r="H6599" s="8">
        <v>1.0500000000000001E-2</v>
      </c>
      <c r="I6599" s="8">
        <v>4.7399999999999998E-2</v>
      </c>
      <c r="J6599" s="8">
        <v>1.0500000000000001E-2</v>
      </c>
      <c r="K6599" s="8">
        <v>0.69469999999999998</v>
      </c>
      <c r="L6599" s="8">
        <v>1.5800000000000002E-2</v>
      </c>
      <c r="M6599" s="8">
        <v>1.5800000000000002E-2</v>
      </c>
      <c r="N6599" s="8">
        <v>5.3E-3</v>
      </c>
      <c r="O6599" s="8">
        <v>5.3E-3</v>
      </c>
      <c r="P6599" s="8">
        <v>5.3E-3</v>
      </c>
    </row>
    <row r="6601" spans="1:16" ht="57.6" x14ac:dyDescent="0.3">
      <c r="A6601" s="22" t="s">
        <v>1468</v>
      </c>
    </row>
    <row r="6602" spans="1:16" x14ac:dyDescent="0.3">
      <c r="A6602" s="22" t="s">
        <v>66</v>
      </c>
      <c r="B6602" t="s">
        <v>62</v>
      </c>
      <c r="C6602" t="s">
        <v>57</v>
      </c>
      <c r="D6602" t="s">
        <v>63</v>
      </c>
      <c r="E6602" t="s">
        <v>1453</v>
      </c>
      <c r="F6602" t="s">
        <v>154</v>
      </c>
      <c r="G6602" t="s">
        <v>1454</v>
      </c>
      <c r="H6602" t="s">
        <v>1455</v>
      </c>
      <c r="I6602" t="s">
        <v>1456</v>
      </c>
      <c r="J6602" t="s">
        <v>1457</v>
      </c>
      <c r="K6602" t="s">
        <v>1458</v>
      </c>
      <c r="L6602" t="s">
        <v>1459</v>
      </c>
      <c r="M6602" t="s">
        <v>1460</v>
      </c>
      <c r="N6602" t="s">
        <v>239</v>
      </c>
      <c r="O6602" t="s">
        <v>1461</v>
      </c>
      <c r="P6602" t="s">
        <v>1462</v>
      </c>
    </row>
    <row r="6603" spans="1:16" x14ac:dyDescent="0.3">
      <c r="A6603" s="22" t="s">
        <v>67</v>
      </c>
      <c r="B6603">
        <v>155</v>
      </c>
      <c r="C6603" t="s">
        <v>64</v>
      </c>
      <c r="D6603">
        <v>195</v>
      </c>
      <c r="E6603" s="8">
        <v>0.32900000000000001</v>
      </c>
      <c r="F6603" s="8">
        <v>3.2300000000000002E-2</v>
      </c>
      <c r="G6603" s="8">
        <v>5.8099999999999999E-2</v>
      </c>
      <c r="H6603" s="8">
        <v>6.4999999999999997E-3</v>
      </c>
      <c r="I6603" s="8">
        <v>5.8099999999999999E-2</v>
      </c>
      <c r="J6603" s="8">
        <v>1.29E-2</v>
      </c>
      <c r="K6603" s="8">
        <v>0.70320000000000005</v>
      </c>
      <c r="L6603" s="8">
        <v>1.29E-2</v>
      </c>
      <c r="M6603" s="8">
        <v>1.9400000000000001E-2</v>
      </c>
      <c r="N6603" s="8">
        <v>6.4999999999999997E-3</v>
      </c>
      <c r="O6603" s="8">
        <v>6.4999999999999997E-3</v>
      </c>
      <c r="P6603" s="8">
        <v>6.4999999999999997E-3</v>
      </c>
    </row>
    <row r="6604" spans="1:16" x14ac:dyDescent="0.3">
      <c r="A6604" s="22" t="s">
        <v>68</v>
      </c>
      <c r="B6604">
        <v>40</v>
      </c>
      <c r="C6604" t="s">
        <v>64</v>
      </c>
      <c r="D6604">
        <v>195</v>
      </c>
      <c r="E6604" s="8">
        <v>0.32500000000000001</v>
      </c>
      <c r="F6604" s="8">
        <v>0.05</v>
      </c>
      <c r="G6604" s="8">
        <v>0.05</v>
      </c>
      <c r="H6604" s="8">
        <v>2.5000000000000001E-2</v>
      </c>
      <c r="K6604" s="8">
        <v>0.625</v>
      </c>
      <c r="L6604" s="8">
        <v>2.5000000000000001E-2</v>
      </c>
    </row>
    <row r="6606" spans="1:16" ht="57.6" x14ac:dyDescent="0.3">
      <c r="A6606" s="22" t="s">
        <v>1469</v>
      </c>
    </row>
    <row r="6607" spans="1:16" x14ac:dyDescent="0.3">
      <c r="A6607" s="22" t="s">
        <v>66</v>
      </c>
      <c r="B6607" t="s">
        <v>62</v>
      </c>
      <c r="C6607" t="s">
        <v>57</v>
      </c>
      <c r="D6607" t="s">
        <v>63</v>
      </c>
      <c r="E6607" t="s">
        <v>1453</v>
      </c>
      <c r="F6607" t="s">
        <v>154</v>
      </c>
      <c r="G6607" t="s">
        <v>1454</v>
      </c>
      <c r="H6607" t="s">
        <v>1455</v>
      </c>
      <c r="I6607" t="s">
        <v>1456</v>
      </c>
      <c r="J6607" t="s">
        <v>1457</v>
      </c>
      <c r="K6607" t="s">
        <v>1458</v>
      </c>
      <c r="L6607" t="s">
        <v>1459</v>
      </c>
      <c r="M6607" t="s">
        <v>1460</v>
      </c>
      <c r="N6607" t="s">
        <v>239</v>
      </c>
      <c r="O6607" t="s">
        <v>1461</v>
      </c>
      <c r="P6607" t="s">
        <v>1462</v>
      </c>
    </row>
    <row r="6608" spans="1:16" x14ac:dyDescent="0.3">
      <c r="A6608" s="22" t="s">
        <v>67</v>
      </c>
      <c r="B6608">
        <v>152</v>
      </c>
      <c r="C6608" t="s">
        <v>64</v>
      </c>
      <c r="D6608">
        <v>195</v>
      </c>
      <c r="E6608" s="8">
        <v>0.3553</v>
      </c>
      <c r="F6608" s="8">
        <v>2.63E-2</v>
      </c>
      <c r="G6608" s="8">
        <v>5.2600000000000001E-2</v>
      </c>
      <c r="H6608" s="8">
        <v>1.32E-2</v>
      </c>
      <c r="I6608" s="8">
        <v>5.2600000000000001E-2</v>
      </c>
      <c r="J6608" s="8">
        <v>1.32E-2</v>
      </c>
      <c r="K6608" s="8">
        <v>0.67110000000000003</v>
      </c>
      <c r="L6608" s="8">
        <v>1.9699999999999999E-2</v>
      </c>
      <c r="M6608" s="8">
        <v>1.9699999999999999E-2</v>
      </c>
      <c r="N6608" s="8">
        <v>6.6E-3</v>
      </c>
      <c r="O6608" s="8">
        <v>6.6E-3</v>
      </c>
      <c r="P6608" s="8">
        <v>6.6E-3</v>
      </c>
    </row>
    <row r="6609" spans="1:16" x14ac:dyDescent="0.3">
      <c r="A6609" s="22" t="s">
        <v>68</v>
      </c>
      <c r="B6609">
        <v>43</v>
      </c>
      <c r="C6609" t="s">
        <v>64</v>
      </c>
      <c r="D6609">
        <v>195</v>
      </c>
      <c r="E6609" s="8">
        <v>0.2326</v>
      </c>
      <c r="F6609" s="8">
        <v>6.9800000000000001E-2</v>
      </c>
      <c r="G6609" s="8">
        <v>6.9800000000000001E-2</v>
      </c>
      <c r="I6609" s="8">
        <v>2.3300000000000001E-2</v>
      </c>
      <c r="K6609" s="8">
        <v>0.74419999999999997</v>
      </c>
    </row>
    <row r="6611" spans="1:16" ht="57.6" x14ac:dyDescent="0.3">
      <c r="A6611" s="22" t="s">
        <v>1470</v>
      </c>
    </row>
    <row r="6612" spans="1:16" x14ac:dyDescent="0.3">
      <c r="A6612" s="22" t="s">
        <v>66</v>
      </c>
      <c r="B6612" t="s">
        <v>62</v>
      </c>
      <c r="C6612" t="s">
        <v>57</v>
      </c>
      <c r="D6612" t="s">
        <v>63</v>
      </c>
      <c r="E6612" t="s">
        <v>1453</v>
      </c>
      <c r="F6612" t="s">
        <v>154</v>
      </c>
      <c r="G6612" t="s">
        <v>1454</v>
      </c>
      <c r="H6612" t="s">
        <v>1455</v>
      </c>
      <c r="I6612" t="s">
        <v>1456</v>
      </c>
      <c r="J6612" t="s">
        <v>1457</v>
      </c>
      <c r="K6612" t="s">
        <v>1458</v>
      </c>
      <c r="L6612" t="s">
        <v>1459</v>
      </c>
      <c r="M6612" t="s">
        <v>1460</v>
      </c>
      <c r="N6612" t="s">
        <v>239</v>
      </c>
      <c r="O6612" t="s">
        <v>1461</v>
      </c>
      <c r="P6612" t="s">
        <v>1462</v>
      </c>
    </row>
    <row r="6613" spans="1:16" x14ac:dyDescent="0.3">
      <c r="A6613" s="22" t="s">
        <v>67</v>
      </c>
      <c r="B6613">
        <v>147</v>
      </c>
      <c r="C6613" t="s">
        <v>64</v>
      </c>
      <c r="D6613">
        <v>195</v>
      </c>
      <c r="E6613" s="8">
        <v>0.34010000000000001</v>
      </c>
      <c r="F6613" s="8">
        <v>2.7199999999999998E-2</v>
      </c>
      <c r="G6613" s="8">
        <v>4.7600000000000003E-2</v>
      </c>
      <c r="H6613" s="8">
        <v>6.7999999999999996E-3</v>
      </c>
      <c r="I6613" s="8">
        <v>3.4000000000000002E-2</v>
      </c>
      <c r="K6613" s="8">
        <v>0.67349999999999999</v>
      </c>
      <c r="L6613" s="8">
        <v>6.7999999999999996E-3</v>
      </c>
      <c r="M6613" s="8">
        <v>1.3599999999999999E-2</v>
      </c>
      <c r="N6613" s="8">
        <v>6.7999999999999996E-3</v>
      </c>
    </row>
    <row r="6614" spans="1:16" x14ac:dyDescent="0.3">
      <c r="A6614" s="22" t="s">
        <v>68</v>
      </c>
      <c r="B6614">
        <v>48</v>
      </c>
      <c r="C6614" t="s">
        <v>64</v>
      </c>
      <c r="D6614">
        <v>195</v>
      </c>
      <c r="E6614" s="8">
        <v>0.29170000000000001</v>
      </c>
      <c r="F6614" s="8">
        <v>6.25E-2</v>
      </c>
      <c r="G6614" s="8">
        <v>8.3299999999999999E-2</v>
      </c>
      <c r="H6614" s="8">
        <v>2.0799999999999999E-2</v>
      </c>
      <c r="I6614" s="8">
        <v>8.3299999999999999E-2</v>
      </c>
      <c r="J6614" s="8">
        <v>4.1700000000000001E-2</v>
      </c>
      <c r="K6614" s="8">
        <v>0.72919999999999996</v>
      </c>
      <c r="L6614" s="8">
        <v>4.1700000000000001E-2</v>
      </c>
      <c r="M6614" s="8">
        <v>2.0799999999999999E-2</v>
      </c>
      <c r="O6614" s="8">
        <v>2.0799999999999999E-2</v>
      </c>
      <c r="P6614" s="8">
        <v>2.0799999999999999E-2</v>
      </c>
    </row>
    <row r="6616" spans="1:16" ht="72" x14ac:dyDescent="0.3">
      <c r="A6616" s="22" t="s">
        <v>1471</v>
      </c>
    </row>
    <row r="6617" spans="1:16" x14ac:dyDescent="0.3">
      <c r="A6617" s="22" t="s">
        <v>66</v>
      </c>
      <c r="B6617" t="s">
        <v>62</v>
      </c>
      <c r="C6617" t="s">
        <v>57</v>
      </c>
      <c r="D6617" t="s">
        <v>63</v>
      </c>
      <c r="E6617" t="s">
        <v>1453</v>
      </c>
      <c r="F6617" t="s">
        <v>154</v>
      </c>
      <c r="G6617" t="s">
        <v>1454</v>
      </c>
      <c r="H6617" t="s">
        <v>1455</v>
      </c>
      <c r="I6617" t="s">
        <v>1456</v>
      </c>
      <c r="J6617" t="s">
        <v>1457</v>
      </c>
      <c r="K6617" t="s">
        <v>1458</v>
      </c>
      <c r="L6617" t="s">
        <v>1459</v>
      </c>
      <c r="M6617" t="s">
        <v>1460</v>
      </c>
      <c r="N6617" t="s">
        <v>239</v>
      </c>
      <c r="O6617" t="s">
        <v>1461</v>
      </c>
      <c r="P6617" t="s">
        <v>1462</v>
      </c>
    </row>
    <row r="6618" spans="1:16" x14ac:dyDescent="0.3">
      <c r="A6618" s="22" t="s">
        <v>67</v>
      </c>
      <c r="B6618">
        <v>182</v>
      </c>
      <c r="C6618" t="s">
        <v>64</v>
      </c>
      <c r="D6618">
        <v>195</v>
      </c>
      <c r="E6618" s="8">
        <v>0.3407</v>
      </c>
      <c r="F6618" s="8">
        <v>3.85E-2</v>
      </c>
      <c r="G6618" s="8">
        <v>6.0400000000000002E-2</v>
      </c>
      <c r="H6618" s="8">
        <v>1.0999999999999999E-2</v>
      </c>
      <c r="I6618" s="8">
        <v>4.3999999999999997E-2</v>
      </c>
      <c r="J6618" s="8">
        <v>1.0999999999999999E-2</v>
      </c>
      <c r="K6618" s="8">
        <v>0.67579999999999996</v>
      </c>
      <c r="L6618" s="8">
        <v>1.6500000000000001E-2</v>
      </c>
      <c r="M6618" s="8">
        <v>1.6500000000000001E-2</v>
      </c>
      <c r="N6618" s="8">
        <v>5.4999999999999997E-3</v>
      </c>
      <c r="O6618" s="8">
        <v>5.4999999999999997E-3</v>
      </c>
      <c r="P6618" s="8">
        <v>5.4999999999999997E-3</v>
      </c>
    </row>
    <row r="6619" spans="1:16" x14ac:dyDescent="0.3">
      <c r="A6619" s="22" t="s">
        <v>68</v>
      </c>
      <c r="B6619">
        <v>13</v>
      </c>
      <c r="C6619" t="s">
        <v>64</v>
      </c>
      <c r="D6619">
        <v>195</v>
      </c>
      <c r="E6619" s="8">
        <v>0.15379999999999999</v>
      </c>
      <c r="I6619" s="8">
        <v>7.6899999999999996E-2</v>
      </c>
      <c r="K6619" s="8">
        <v>0.84619999999999995</v>
      </c>
    </row>
    <row r="6621" spans="1:16" ht="72" x14ac:dyDescent="0.3">
      <c r="A6621" s="22" t="s">
        <v>1472</v>
      </c>
    </row>
    <row r="6622" spans="1:16" x14ac:dyDescent="0.3">
      <c r="A6622" s="22" t="s">
        <v>66</v>
      </c>
      <c r="B6622" t="s">
        <v>62</v>
      </c>
      <c r="C6622" t="s">
        <v>57</v>
      </c>
      <c r="D6622" t="s">
        <v>63</v>
      </c>
      <c r="E6622" t="s">
        <v>1453</v>
      </c>
      <c r="F6622" t="s">
        <v>154</v>
      </c>
      <c r="G6622" t="s">
        <v>1454</v>
      </c>
      <c r="H6622" t="s">
        <v>1455</v>
      </c>
      <c r="I6622" t="s">
        <v>1456</v>
      </c>
      <c r="J6622" t="s">
        <v>1457</v>
      </c>
      <c r="K6622" t="s">
        <v>1458</v>
      </c>
      <c r="L6622" t="s">
        <v>1459</v>
      </c>
      <c r="M6622" t="s">
        <v>1460</v>
      </c>
      <c r="N6622" t="s">
        <v>239</v>
      </c>
      <c r="O6622" t="s">
        <v>1461</v>
      </c>
      <c r="P6622" t="s">
        <v>1462</v>
      </c>
    </row>
    <row r="6623" spans="1:16" x14ac:dyDescent="0.3">
      <c r="A6623" s="22" t="s">
        <v>67</v>
      </c>
      <c r="B6623">
        <v>195</v>
      </c>
      <c r="C6623" t="s">
        <v>64</v>
      </c>
      <c r="D6623">
        <v>195</v>
      </c>
      <c r="E6623" s="8">
        <v>0.32819999999999999</v>
      </c>
      <c r="F6623" s="8">
        <v>3.5900000000000001E-2</v>
      </c>
      <c r="G6623" s="8">
        <v>5.6399999999999999E-2</v>
      </c>
      <c r="H6623" s="8">
        <v>1.03E-2</v>
      </c>
      <c r="I6623" s="8">
        <v>4.6199999999999998E-2</v>
      </c>
      <c r="J6623" s="8">
        <v>1.03E-2</v>
      </c>
      <c r="K6623" s="8">
        <v>0.68720000000000003</v>
      </c>
      <c r="L6623" s="8">
        <v>1.54E-2</v>
      </c>
      <c r="M6623" s="8">
        <v>1.54E-2</v>
      </c>
      <c r="N6623" s="8">
        <v>5.1000000000000004E-3</v>
      </c>
      <c r="O6623" s="8">
        <v>5.1000000000000004E-3</v>
      </c>
      <c r="P6623" s="8">
        <v>5.1000000000000004E-3</v>
      </c>
    </row>
    <row r="6625" spans="1:16" ht="57.6" x14ac:dyDescent="0.3">
      <c r="A6625" s="22" t="s">
        <v>1473</v>
      </c>
    </row>
    <row r="6626" spans="1:16" x14ac:dyDescent="0.3">
      <c r="A6626" s="22" t="s">
        <v>66</v>
      </c>
      <c r="B6626" t="s">
        <v>62</v>
      </c>
      <c r="C6626" t="s">
        <v>57</v>
      </c>
      <c r="D6626" t="s">
        <v>63</v>
      </c>
      <c r="E6626" t="s">
        <v>1453</v>
      </c>
      <c r="F6626" t="s">
        <v>154</v>
      </c>
      <c r="G6626" t="s">
        <v>1454</v>
      </c>
      <c r="H6626" t="s">
        <v>1455</v>
      </c>
      <c r="I6626" t="s">
        <v>1456</v>
      </c>
      <c r="J6626" t="s">
        <v>1457</v>
      </c>
      <c r="K6626" t="s">
        <v>1458</v>
      </c>
      <c r="L6626" t="s">
        <v>1459</v>
      </c>
      <c r="M6626" t="s">
        <v>1460</v>
      </c>
      <c r="N6626" t="s">
        <v>239</v>
      </c>
      <c r="O6626" t="s">
        <v>1461</v>
      </c>
      <c r="P6626" t="s">
        <v>1462</v>
      </c>
    </row>
    <row r="6627" spans="1:16" x14ac:dyDescent="0.3">
      <c r="A6627" s="22" t="s">
        <v>67</v>
      </c>
      <c r="B6627">
        <v>123</v>
      </c>
      <c r="C6627" t="s">
        <v>64</v>
      </c>
      <c r="D6627">
        <v>195</v>
      </c>
      <c r="E6627" s="8">
        <v>0.30080000000000001</v>
      </c>
      <c r="F6627" s="8">
        <v>4.8800000000000003E-2</v>
      </c>
      <c r="G6627" s="8">
        <v>5.6899999999999999E-2</v>
      </c>
      <c r="H6627" s="8">
        <v>8.0999999999999996E-3</v>
      </c>
      <c r="I6627" s="8">
        <v>4.07E-2</v>
      </c>
      <c r="J6627" s="8">
        <v>1.6299999999999999E-2</v>
      </c>
      <c r="K6627" s="8">
        <v>0.69110000000000005</v>
      </c>
      <c r="L6627" s="8">
        <v>1.6299999999999999E-2</v>
      </c>
      <c r="M6627" s="8">
        <v>2.4400000000000002E-2</v>
      </c>
    </row>
    <row r="6628" spans="1:16" x14ac:dyDescent="0.3">
      <c r="A6628" s="22" t="s">
        <v>68</v>
      </c>
      <c r="B6628">
        <v>72</v>
      </c>
      <c r="C6628" t="s">
        <v>64</v>
      </c>
      <c r="D6628">
        <v>195</v>
      </c>
      <c r="E6628" s="8">
        <v>0.375</v>
      </c>
      <c r="F6628" s="8">
        <v>1.3899999999999999E-2</v>
      </c>
      <c r="G6628" s="8">
        <v>5.5599999999999997E-2</v>
      </c>
      <c r="H6628" s="8">
        <v>1.3899999999999999E-2</v>
      </c>
      <c r="I6628" s="8">
        <v>5.5599999999999997E-2</v>
      </c>
      <c r="K6628" s="8">
        <v>0.68059999999999998</v>
      </c>
      <c r="L6628" s="8">
        <v>1.3899999999999999E-2</v>
      </c>
      <c r="N6628" s="8">
        <v>1.3899999999999999E-2</v>
      </c>
      <c r="O6628" s="8">
        <v>1.3899999999999999E-2</v>
      </c>
      <c r="P6628" s="8">
        <v>1.3899999999999999E-2</v>
      </c>
    </row>
    <row r="6630" spans="1:16" ht="57.6" x14ac:dyDescent="0.3">
      <c r="A6630" s="22" t="s">
        <v>1474</v>
      </c>
    </row>
    <row r="6631" spans="1:16" x14ac:dyDescent="0.3">
      <c r="A6631" s="22" t="s">
        <v>66</v>
      </c>
      <c r="B6631" t="s">
        <v>62</v>
      </c>
      <c r="C6631" t="s">
        <v>57</v>
      </c>
      <c r="D6631" t="s">
        <v>63</v>
      </c>
      <c r="E6631" t="s">
        <v>1453</v>
      </c>
      <c r="F6631" t="s">
        <v>154</v>
      </c>
      <c r="G6631" t="s">
        <v>1454</v>
      </c>
      <c r="H6631" t="s">
        <v>1455</v>
      </c>
      <c r="I6631" t="s">
        <v>1456</v>
      </c>
      <c r="J6631" t="s">
        <v>1457</v>
      </c>
      <c r="K6631" t="s">
        <v>1458</v>
      </c>
      <c r="L6631" t="s">
        <v>1459</v>
      </c>
      <c r="M6631" t="s">
        <v>1460</v>
      </c>
      <c r="N6631" t="s">
        <v>239</v>
      </c>
      <c r="O6631" t="s">
        <v>1461</v>
      </c>
      <c r="P6631" t="s">
        <v>1462</v>
      </c>
    </row>
    <row r="6632" spans="1:16" x14ac:dyDescent="0.3">
      <c r="A6632" s="22" t="s">
        <v>67</v>
      </c>
      <c r="B6632">
        <v>176</v>
      </c>
      <c r="C6632" t="s">
        <v>64</v>
      </c>
      <c r="D6632">
        <v>195</v>
      </c>
      <c r="E6632" s="8">
        <v>0.34089999999999998</v>
      </c>
      <c r="F6632" s="8">
        <v>2.8400000000000002E-2</v>
      </c>
      <c r="G6632" s="8">
        <v>6.25E-2</v>
      </c>
      <c r="H6632" s="8">
        <v>5.7000000000000002E-3</v>
      </c>
      <c r="I6632" s="8">
        <v>4.5499999999999999E-2</v>
      </c>
      <c r="J6632" s="8">
        <v>5.7000000000000002E-3</v>
      </c>
      <c r="K6632" s="8">
        <v>0.6875</v>
      </c>
      <c r="L6632" s="8">
        <v>1.7000000000000001E-2</v>
      </c>
      <c r="M6632" s="8">
        <v>1.7000000000000001E-2</v>
      </c>
      <c r="N6632" s="8">
        <v>5.7000000000000002E-3</v>
      </c>
      <c r="O6632" s="8">
        <v>5.7000000000000002E-3</v>
      </c>
      <c r="P6632" s="8">
        <v>5.7000000000000002E-3</v>
      </c>
    </row>
    <row r="6633" spans="1:16" x14ac:dyDescent="0.3">
      <c r="A6633" s="22" t="s">
        <v>68</v>
      </c>
      <c r="B6633">
        <v>19</v>
      </c>
      <c r="C6633" t="s">
        <v>64</v>
      </c>
      <c r="D6633">
        <v>195</v>
      </c>
      <c r="E6633" s="8">
        <v>0.21049999999999999</v>
      </c>
      <c r="F6633" s="8">
        <v>0.1053</v>
      </c>
      <c r="H6633" s="8">
        <v>5.2600000000000001E-2</v>
      </c>
      <c r="I6633" s="8">
        <v>5.2600000000000001E-2</v>
      </c>
      <c r="J6633" s="8">
        <v>5.2600000000000001E-2</v>
      </c>
      <c r="K6633" s="8">
        <v>0.68420000000000003</v>
      </c>
    </row>
    <row r="6635" spans="1:16" ht="43.2" x14ac:dyDescent="0.3">
      <c r="A6635" s="22" t="s">
        <v>1475</v>
      </c>
    </row>
    <row r="6636" spans="1:16" x14ac:dyDescent="0.3">
      <c r="A6636" s="22" t="s">
        <v>66</v>
      </c>
      <c r="B6636" t="s">
        <v>62</v>
      </c>
      <c r="C6636" t="s">
        <v>57</v>
      </c>
      <c r="D6636" t="s">
        <v>63</v>
      </c>
      <c r="E6636" t="s">
        <v>1453</v>
      </c>
      <c r="F6636" t="s">
        <v>154</v>
      </c>
      <c r="G6636" t="s">
        <v>1454</v>
      </c>
      <c r="H6636" t="s">
        <v>1455</v>
      </c>
      <c r="I6636" t="s">
        <v>1456</v>
      </c>
      <c r="J6636" t="s">
        <v>1457</v>
      </c>
      <c r="K6636" t="s">
        <v>1458</v>
      </c>
      <c r="L6636" t="s">
        <v>1459</v>
      </c>
      <c r="M6636" t="s">
        <v>1460</v>
      </c>
      <c r="N6636" t="s">
        <v>239</v>
      </c>
      <c r="O6636" t="s">
        <v>1461</v>
      </c>
      <c r="P6636" t="s">
        <v>1462</v>
      </c>
    </row>
    <row r="6637" spans="1:16" x14ac:dyDescent="0.3">
      <c r="A6637" s="22" t="s">
        <v>81</v>
      </c>
      <c r="B6637">
        <v>55</v>
      </c>
      <c r="C6637" t="s">
        <v>64</v>
      </c>
      <c r="D6637">
        <v>195</v>
      </c>
      <c r="E6637" s="8">
        <v>0.34549999999999997</v>
      </c>
      <c r="F6637" s="8">
        <v>5.45E-2</v>
      </c>
      <c r="G6637" s="8">
        <v>5.45E-2</v>
      </c>
      <c r="H6637" s="8">
        <v>1.8200000000000001E-2</v>
      </c>
      <c r="I6637" s="8">
        <v>3.6400000000000002E-2</v>
      </c>
      <c r="K6637" s="8">
        <v>0.67269999999999996</v>
      </c>
      <c r="L6637" s="8">
        <v>1.8200000000000001E-2</v>
      </c>
      <c r="O6637" s="8">
        <v>1.8200000000000001E-2</v>
      </c>
      <c r="P6637" s="8">
        <v>1.8200000000000001E-2</v>
      </c>
    </row>
    <row r="6638" spans="1:16" x14ac:dyDescent="0.3">
      <c r="A6638" s="22" t="s">
        <v>82</v>
      </c>
      <c r="B6638">
        <v>47</v>
      </c>
      <c r="C6638" t="s">
        <v>64</v>
      </c>
      <c r="D6638">
        <v>195</v>
      </c>
      <c r="E6638" s="8">
        <v>0.36170000000000002</v>
      </c>
      <c r="F6638" s="8">
        <v>2.1299999999999999E-2</v>
      </c>
      <c r="G6638" s="8">
        <v>2.1299999999999999E-2</v>
      </c>
      <c r="H6638" s="8">
        <v>2.1299999999999999E-2</v>
      </c>
      <c r="K6638" s="8">
        <v>0.59570000000000001</v>
      </c>
      <c r="L6638" s="8">
        <v>2.1299999999999999E-2</v>
      </c>
      <c r="M6638" s="8">
        <v>2.1299999999999999E-2</v>
      </c>
      <c r="N6638" s="8">
        <v>2.1299999999999999E-2</v>
      </c>
    </row>
    <row r="6639" spans="1:16" x14ac:dyDescent="0.3">
      <c r="A6639" s="22" t="s">
        <v>83</v>
      </c>
      <c r="B6639">
        <v>48</v>
      </c>
      <c r="C6639" t="s">
        <v>64</v>
      </c>
      <c r="D6639">
        <v>195</v>
      </c>
      <c r="E6639" s="8">
        <v>0.29170000000000001</v>
      </c>
      <c r="F6639" s="8">
        <v>4.1700000000000001E-2</v>
      </c>
      <c r="G6639" s="8">
        <v>4.1700000000000001E-2</v>
      </c>
      <c r="I6639" s="8">
        <v>4.1700000000000001E-2</v>
      </c>
      <c r="K6639" s="8">
        <v>0.72919999999999996</v>
      </c>
      <c r="M6639" s="8">
        <v>2.0799999999999999E-2</v>
      </c>
    </row>
    <row r="6640" spans="1:16" x14ac:dyDescent="0.3">
      <c r="A6640" s="22" t="s">
        <v>84</v>
      </c>
      <c r="B6640">
        <v>45</v>
      </c>
      <c r="C6640" t="s">
        <v>64</v>
      </c>
      <c r="D6640">
        <v>195</v>
      </c>
      <c r="E6640" s="8">
        <v>0.31109999999999999</v>
      </c>
      <c r="F6640" s="8">
        <v>2.2200000000000001E-2</v>
      </c>
      <c r="G6640" s="8">
        <v>0.1111</v>
      </c>
      <c r="I6640" s="8">
        <v>0.1111</v>
      </c>
      <c r="J6640" s="8">
        <v>4.4400000000000002E-2</v>
      </c>
      <c r="K6640" s="8">
        <v>0.75560000000000005</v>
      </c>
      <c r="L6640" s="8">
        <v>2.2200000000000001E-2</v>
      </c>
      <c r="M6640" s="8">
        <v>2.2200000000000001E-2</v>
      </c>
    </row>
    <row r="6642" spans="1:16" ht="28.8" x14ac:dyDescent="0.3">
      <c r="A6642" s="22" t="s">
        <v>1476</v>
      </c>
    </row>
    <row r="6643" spans="1:16" x14ac:dyDescent="0.3">
      <c r="A6643" s="22" t="s">
        <v>62</v>
      </c>
      <c r="B6643" t="s">
        <v>57</v>
      </c>
      <c r="C6643" t="s">
        <v>63</v>
      </c>
      <c r="D6643" t="s">
        <v>1453</v>
      </c>
      <c r="E6643" t="s">
        <v>154</v>
      </c>
      <c r="F6643" t="s">
        <v>1454</v>
      </c>
      <c r="G6643" t="s">
        <v>1455</v>
      </c>
      <c r="H6643" t="s">
        <v>1456</v>
      </c>
      <c r="I6643" t="s">
        <v>1457</v>
      </c>
      <c r="J6643" t="s">
        <v>1458</v>
      </c>
      <c r="K6643" t="s">
        <v>1459</v>
      </c>
      <c r="L6643" t="s">
        <v>1460</v>
      </c>
      <c r="M6643" t="s">
        <v>239</v>
      </c>
      <c r="N6643" t="s">
        <v>1461</v>
      </c>
      <c r="O6643" t="s">
        <v>1462</v>
      </c>
    </row>
    <row r="6644" spans="1:16" x14ac:dyDescent="0.3">
      <c r="A6644" s="22">
        <v>130</v>
      </c>
      <c r="B6644" t="s">
        <v>64</v>
      </c>
      <c r="C6644">
        <v>130</v>
      </c>
      <c r="D6644" s="8">
        <v>0.3538</v>
      </c>
      <c r="E6644" s="8">
        <v>2.3099999999999999E-2</v>
      </c>
      <c r="F6644" s="8">
        <v>0.21540000000000001</v>
      </c>
      <c r="G6644" s="8">
        <v>3.0800000000000001E-2</v>
      </c>
      <c r="H6644" s="8">
        <v>0.1769</v>
      </c>
      <c r="I6644" s="8">
        <v>6.9199999999999998E-2</v>
      </c>
      <c r="J6644" s="8">
        <v>0.77690000000000003</v>
      </c>
      <c r="K6644" s="8">
        <v>5.3800000000000001E-2</v>
      </c>
      <c r="L6644" s="8">
        <v>3.0800000000000001E-2</v>
      </c>
      <c r="M6644" s="8">
        <v>7.7000000000000002E-3</v>
      </c>
      <c r="N6644" s="8">
        <v>1.54E-2</v>
      </c>
      <c r="O6644" s="8">
        <v>1.54E-2</v>
      </c>
    </row>
    <row r="6646" spans="1:16" ht="57.6" x14ac:dyDescent="0.3">
      <c r="A6646" s="22" t="s">
        <v>1477</v>
      </c>
    </row>
    <row r="6647" spans="1:16" x14ac:dyDescent="0.3">
      <c r="A6647" s="22" t="s">
        <v>66</v>
      </c>
      <c r="B6647" t="s">
        <v>62</v>
      </c>
      <c r="C6647" t="s">
        <v>57</v>
      </c>
      <c r="D6647" t="s">
        <v>63</v>
      </c>
      <c r="E6647" t="s">
        <v>1453</v>
      </c>
      <c r="F6647" t="s">
        <v>154</v>
      </c>
      <c r="G6647" t="s">
        <v>1454</v>
      </c>
      <c r="H6647" t="s">
        <v>1455</v>
      </c>
      <c r="I6647" t="s">
        <v>1456</v>
      </c>
      <c r="J6647" t="s">
        <v>1457</v>
      </c>
      <c r="K6647" t="s">
        <v>1458</v>
      </c>
      <c r="L6647" t="s">
        <v>1459</v>
      </c>
      <c r="M6647" t="s">
        <v>1460</v>
      </c>
      <c r="N6647" t="s">
        <v>239</v>
      </c>
      <c r="O6647" t="s">
        <v>1461</v>
      </c>
      <c r="P6647" t="s">
        <v>1462</v>
      </c>
    </row>
    <row r="6648" spans="1:16" x14ac:dyDescent="0.3">
      <c r="A6648" s="22" t="s">
        <v>67</v>
      </c>
      <c r="B6648">
        <v>123</v>
      </c>
      <c r="C6648" t="s">
        <v>64</v>
      </c>
      <c r="D6648">
        <v>130</v>
      </c>
      <c r="E6648" s="8">
        <v>0.34960000000000002</v>
      </c>
      <c r="F6648" s="8">
        <v>2.4400000000000002E-2</v>
      </c>
      <c r="G6648" s="8">
        <v>0.187</v>
      </c>
      <c r="H6648" s="8">
        <v>2.4400000000000002E-2</v>
      </c>
      <c r="I6648" s="8">
        <v>0.17069999999999999</v>
      </c>
      <c r="J6648" s="8">
        <v>7.3200000000000001E-2</v>
      </c>
      <c r="K6648" s="8">
        <v>0.77239999999999998</v>
      </c>
      <c r="L6648" s="8">
        <v>5.6899999999999999E-2</v>
      </c>
      <c r="M6648" s="8">
        <v>3.2500000000000001E-2</v>
      </c>
      <c r="N6648" s="8">
        <v>8.0999999999999996E-3</v>
      </c>
      <c r="O6648" s="8">
        <v>1.6299999999999999E-2</v>
      </c>
      <c r="P6648" s="8">
        <v>1.6299999999999999E-2</v>
      </c>
    </row>
    <row r="6649" spans="1:16" x14ac:dyDescent="0.3">
      <c r="A6649" s="22" t="s">
        <v>68</v>
      </c>
      <c r="B6649">
        <v>7</v>
      </c>
      <c r="C6649" t="s">
        <v>64</v>
      </c>
      <c r="D6649">
        <v>130</v>
      </c>
      <c r="E6649" s="8">
        <v>0.42859999999999998</v>
      </c>
      <c r="G6649" s="8">
        <v>0.71430000000000005</v>
      </c>
      <c r="H6649" s="8">
        <v>0.1429</v>
      </c>
      <c r="I6649" s="8">
        <v>0.28570000000000001</v>
      </c>
      <c r="K6649" s="8">
        <v>0.85709999999999997</v>
      </c>
    </row>
    <row r="6651" spans="1:16" x14ac:dyDescent="0.3">
      <c r="A6651"/>
    </row>
    <row r="6652" spans="1:16" x14ac:dyDescent="0.3">
      <c r="A6652"/>
    </row>
    <row r="6653" spans="1:16" x14ac:dyDescent="0.3">
      <c r="A6653"/>
    </row>
    <row r="6654" spans="1:16" x14ac:dyDescent="0.3">
      <c r="A6654"/>
    </row>
    <row r="6655" spans="1:16" ht="57.6" x14ac:dyDescent="0.3">
      <c r="A6655" s="22" t="s">
        <v>1478</v>
      </c>
    </row>
    <row r="6656" spans="1:16" x14ac:dyDescent="0.3">
      <c r="A6656" s="22" t="s">
        <v>66</v>
      </c>
      <c r="B6656" t="s">
        <v>62</v>
      </c>
      <c r="C6656" t="s">
        <v>57</v>
      </c>
      <c r="D6656" t="s">
        <v>63</v>
      </c>
      <c r="E6656" t="s">
        <v>1453</v>
      </c>
      <c r="F6656" t="s">
        <v>154</v>
      </c>
      <c r="G6656" t="s">
        <v>1454</v>
      </c>
      <c r="H6656" t="s">
        <v>1455</v>
      </c>
      <c r="I6656" t="s">
        <v>1456</v>
      </c>
      <c r="J6656" t="s">
        <v>1457</v>
      </c>
      <c r="K6656" t="s">
        <v>1458</v>
      </c>
      <c r="L6656" t="s">
        <v>1459</v>
      </c>
      <c r="M6656" t="s">
        <v>1460</v>
      </c>
      <c r="N6656" t="s">
        <v>239</v>
      </c>
      <c r="O6656" t="s">
        <v>1461</v>
      </c>
      <c r="P6656" t="s">
        <v>1462</v>
      </c>
    </row>
    <row r="6657" spans="1:16" x14ac:dyDescent="0.3">
      <c r="A6657" s="22" t="s">
        <v>67</v>
      </c>
      <c r="B6657">
        <v>124</v>
      </c>
      <c r="C6657" t="s">
        <v>64</v>
      </c>
      <c r="D6657">
        <v>130</v>
      </c>
      <c r="E6657" s="8">
        <v>0.3548</v>
      </c>
      <c r="F6657" s="8">
        <v>2.4199999999999999E-2</v>
      </c>
      <c r="G6657" s="8">
        <v>0.2177</v>
      </c>
      <c r="H6657" s="8">
        <v>3.2300000000000002E-2</v>
      </c>
      <c r="I6657" s="8">
        <v>0.1694</v>
      </c>
      <c r="J6657" s="8">
        <v>7.2599999999999998E-2</v>
      </c>
      <c r="K6657" s="8">
        <v>0.7823</v>
      </c>
      <c r="L6657" s="8">
        <v>4.8399999999999999E-2</v>
      </c>
      <c r="M6657" s="8">
        <v>2.4199999999999999E-2</v>
      </c>
      <c r="N6657" s="8">
        <v>8.0999999999999996E-3</v>
      </c>
      <c r="O6657" s="8">
        <v>8.0999999999999996E-3</v>
      </c>
      <c r="P6657" s="8">
        <v>1.61E-2</v>
      </c>
    </row>
    <row r="6658" spans="1:16" x14ac:dyDescent="0.3">
      <c r="A6658" s="22" t="s">
        <v>68</v>
      </c>
      <c r="B6658">
        <v>6</v>
      </c>
      <c r="C6658" t="s">
        <v>64</v>
      </c>
      <c r="D6658">
        <v>130</v>
      </c>
      <c r="E6658" s="8">
        <v>0.33329999999999999</v>
      </c>
      <c r="G6658" s="8">
        <v>0.16669999999999999</v>
      </c>
      <c r="I6658" s="8">
        <v>0.33329999999999999</v>
      </c>
      <c r="K6658" s="8">
        <v>0.66669999999999996</v>
      </c>
      <c r="L6658" s="8">
        <v>0.16669999999999999</v>
      </c>
      <c r="M6658" s="8">
        <v>0.16669999999999999</v>
      </c>
      <c r="O6658" s="8">
        <v>0.16669999999999999</v>
      </c>
    </row>
    <row r="6660" spans="1:16" ht="57.6" x14ac:dyDescent="0.3">
      <c r="A6660" s="22" t="s">
        <v>1479</v>
      </c>
    </row>
    <row r="6661" spans="1:16" x14ac:dyDescent="0.3">
      <c r="A6661" s="22" t="s">
        <v>66</v>
      </c>
      <c r="B6661" t="s">
        <v>62</v>
      </c>
      <c r="C6661" t="s">
        <v>57</v>
      </c>
      <c r="D6661" t="s">
        <v>63</v>
      </c>
      <c r="E6661" t="s">
        <v>1453</v>
      </c>
      <c r="F6661" t="s">
        <v>154</v>
      </c>
      <c r="G6661" t="s">
        <v>1454</v>
      </c>
      <c r="H6661" t="s">
        <v>1455</v>
      </c>
      <c r="I6661" t="s">
        <v>1456</v>
      </c>
      <c r="J6661" t="s">
        <v>1457</v>
      </c>
      <c r="K6661" t="s">
        <v>1458</v>
      </c>
      <c r="L6661" t="s">
        <v>1459</v>
      </c>
      <c r="M6661" t="s">
        <v>1460</v>
      </c>
      <c r="N6661" t="s">
        <v>239</v>
      </c>
      <c r="O6661" t="s">
        <v>1461</v>
      </c>
      <c r="P6661" t="s">
        <v>1462</v>
      </c>
    </row>
    <row r="6662" spans="1:16" x14ac:dyDescent="0.3">
      <c r="A6662" s="22" t="s">
        <v>67</v>
      </c>
      <c r="B6662">
        <v>129</v>
      </c>
      <c r="C6662" t="s">
        <v>64</v>
      </c>
      <c r="D6662">
        <v>130</v>
      </c>
      <c r="E6662" s="8">
        <v>0.3488</v>
      </c>
      <c r="F6662" s="8">
        <v>2.3300000000000001E-2</v>
      </c>
      <c r="G6662" s="8">
        <v>0.20930000000000001</v>
      </c>
      <c r="H6662" s="8">
        <v>3.1E-2</v>
      </c>
      <c r="I6662" s="8">
        <v>0.17829999999999999</v>
      </c>
      <c r="J6662" s="8">
        <v>6.9800000000000001E-2</v>
      </c>
      <c r="K6662" s="8">
        <v>0.78290000000000004</v>
      </c>
      <c r="L6662" s="8">
        <v>5.4300000000000001E-2</v>
      </c>
      <c r="M6662" s="8">
        <v>3.1E-2</v>
      </c>
      <c r="N6662" s="8">
        <v>7.7999999999999996E-3</v>
      </c>
      <c r="O6662" s="8">
        <v>1.55E-2</v>
      </c>
      <c r="P6662" s="8">
        <v>1.55E-2</v>
      </c>
    </row>
    <row r="6663" spans="1:16" x14ac:dyDescent="0.3">
      <c r="A6663" s="22" t="s">
        <v>68</v>
      </c>
      <c r="B6663">
        <v>1</v>
      </c>
      <c r="C6663" t="s">
        <v>64</v>
      </c>
      <c r="D6663">
        <v>130</v>
      </c>
      <c r="E6663" s="8">
        <v>1</v>
      </c>
      <c r="G6663" s="8">
        <v>1</v>
      </c>
    </row>
    <row r="6665" spans="1:16" ht="57.6" x14ac:dyDescent="0.3">
      <c r="A6665" s="22" t="s">
        <v>1480</v>
      </c>
    </row>
    <row r="6666" spans="1:16" x14ac:dyDescent="0.3">
      <c r="A6666" s="22" t="s">
        <v>66</v>
      </c>
      <c r="B6666" t="s">
        <v>62</v>
      </c>
      <c r="C6666" t="s">
        <v>57</v>
      </c>
      <c r="D6666" t="s">
        <v>63</v>
      </c>
      <c r="E6666" t="s">
        <v>1453</v>
      </c>
      <c r="F6666" t="s">
        <v>154</v>
      </c>
      <c r="G6666" t="s">
        <v>1454</v>
      </c>
      <c r="H6666" t="s">
        <v>1455</v>
      </c>
      <c r="I6666" t="s">
        <v>1456</v>
      </c>
      <c r="J6666" t="s">
        <v>1457</v>
      </c>
      <c r="K6666" t="s">
        <v>1458</v>
      </c>
      <c r="L6666" t="s">
        <v>1459</v>
      </c>
      <c r="M6666" t="s">
        <v>1460</v>
      </c>
      <c r="N6666" t="s">
        <v>239</v>
      </c>
      <c r="O6666" t="s">
        <v>1461</v>
      </c>
      <c r="P6666" t="s">
        <v>1462</v>
      </c>
    </row>
    <row r="6667" spans="1:16" x14ac:dyDescent="0.3">
      <c r="A6667" s="22" t="s">
        <v>67</v>
      </c>
      <c r="B6667">
        <v>120</v>
      </c>
      <c r="C6667" t="s">
        <v>64</v>
      </c>
      <c r="D6667">
        <v>130</v>
      </c>
      <c r="E6667" s="8">
        <v>0.35830000000000001</v>
      </c>
      <c r="F6667" s="8">
        <v>2.5000000000000001E-2</v>
      </c>
      <c r="G6667" s="8">
        <v>0.18329999999999999</v>
      </c>
      <c r="H6667" s="8">
        <v>2.5000000000000001E-2</v>
      </c>
      <c r="I6667" s="8">
        <v>0.16669999999999999</v>
      </c>
      <c r="J6667" s="8">
        <v>7.4999999999999997E-2</v>
      </c>
      <c r="K6667" s="8">
        <v>0.76670000000000005</v>
      </c>
      <c r="L6667" s="8">
        <v>5.8299999999999998E-2</v>
      </c>
      <c r="M6667" s="8">
        <v>3.3300000000000003E-2</v>
      </c>
      <c r="N6667" s="8">
        <v>8.3000000000000001E-3</v>
      </c>
      <c r="O6667" s="8">
        <v>1.67E-2</v>
      </c>
      <c r="P6667" s="8">
        <v>8.3000000000000001E-3</v>
      </c>
    </row>
    <row r="6668" spans="1:16" x14ac:dyDescent="0.3">
      <c r="A6668" s="22" t="s">
        <v>68</v>
      </c>
      <c r="B6668">
        <v>10</v>
      </c>
      <c r="C6668" t="s">
        <v>64</v>
      </c>
      <c r="D6668">
        <v>130</v>
      </c>
      <c r="E6668" s="8">
        <v>0.3</v>
      </c>
      <c r="G6668" s="8">
        <v>0.6</v>
      </c>
      <c r="H6668" s="8">
        <v>0.1</v>
      </c>
      <c r="I6668" s="8">
        <v>0.3</v>
      </c>
      <c r="K6668" s="8">
        <v>0.9</v>
      </c>
      <c r="P6668" s="8">
        <v>0.1</v>
      </c>
    </row>
    <row r="6670" spans="1:16" ht="57.6" x14ac:dyDescent="0.3">
      <c r="A6670" s="22" t="s">
        <v>1481</v>
      </c>
    </row>
    <row r="6671" spans="1:16" x14ac:dyDescent="0.3">
      <c r="A6671" s="22" t="s">
        <v>66</v>
      </c>
      <c r="B6671" t="s">
        <v>62</v>
      </c>
      <c r="C6671" t="s">
        <v>57</v>
      </c>
      <c r="D6671" t="s">
        <v>63</v>
      </c>
      <c r="E6671" t="s">
        <v>1453</v>
      </c>
      <c r="F6671" t="s">
        <v>154</v>
      </c>
      <c r="G6671" t="s">
        <v>1454</v>
      </c>
      <c r="H6671" t="s">
        <v>1455</v>
      </c>
      <c r="I6671" t="s">
        <v>1456</v>
      </c>
      <c r="J6671" t="s">
        <v>1457</v>
      </c>
      <c r="K6671" t="s">
        <v>1458</v>
      </c>
      <c r="L6671" t="s">
        <v>1459</v>
      </c>
      <c r="M6671" t="s">
        <v>1460</v>
      </c>
      <c r="N6671" t="s">
        <v>239</v>
      </c>
      <c r="O6671" t="s">
        <v>1461</v>
      </c>
      <c r="P6671" t="s">
        <v>1462</v>
      </c>
    </row>
    <row r="6672" spans="1:16" x14ac:dyDescent="0.3">
      <c r="A6672" s="22" t="s">
        <v>67</v>
      </c>
      <c r="B6672">
        <v>5</v>
      </c>
      <c r="C6672" t="s">
        <v>64</v>
      </c>
      <c r="D6672">
        <v>130</v>
      </c>
      <c r="E6672" s="8">
        <v>0.4</v>
      </c>
      <c r="G6672" s="8">
        <v>0.2</v>
      </c>
      <c r="I6672" s="8">
        <v>0.2</v>
      </c>
      <c r="K6672" s="8">
        <v>0.4</v>
      </c>
      <c r="M6672" s="8">
        <v>0.2</v>
      </c>
      <c r="O6672" s="8">
        <v>0.2</v>
      </c>
    </row>
    <row r="6673" spans="1:16" x14ac:dyDescent="0.3">
      <c r="A6673" s="22" t="s">
        <v>68</v>
      </c>
      <c r="B6673">
        <v>125</v>
      </c>
      <c r="C6673" t="s">
        <v>64</v>
      </c>
      <c r="D6673">
        <v>130</v>
      </c>
      <c r="E6673" s="8">
        <v>0.35199999999999998</v>
      </c>
      <c r="F6673" s="8">
        <v>2.4E-2</v>
      </c>
      <c r="G6673" s="8">
        <v>0.216</v>
      </c>
      <c r="H6673" s="8">
        <v>3.2000000000000001E-2</v>
      </c>
      <c r="I6673" s="8">
        <v>0.17599999999999999</v>
      </c>
      <c r="J6673" s="8">
        <v>7.1999999999999995E-2</v>
      </c>
      <c r="K6673" s="8">
        <v>0.79200000000000004</v>
      </c>
      <c r="L6673" s="8">
        <v>5.6000000000000001E-2</v>
      </c>
      <c r="M6673" s="8">
        <v>2.4E-2</v>
      </c>
      <c r="N6673" s="8">
        <v>8.0000000000000002E-3</v>
      </c>
      <c r="O6673" s="8">
        <v>8.0000000000000002E-3</v>
      </c>
      <c r="P6673" s="8">
        <v>1.6E-2</v>
      </c>
    </row>
    <row r="6675" spans="1:16" ht="57.6" x14ac:dyDescent="0.3">
      <c r="A6675" s="22" t="s">
        <v>1482</v>
      </c>
    </row>
    <row r="6676" spans="1:16" x14ac:dyDescent="0.3">
      <c r="A6676" s="22" t="s">
        <v>66</v>
      </c>
      <c r="B6676" t="s">
        <v>62</v>
      </c>
      <c r="C6676" t="s">
        <v>57</v>
      </c>
      <c r="D6676" t="s">
        <v>63</v>
      </c>
      <c r="E6676" t="s">
        <v>1453</v>
      </c>
      <c r="F6676" t="s">
        <v>154</v>
      </c>
      <c r="G6676" t="s">
        <v>1454</v>
      </c>
      <c r="H6676" t="s">
        <v>1455</v>
      </c>
      <c r="I6676" t="s">
        <v>1456</v>
      </c>
      <c r="J6676" t="s">
        <v>1457</v>
      </c>
      <c r="K6676" t="s">
        <v>1458</v>
      </c>
      <c r="L6676" t="s">
        <v>1459</v>
      </c>
      <c r="M6676" t="s">
        <v>1460</v>
      </c>
      <c r="N6676" t="s">
        <v>239</v>
      </c>
      <c r="O6676" t="s">
        <v>1461</v>
      </c>
      <c r="P6676" t="s">
        <v>1462</v>
      </c>
    </row>
    <row r="6677" spans="1:16" x14ac:dyDescent="0.3">
      <c r="A6677" s="22" t="s">
        <v>67</v>
      </c>
      <c r="B6677">
        <v>106</v>
      </c>
      <c r="C6677" t="s">
        <v>64</v>
      </c>
      <c r="D6677">
        <v>130</v>
      </c>
      <c r="E6677" s="8">
        <v>0.3679</v>
      </c>
      <c r="F6677" s="8">
        <v>9.4000000000000004E-3</v>
      </c>
      <c r="G6677" s="8">
        <v>0.22639999999999999</v>
      </c>
      <c r="H6677" s="8">
        <v>3.7699999999999997E-2</v>
      </c>
      <c r="I6677" s="8">
        <v>0.1792</v>
      </c>
      <c r="J6677" s="8">
        <v>7.5499999999999998E-2</v>
      </c>
      <c r="K6677" s="8">
        <v>0.80189999999999995</v>
      </c>
      <c r="L6677" s="8">
        <v>6.6000000000000003E-2</v>
      </c>
      <c r="M6677" s="8">
        <v>1.89E-2</v>
      </c>
      <c r="O6677" s="8">
        <v>9.4000000000000004E-3</v>
      </c>
      <c r="P6677" s="8">
        <v>1.89E-2</v>
      </c>
    </row>
    <row r="6678" spans="1:16" x14ac:dyDescent="0.3">
      <c r="A6678" s="22" t="s">
        <v>68</v>
      </c>
      <c r="B6678">
        <v>24</v>
      </c>
      <c r="C6678" t="s">
        <v>64</v>
      </c>
      <c r="D6678">
        <v>130</v>
      </c>
      <c r="E6678" s="8">
        <v>0.29170000000000001</v>
      </c>
      <c r="F6678" s="8">
        <v>8.3299999999999999E-2</v>
      </c>
      <c r="G6678" s="8">
        <v>0.16669999999999999</v>
      </c>
      <c r="I6678" s="8">
        <v>0.16669999999999999</v>
      </c>
      <c r="J6678" s="8">
        <v>4.1700000000000001E-2</v>
      </c>
      <c r="K6678" s="8">
        <v>0.66669999999999996</v>
      </c>
      <c r="M6678" s="8">
        <v>8.3299999999999999E-2</v>
      </c>
      <c r="N6678" s="8">
        <v>4.1700000000000001E-2</v>
      </c>
      <c r="O6678" s="8">
        <v>4.1700000000000001E-2</v>
      </c>
    </row>
    <row r="6680" spans="1:16" ht="57.6" x14ac:dyDescent="0.3">
      <c r="A6680" s="22" t="s">
        <v>1483</v>
      </c>
    </row>
    <row r="6681" spans="1:16" x14ac:dyDescent="0.3">
      <c r="A6681" s="22" t="s">
        <v>66</v>
      </c>
      <c r="B6681" t="s">
        <v>62</v>
      </c>
      <c r="C6681" t="s">
        <v>57</v>
      </c>
      <c r="D6681" t="s">
        <v>63</v>
      </c>
      <c r="E6681" t="s">
        <v>1453</v>
      </c>
      <c r="F6681" t="s">
        <v>154</v>
      </c>
      <c r="G6681" t="s">
        <v>1454</v>
      </c>
      <c r="H6681" t="s">
        <v>1455</v>
      </c>
      <c r="I6681" t="s">
        <v>1456</v>
      </c>
      <c r="J6681" t="s">
        <v>1457</v>
      </c>
      <c r="K6681" t="s">
        <v>1458</v>
      </c>
      <c r="L6681" t="s">
        <v>1459</v>
      </c>
      <c r="M6681" t="s">
        <v>1460</v>
      </c>
      <c r="N6681" t="s">
        <v>239</v>
      </c>
      <c r="O6681" t="s">
        <v>1461</v>
      </c>
      <c r="P6681" t="s">
        <v>1462</v>
      </c>
    </row>
    <row r="6682" spans="1:16" x14ac:dyDescent="0.3">
      <c r="A6682" s="22" t="s">
        <v>67</v>
      </c>
      <c r="B6682">
        <v>101</v>
      </c>
      <c r="C6682" t="s">
        <v>64</v>
      </c>
      <c r="D6682">
        <v>130</v>
      </c>
      <c r="E6682" s="8">
        <v>0.3861</v>
      </c>
      <c r="F6682" s="8">
        <v>1.9800000000000002E-2</v>
      </c>
      <c r="G6682" s="8">
        <v>0.22770000000000001</v>
      </c>
      <c r="H6682" s="8">
        <v>3.9600000000000003E-2</v>
      </c>
      <c r="I6682" s="8">
        <v>0.16830000000000001</v>
      </c>
      <c r="J6682" s="8">
        <v>6.93E-2</v>
      </c>
      <c r="K6682" s="8">
        <v>0.77229999999999999</v>
      </c>
      <c r="L6682" s="8">
        <v>4.9500000000000002E-2</v>
      </c>
      <c r="M6682" s="8">
        <v>3.9600000000000003E-2</v>
      </c>
      <c r="N6682" s="8">
        <v>9.9000000000000008E-3</v>
      </c>
      <c r="O6682" s="8">
        <v>1.9800000000000002E-2</v>
      </c>
      <c r="P6682" s="8">
        <v>1.9800000000000002E-2</v>
      </c>
    </row>
    <row r="6683" spans="1:16" x14ac:dyDescent="0.3">
      <c r="A6683" s="22" t="s">
        <v>68</v>
      </c>
      <c r="B6683">
        <v>29</v>
      </c>
      <c r="C6683" t="s">
        <v>64</v>
      </c>
      <c r="D6683">
        <v>130</v>
      </c>
      <c r="E6683" s="8">
        <v>0.2414</v>
      </c>
      <c r="F6683" s="8">
        <v>3.4500000000000003E-2</v>
      </c>
      <c r="G6683" s="8">
        <v>0.1724</v>
      </c>
      <c r="I6683" s="8">
        <v>0.2069</v>
      </c>
      <c r="J6683" s="8">
        <v>6.9000000000000006E-2</v>
      </c>
      <c r="K6683" s="8">
        <v>0.79310000000000003</v>
      </c>
      <c r="L6683" s="8">
        <v>6.9000000000000006E-2</v>
      </c>
    </row>
    <row r="6685" spans="1:16" ht="57.6" x14ac:dyDescent="0.3">
      <c r="A6685" s="22" t="s">
        <v>1484</v>
      </c>
    </row>
    <row r="6686" spans="1:16" x14ac:dyDescent="0.3">
      <c r="A6686" s="22" t="s">
        <v>66</v>
      </c>
      <c r="B6686" t="s">
        <v>62</v>
      </c>
      <c r="C6686" t="s">
        <v>57</v>
      </c>
      <c r="D6686" t="s">
        <v>63</v>
      </c>
      <c r="E6686" t="s">
        <v>1453</v>
      </c>
      <c r="F6686" t="s">
        <v>154</v>
      </c>
      <c r="G6686" t="s">
        <v>1454</v>
      </c>
      <c r="H6686" t="s">
        <v>1455</v>
      </c>
      <c r="I6686" t="s">
        <v>1456</v>
      </c>
      <c r="J6686" t="s">
        <v>1457</v>
      </c>
      <c r="K6686" t="s">
        <v>1458</v>
      </c>
      <c r="L6686" t="s">
        <v>1459</v>
      </c>
      <c r="M6686" t="s">
        <v>1460</v>
      </c>
      <c r="N6686" t="s">
        <v>239</v>
      </c>
      <c r="O6686" t="s">
        <v>1461</v>
      </c>
      <c r="P6686" t="s">
        <v>1462</v>
      </c>
    </row>
    <row r="6687" spans="1:16" x14ac:dyDescent="0.3">
      <c r="A6687" s="22" t="s">
        <v>67</v>
      </c>
      <c r="B6687">
        <v>98</v>
      </c>
      <c r="C6687" t="s">
        <v>64</v>
      </c>
      <c r="D6687">
        <v>130</v>
      </c>
      <c r="E6687" s="8">
        <v>0.34689999999999999</v>
      </c>
      <c r="F6687" s="8">
        <v>3.0599999999999999E-2</v>
      </c>
      <c r="G6687" s="8">
        <v>0.21429999999999999</v>
      </c>
      <c r="H6687" s="8">
        <v>3.0599999999999999E-2</v>
      </c>
      <c r="I6687" s="8">
        <v>0.1837</v>
      </c>
      <c r="J6687" s="8">
        <v>4.0800000000000003E-2</v>
      </c>
      <c r="K6687" s="8">
        <v>0.75509999999999999</v>
      </c>
      <c r="L6687" s="8">
        <v>5.0999999999999997E-2</v>
      </c>
      <c r="M6687" s="8">
        <v>4.0800000000000003E-2</v>
      </c>
      <c r="N6687" s="8">
        <v>1.0200000000000001E-2</v>
      </c>
      <c r="O6687" s="8">
        <v>2.0400000000000001E-2</v>
      </c>
      <c r="P6687" s="8">
        <v>2.0400000000000001E-2</v>
      </c>
    </row>
    <row r="6688" spans="1:16" x14ac:dyDescent="0.3">
      <c r="A6688" s="22" t="s">
        <v>68</v>
      </c>
      <c r="B6688">
        <v>32</v>
      </c>
      <c r="C6688" t="s">
        <v>64</v>
      </c>
      <c r="D6688">
        <v>130</v>
      </c>
      <c r="E6688" s="8">
        <v>0.375</v>
      </c>
      <c r="G6688" s="8">
        <v>0.21879999999999999</v>
      </c>
      <c r="H6688" s="8">
        <v>3.1199999999999999E-2</v>
      </c>
      <c r="I6688" s="8">
        <v>0.15620000000000001</v>
      </c>
      <c r="J6688" s="8">
        <v>0.15620000000000001</v>
      </c>
      <c r="K6688" s="8">
        <v>0.84379999999999999</v>
      </c>
      <c r="L6688" s="8">
        <v>6.25E-2</v>
      </c>
    </row>
    <row r="6690" spans="1:16" ht="72" x14ac:dyDescent="0.3">
      <c r="A6690" s="22" t="s">
        <v>1485</v>
      </c>
    </row>
    <row r="6691" spans="1:16" x14ac:dyDescent="0.3">
      <c r="A6691" s="22" t="s">
        <v>66</v>
      </c>
      <c r="B6691" t="s">
        <v>62</v>
      </c>
      <c r="C6691" t="s">
        <v>57</v>
      </c>
      <c r="D6691" t="s">
        <v>63</v>
      </c>
      <c r="E6691" t="s">
        <v>1453</v>
      </c>
      <c r="F6691" t="s">
        <v>154</v>
      </c>
      <c r="G6691" t="s">
        <v>1454</v>
      </c>
      <c r="H6691" t="s">
        <v>1455</v>
      </c>
      <c r="I6691" t="s">
        <v>1456</v>
      </c>
      <c r="J6691" t="s">
        <v>1457</v>
      </c>
      <c r="K6691" t="s">
        <v>1458</v>
      </c>
      <c r="L6691" t="s">
        <v>1459</v>
      </c>
      <c r="M6691" t="s">
        <v>1460</v>
      </c>
      <c r="N6691" t="s">
        <v>239</v>
      </c>
      <c r="O6691" t="s">
        <v>1461</v>
      </c>
      <c r="P6691" t="s">
        <v>1462</v>
      </c>
    </row>
    <row r="6692" spans="1:16" x14ac:dyDescent="0.3">
      <c r="A6692" s="22" t="s">
        <v>67</v>
      </c>
      <c r="B6692">
        <v>118</v>
      </c>
      <c r="C6692" t="s">
        <v>64</v>
      </c>
      <c r="D6692">
        <v>130</v>
      </c>
      <c r="E6692" s="8">
        <v>0.33900000000000002</v>
      </c>
      <c r="F6692" s="8">
        <v>2.5399999999999999E-2</v>
      </c>
      <c r="G6692" s="8">
        <v>0.19489999999999999</v>
      </c>
      <c r="H6692" s="8">
        <v>1.6899999999999998E-2</v>
      </c>
      <c r="I6692" s="8">
        <v>0.1525</v>
      </c>
      <c r="J6692" s="8">
        <v>5.9299999999999999E-2</v>
      </c>
      <c r="K6692" s="8">
        <v>0.78810000000000002</v>
      </c>
      <c r="L6692" s="8">
        <v>4.24E-2</v>
      </c>
      <c r="M6692" s="8">
        <v>3.39E-2</v>
      </c>
      <c r="N6692" s="8">
        <v>8.5000000000000006E-3</v>
      </c>
      <c r="O6692" s="8">
        <v>1.6899999999999998E-2</v>
      </c>
      <c r="P6692" s="8">
        <v>8.5000000000000006E-3</v>
      </c>
    </row>
    <row r="6693" spans="1:16" x14ac:dyDescent="0.3">
      <c r="A6693" s="22" t="s">
        <v>68</v>
      </c>
      <c r="B6693">
        <v>12</v>
      </c>
      <c r="C6693" t="s">
        <v>64</v>
      </c>
      <c r="D6693">
        <v>130</v>
      </c>
      <c r="E6693" s="8">
        <v>0.5</v>
      </c>
      <c r="G6693" s="8">
        <v>0.41670000000000001</v>
      </c>
      <c r="H6693" s="8">
        <v>0.16669999999999999</v>
      </c>
      <c r="I6693" s="8">
        <v>0.41670000000000001</v>
      </c>
      <c r="J6693" s="8">
        <v>0.16669999999999999</v>
      </c>
      <c r="K6693" s="8">
        <v>0.66669999999999996</v>
      </c>
      <c r="L6693" s="8">
        <v>0.16669999999999999</v>
      </c>
      <c r="P6693" s="8">
        <v>8.3299999999999999E-2</v>
      </c>
    </row>
    <row r="6695" spans="1:16" ht="72" x14ac:dyDescent="0.3">
      <c r="A6695" s="22" t="s">
        <v>1486</v>
      </c>
    </row>
    <row r="6696" spans="1:16" x14ac:dyDescent="0.3">
      <c r="A6696" s="22" t="s">
        <v>66</v>
      </c>
      <c r="B6696" t="s">
        <v>62</v>
      </c>
      <c r="C6696" t="s">
        <v>57</v>
      </c>
      <c r="D6696" t="s">
        <v>63</v>
      </c>
      <c r="E6696" t="s">
        <v>1453</v>
      </c>
      <c r="F6696" t="s">
        <v>154</v>
      </c>
      <c r="G6696" t="s">
        <v>1454</v>
      </c>
      <c r="H6696" t="s">
        <v>1455</v>
      </c>
      <c r="I6696" t="s">
        <v>1456</v>
      </c>
      <c r="J6696" t="s">
        <v>1457</v>
      </c>
      <c r="K6696" t="s">
        <v>1458</v>
      </c>
      <c r="L6696" t="s">
        <v>1459</v>
      </c>
      <c r="M6696" t="s">
        <v>1460</v>
      </c>
      <c r="N6696" t="s">
        <v>239</v>
      </c>
      <c r="O6696" t="s">
        <v>1461</v>
      </c>
      <c r="P6696" t="s">
        <v>1462</v>
      </c>
    </row>
    <row r="6697" spans="1:16" x14ac:dyDescent="0.3">
      <c r="A6697" s="22" t="s">
        <v>67</v>
      </c>
      <c r="B6697">
        <v>130</v>
      </c>
      <c r="C6697" t="s">
        <v>64</v>
      </c>
      <c r="D6697">
        <v>130</v>
      </c>
      <c r="E6697" s="8">
        <v>0.3538</v>
      </c>
      <c r="F6697" s="8">
        <v>2.3099999999999999E-2</v>
      </c>
      <c r="G6697" s="8">
        <v>0.21540000000000001</v>
      </c>
      <c r="H6697" s="8">
        <v>3.0800000000000001E-2</v>
      </c>
      <c r="I6697" s="8">
        <v>0.1769</v>
      </c>
      <c r="J6697" s="8">
        <v>6.9199999999999998E-2</v>
      </c>
      <c r="K6697" s="8">
        <v>0.77690000000000003</v>
      </c>
      <c r="L6697" s="8">
        <v>5.3800000000000001E-2</v>
      </c>
      <c r="M6697" s="8">
        <v>3.0800000000000001E-2</v>
      </c>
      <c r="N6697" s="8">
        <v>7.7000000000000002E-3</v>
      </c>
      <c r="O6697" s="8">
        <v>1.54E-2</v>
      </c>
      <c r="P6697" s="8">
        <v>1.54E-2</v>
      </c>
    </row>
    <row r="6699" spans="1:16" ht="57.6" x14ac:dyDescent="0.3">
      <c r="A6699" s="22" t="s">
        <v>1487</v>
      </c>
    </row>
    <row r="6700" spans="1:16" x14ac:dyDescent="0.3">
      <c r="A6700" s="22" t="s">
        <v>66</v>
      </c>
      <c r="B6700" t="s">
        <v>62</v>
      </c>
      <c r="C6700" t="s">
        <v>57</v>
      </c>
      <c r="D6700" t="s">
        <v>63</v>
      </c>
      <c r="E6700" t="s">
        <v>1453</v>
      </c>
      <c r="F6700" t="s">
        <v>154</v>
      </c>
      <c r="G6700" t="s">
        <v>1454</v>
      </c>
      <c r="H6700" t="s">
        <v>1455</v>
      </c>
      <c r="I6700" t="s">
        <v>1456</v>
      </c>
      <c r="J6700" t="s">
        <v>1457</v>
      </c>
      <c r="K6700" t="s">
        <v>1458</v>
      </c>
      <c r="L6700" t="s">
        <v>1459</v>
      </c>
      <c r="M6700" t="s">
        <v>1460</v>
      </c>
      <c r="N6700" t="s">
        <v>239</v>
      </c>
      <c r="O6700" t="s">
        <v>1461</v>
      </c>
      <c r="P6700" t="s">
        <v>1462</v>
      </c>
    </row>
    <row r="6701" spans="1:16" x14ac:dyDescent="0.3">
      <c r="A6701" s="22" t="s">
        <v>67</v>
      </c>
      <c r="B6701">
        <v>77</v>
      </c>
      <c r="C6701" t="s">
        <v>64</v>
      </c>
      <c r="D6701">
        <v>130</v>
      </c>
      <c r="E6701" s="8">
        <v>0.31169999999999998</v>
      </c>
      <c r="F6701" s="8">
        <v>1.2999999999999999E-2</v>
      </c>
      <c r="G6701" s="8">
        <v>0.1948</v>
      </c>
      <c r="H6701" s="8">
        <v>2.5999999999999999E-2</v>
      </c>
      <c r="I6701" s="8">
        <v>0.15579999999999999</v>
      </c>
      <c r="J6701" s="8">
        <v>5.1900000000000002E-2</v>
      </c>
      <c r="K6701" s="8">
        <v>0.81820000000000004</v>
      </c>
      <c r="L6701" s="8">
        <v>2.5999999999999999E-2</v>
      </c>
      <c r="M6701" s="8">
        <v>2.5999999999999999E-2</v>
      </c>
      <c r="N6701" s="8">
        <v>1.2999999999999999E-2</v>
      </c>
      <c r="P6701" s="8">
        <v>1.2999999999999999E-2</v>
      </c>
    </row>
    <row r="6702" spans="1:16" x14ac:dyDescent="0.3">
      <c r="A6702" s="22" t="s">
        <v>68</v>
      </c>
      <c r="B6702">
        <v>53</v>
      </c>
      <c r="C6702" t="s">
        <v>64</v>
      </c>
      <c r="D6702">
        <v>130</v>
      </c>
      <c r="E6702" s="8">
        <v>0.41510000000000002</v>
      </c>
      <c r="F6702" s="8">
        <v>3.7699999999999997E-2</v>
      </c>
      <c r="G6702" s="8">
        <v>0.24529999999999999</v>
      </c>
      <c r="H6702" s="8">
        <v>3.7699999999999997E-2</v>
      </c>
      <c r="I6702" s="8">
        <v>0.20749999999999999</v>
      </c>
      <c r="J6702" s="8">
        <v>9.4299999999999995E-2</v>
      </c>
      <c r="K6702" s="8">
        <v>0.71699999999999997</v>
      </c>
      <c r="L6702" s="8">
        <v>9.4299999999999995E-2</v>
      </c>
      <c r="M6702" s="8">
        <v>3.7699999999999997E-2</v>
      </c>
      <c r="O6702" s="8">
        <v>3.7699999999999997E-2</v>
      </c>
      <c r="P6702" s="8">
        <v>1.89E-2</v>
      </c>
    </row>
    <row r="6704" spans="1:16" ht="57.6" x14ac:dyDescent="0.3">
      <c r="A6704" s="22" t="s">
        <v>1488</v>
      </c>
    </row>
    <row r="6705" spans="1:16" x14ac:dyDescent="0.3">
      <c r="A6705" s="22" t="s">
        <v>66</v>
      </c>
      <c r="B6705" t="s">
        <v>62</v>
      </c>
      <c r="C6705" t="s">
        <v>57</v>
      </c>
      <c r="D6705" t="s">
        <v>63</v>
      </c>
      <c r="E6705" t="s">
        <v>1453</v>
      </c>
      <c r="F6705" t="s">
        <v>154</v>
      </c>
      <c r="G6705" t="s">
        <v>1454</v>
      </c>
      <c r="H6705" t="s">
        <v>1455</v>
      </c>
      <c r="I6705" t="s">
        <v>1456</v>
      </c>
      <c r="J6705" t="s">
        <v>1457</v>
      </c>
      <c r="K6705" t="s">
        <v>1458</v>
      </c>
      <c r="L6705" t="s">
        <v>1459</v>
      </c>
      <c r="M6705" t="s">
        <v>1460</v>
      </c>
      <c r="N6705" t="s">
        <v>239</v>
      </c>
      <c r="O6705" t="s">
        <v>1461</v>
      </c>
      <c r="P6705" t="s">
        <v>1462</v>
      </c>
    </row>
    <row r="6706" spans="1:16" x14ac:dyDescent="0.3">
      <c r="A6706" s="22" t="s">
        <v>67</v>
      </c>
      <c r="B6706">
        <v>114</v>
      </c>
      <c r="C6706" t="s">
        <v>64</v>
      </c>
      <c r="D6706">
        <v>130</v>
      </c>
      <c r="E6706" s="8">
        <v>0.34210000000000002</v>
      </c>
      <c r="F6706" s="8">
        <v>1.7500000000000002E-2</v>
      </c>
      <c r="G6706" s="8">
        <v>0.20180000000000001</v>
      </c>
      <c r="H6706" s="8">
        <v>3.5099999999999999E-2</v>
      </c>
      <c r="I6706" s="8">
        <v>0.1754</v>
      </c>
      <c r="J6706" s="8">
        <v>4.3900000000000002E-2</v>
      </c>
      <c r="K6706" s="8">
        <v>0.78949999999999998</v>
      </c>
      <c r="L6706" s="8">
        <v>5.2600000000000001E-2</v>
      </c>
      <c r="M6706" s="8">
        <v>3.5099999999999999E-2</v>
      </c>
      <c r="N6706" s="8">
        <v>8.8000000000000005E-3</v>
      </c>
      <c r="O6706" s="8">
        <v>8.8000000000000005E-3</v>
      </c>
      <c r="P6706" s="8">
        <v>1.7500000000000002E-2</v>
      </c>
    </row>
    <row r="6707" spans="1:16" x14ac:dyDescent="0.3">
      <c r="A6707" s="22" t="s">
        <v>68</v>
      </c>
      <c r="B6707">
        <v>16</v>
      </c>
      <c r="C6707" t="s">
        <v>64</v>
      </c>
      <c r="D6707">
        <v>130</v>
      </c>
      <c r="E6707" s="8">
        <v>0.4375</v>
      </c>
      <c r="F6707" s="8">
        <v>6.25E-2</v>
      </c>
      <c r="G6707" s="8">
        <v>0.3125</v>
      </c>
      <c r="I6707" s="8">
        <v>0.1875</v>
      </c>
      <c r="J6707" s="8">
        <v>0.25</v>
      </c>
      <c r="K6707" s="8">
        <v>0.6875</v>
      </c>
      <c r="L6707" s="8">
        <v>6.25E-2</v>
      </c>
      <c r="O6707" s="8">
        <v>6.25E-2</v>
      </c>
    </row>
    <row r="6709" spans="1:16" ht="43.2" x14ac:dyDescent="0.3">
      <c r="A6709" s="22" t="s">
        <v>1489</v>
      </c>
    </row>
    <row r="6710" spans="1:16" x14ac:dyDescent="0.3">
      <c r="A6710" s="22" t="s">
        <v>66</v>
      </c>
      <c r="B6710" t="s">
        <v>62</v>
      </c>
      <c r="C6710" t="s">
        <v>57</v>
      </c>
      <c r="D6710" t="s">
        <v>63</v>
      </c>
      <c r="E6710" t="s">
        <v>1453</v>
      </c>
      <c r="F6710" t="s">
        <v>154</v>
      </c>
      <c r="G6710" t="s">
        <v>1454</v>
      </c>
      <c r="H6710" t="s">
        <v>1455</v>
      </c>
      <c r="I6710" t="s">
        <v>1456</v>
      </c>
      <c r="J6710" t="s">
        <v>1457</v>
      </c>
      <c r="K6710" t="s">
        <v>1458</v>
      </c>
      <c r="L6710" t="s">
        <v>1459</v>
      </c>
      <c r="M6710" t="s">
        <v>1460</v>
      </c>
      <c r="N6710" t="s">
        <v>239</v>
      </c>
      <c r="O6710" t="s">
        <v>1461</v>
      </c>
      <c r="P6710" t="s">
        <v>1462</v>
      </c>
    </row>
    <row r="6711" spans="1:16" x14ac:dyDescent="0.3">
      <c r="A6711" s="22" t="s">
        <v>81</v>
      </c>
      <c r="B6711">
        <v>32</v>
      </c>
      <c r="C6711" t="s">
        <v>64</v>
      </c>
      <c r="D6711">
        <v>130</v>
      </c>
      <c r="E6711" s="8">
        <v>0.34379999999999999</v>
      </c>
      <c r="G6711" s="8">
        <v>0.15620000000000001</v>
      </c>
      <c r="I6711" s="8">
        <v>0.15620000000000001</v>
      </c>
      <c r="J6711" s="8">
        <v>3.1199999999999999E-2</v>
      </c>
      <c r="K6711" s="8">
        <v>0.71879999999999999</v>
      </c>
      <c r="L6711" s="8">
        <v>3.1199999999999999E-2</v>
      </c>
      <c r="M6711" s="8">
        <v>3.1199999999999999E-2</v>
      </c>
    </row>
    <row r="6712" spans="1:16" x14ac:dyDescent="0.3">
      <c r="A6712" s="22" t="s">
        <v>82</v>
      </c>
      <c r="B6712">
        <v>34</v>
      </c>
      <c r="C6712" t="s">
        <v>64</v>
      </c>
      <c r="D6712">
        <v>130</v>
      </c>
      <c r="E6712" s="8">
        <v>0.23530000000000001</v>
      </c>
      <c r="F6712" s="8">
        <v>5.8799999999999998E-2</v>
      </c>
      <c r="G6712" s="8">
        <v>8.8200000000000001E-2</v>
      </c>
      <c r="H6712" s="8">
        <v>2.9399999999999999E-2</v>
      </c>
      <c r="I6712" s="8">
        <v>8.8200000000000001E-2</v>
      </c>
      <c r="K6712" s="8">
        <v>0.79410000000000003</v>
      </c>
      <c r="L6712" s="8">
        <v>2.9399999999999999E-2</v>
      </c>
      <c r="M6712" s="8">
        <v>8.8200000000000001E-2</v>
      </c>
      <c r="N6712" s="8">
        <v>2.9399999999999999E-2</v>
      </c>
      <c r="O6712" s="8">
        <v>2.9399999999999999E-2</v>
      </c>
      <c r="P6712" s="8">
        <v>2.9399999999999999E-2</v>
      </c>
    </row>
    <row r="6713" spans="1:16" x14ac:dyDescent="0.3">
      <c r="A6713" s="22" t="s">
        <v>83</v>
      </c>
      <c r="B6713">
        <v>33</v>
      </c>
      <c r="C6713" t="s">
        <v>64</v>
      </c>
      <c r="D6713">
        <v>130</v>
      </c>
      <c r="E6713" s="8">
        <v>0.39389999999999997</v>
      </c>
      <c r="F6713" s="8">
        <v>3.0300000000000001E-2</v>
      </c>
      <c r="G6713" s="8">
        <v>0.2727</v>
      </c>
      <c r="H6713" s="8">
        <v>3.0300000000000001E-2</v>
      </c>
      <c r="I6713" s="8">
        <v>0.21210000000000001</v>
      </c>
      <c r="J6713" s="8">
        <v>6.0600000000000001E-2</v>
      </c>
      <c r="K6713" s="8">
        <v>0.78790000000000004</v>
      </c>
      <c r="L6713" s="8">
        <v>9.0899999999999995E-2</v>
      </c>
    </row>
    <row r="6714" spans="1:16" x14ac:dyDescent="0.3">
      <c r="A6714" s="22" t="s">
        <v>84</v>
      </c>
      <c r="B6714">
        <v>31</v>
      </c>
      <c r="C6714" t="s">
        <v>64</v>
      </c>
      <c r="D6714">
        <v>130</v>
      </c>
      <c r="E6714" s="8">
        <v>0.4516</v>
      </c>
      <c r="G6714" s="8">
        <v>0.3548</v>
      </c>
      <c r="H6714" s="8">
        <v>6.4500000000000002E-2</v>
      </c>
      <c r="I6714" s="8">
        <v>0.2581</v>
      </c>
      <c r="J6714" s="8">
        <v>0.19350000000000001</v>
      </c>
      <c r="K6714" s="8">
        <v>0.80649999999999999</v>
      </c>
      <c r="L6714" s="8">
        <v>6.4500000000000002E-2</v>
      </c>
      <c r="O6714" s="8">
        <v>3.2300000000000002E-2</v>
      </c>
      <c r="P6714" s="8">
        <v>3.2300000000000002E-2</v>
      </c>
    </row>
    <row r="6716" spans="1:16" ht="43.2" x14ac:dyDescent="0.3">
      <c r="A6716" s="27" t="s">
        <v>1490</v>
      </c>
    </row>
    <row r="6717" spans="1:16" x14ac:dyDescent="0.3">
      <c r="A6717" s="22" t="s">
        <v>62</v>
      </c>
      <c r="B6717" t="s">
        <v>57</v>
      </c>
      <c r="C6717" t="s">
        <v>63</v>
      </c>
      <c r="D6717" t="s">
        <v>154</v>
      </c>
      <c r="E6717" t="s">
        <v>410</v>
      </c>
      <c r="F6717" t="s">
        <v>239</v>
      </c>
      <c r="G6717" t="s">
        <v>413</v>
      </c>
    </row>
    <row r="6718" spans="1:16" x14ac:dyDescent="0.3">
      <c r="A6718" s="22">
        <v>130</v>
      </c>
      <c r="B6718" t="s">
        <v>64</v>
      </c>
      <c r="C6718">
        <v>130</v>
      </c>
      <c r="D6718" s="8">
        <v>7.7000000000000002E-3</v>
      </c>
      <c r="E6718" s="8">
        <v>0.26919999999999999</v>
      </c>
      <c r="F6718" s="8">
        <v>0.1231</v>
      </c>
      <c r="G6718" s="8">
        <v>0.6</v>
      </c>
    </row>
    <row r="6720" spans="1:16" ht="57.6" x14ac:dyDescent="0.3">
      <c r="A6720" s="22" t="s">
        <v>1491</v>
      </c>
    </row>
    <row r="6721" spans="1:8" x14ac:dyDescent="0.3">
      <c r="A6721" s="22" t="s">
        <v>66</v>
      </c>
      <c r="B6721" t="s">
        <v>62</v>
      </c>
      <c r="C6721" t="s">
        <v>57</v>
      </c>
      <c r="D6721" t="s">
        <v>63</v>
      </c>
      <c r="E6721" t="s">
        <v>154</v>
      </c>
      <c r="F6721" t="s">
        <v>410</v>
      </c>
      <c r="G6721" t="s">
        <v>239</v>
      </c>
      <c r="H6721" t="s">
        <v>413</v>
      </c>
    </row>
    <row r="6722" spans="1:8" x14ac:dyDescent="0.3">
      <c r="A6722" s="22" t="s">
        <v>67</v>
      </c>
      <c r="B6722">
        <v>123</v>
      </c>
      <c r="C6722" t="s">
        <v>64</v>
      </c>
      <c r="D6722">
        <v>130</v>
      </c>
      <c r="E6722" s="8">
        <v>8.0999999999999996E-3</v>
      </c>
      <c r="F6722" s="8">
        <v>0.26019999999999999</v>
      </c>
      <c r="G6722" s="8">
        <v>0.1138</v>
      </c>
      <c r="H6722" s="8">
        <v>0.6179</v>
      </c>
    </row>
    <row r="6723" spans="1:8" x14ac:dyDescent="0.3">
      <c r="A6723" s="22" t="s">
        <v>68</v>
      </c>
      <c r="B6723">
        <v>7</v>
      </c>
      <c r="C6723" t="s">
        <v>64</v>
      </c>
      <c r="D6723">
        <v>130</v>
      </c>
      <c r="F6723" s="8">
        <v>0.42859999999999998</v>
      </c>
      <c r="G6723" s="8">
        <v>0.28570000000000001</v>
      </c>
      <c r="H6723" s="8">
        <v>0.28570000000000001</v>
      </c>
    </row>
    <row r="6725" spans="1:8" x14ac:dyDescent="0.3">
      <c r="A6725"/>
    </row>
    <row r="6726" spans="1:8" x14ac:dyDescent="0.3">
      <c r="A6726"/>
    </row>
    <row r="6727" spans="1:8" x14ac:dyDescent="0.3">
      <c r="A6727"/>
    </row>
    <row r="6729" spans="1:8" ht="57.6" x14ac:dyDescent="0.3">
      <c r="A6729" s="22" t="s">
        <v>1492</v>
      </c>
    </row>
    <row r="6730" spans="1:8" x14ac:dyDescent="0.3">
      <c r="A6730" s="22" t="s">
        <v>66</v>
      </c>
      <c r="B6730" t="s">
        <v>62</v>
      </c>
      <c r="C6730" t="s">
        <v>57</v>
      </c>
      <c r="D6730" t="s">
        <v>63</v>
      </c>
      <c r="E6730" t="s">
        <v>154</v>
      </c>
      <c r="F6730" t="s">
        <v>410</v>
      </c>
      <c r="G6730" t="s">
        <v>239</v>
      </c>
      <c r="H6730" t="s">
        <v>413</v>
      </c>
    </row>
    <row r="6731" spans="1:8" x14ac:dyDescent="0.3">
      <c r="A6731" s="22" t="s">
        <v>67</v>
      </c>
      <c r="B6731">
        <v>124</v>
      </c>
      <c r="C6731" t="s">
        <v>64</v>
      </c>
      <c r="D6731">
        <v>130</v>
      </c>
      <c r="E6731" s="8">
        <v>8.0999999999999996E-3</v>
      </c>
      <c r="F6731" s="8">
        <v>0.25</v>
      </c>
      <c r="G6731" s="8">
        <v>0.129</v>
      </c>
      <c r="H6731" s="8">
        <v>0.6129</v>
      </c>
    </row>
    <row r="6732" spans="1:8" x14ac:dyDescent="0.3">
      <c r="A6732" s="22" t="s">
        <v>68</v>
      </c>
      <c r="B6732">
        <v>6</v>
      </c>
      <c r="C6732" t="s">
        <v>64</v>
      </c>
      <c r="D6732">
        <v>130</v>
      </c>
      <c r="F6732" s="8">
        <v>0.66669999999999996</v>
      </c>
      <c r="H6732" s="8">
        <v>0.33329999999999999</v>
      </c>
    </row>
    <row r="6734" spans="1:8" ht="57.6" x14ac:dyDescent="0.3">
      <c r="A6734" s="22" t="s">
        <v>1493</v>
      </c>
    </row>
    <row r="6735" spans="1:8" x14ac:dyDescent="0.3">
      <c r="A6735" s="22" t="s">
        <v>66</v>
      </c>
      <c r="B6735" t="s">
        <v>62</v>
      </c>
      <c r="C6735" t="s">
        <v>57</v>
      </c>
      <c r="D6735" t="s">
        <v>63</v>
      </c>
      <c r="E6735" t="s">
        <v>154</v>
      </c>
      <c r="F6735" t="s">
        <v>410</v>
      </c>
      <c r="G6735" t="s">
        <v>239</v>
      </c>
      <c r="H6735" t="s">
        <v>413</v>
      </c>
    </row>
    <row r="6736" spans="1:8" x14ac:dyDescent="0.3">
      <c r="A6736" s="22" t="s">
        <v>67</v>
      </c>
      <c r="B6736">
        <v>129</v>
      </c>
      <c r="C6736" t="s">
        <v>64</v>
      </c>
      <c r="D6736">
        <v>130</v>
      </c>
      <c r="E6736" s="8">
        <v>7.7999999999999996E-3</v>
      </c>
      <c r="F6736" s="8">
        <v>0.27129999999999999</v>
      </c>
      <c r="G6736" s="8">
        <v>0.124</v>
      </c>
      <c r="H6736" s="8">
        <v>0.59689999999999999</v>
      </c>
    </row>
    <row r="6737" spans="1:8" x14ac:dyDescent="0.3">
      <c r="A6737" s="22" t="s">
        <v>68</v>
      </c>
      <c r="B6737">
        <v>1</v>
      </c>
      <c r="C6737" t="s">
        <v>64</v>
      </c>
      <c r="D6737">
        <v>130</v>
      </c>
      <c r="H6737" s="8">
        <v>1</v>
      </c>
    </row>
    <row r="6739" spans="1:8" ht="57.6" x14ac:dyDescent="0.3">
      <c r="A6739" s="22" t="s">
        <v>1494</v>
      </c>
    </row>
    <row r="6740" spans="1:8" x14ac:dyDescent="0.3">
      <c r="A6740" s="22" t="s">
        <v>66</v>
      </c>
      <c r="B6740" t="s">
        <v>62</v>
      </c>
      <c r="C6740" t="s">
        <v>57</v>
      </c>
      <c r="D6740" t="s">
        <v>63</v>
      </c>
      <c r="E6740" t="s">
        <v>154</v>
      </c>
      <c r="F6740" t="s">
        <v>410</v>
      </c>
      <c r="G6740" t="s">
        <v>239</v>
      </c>
      <c r="H6740" t="s">
        <v>413</v>
      </c>
    </row>
    <row r="6741" spans="1:8" x14ac:dyDescent="0.3">
      <c r="A6741" s="22" t="s">
        <v>67</v>
      </c>
      <c r="B6741">
        <v>120</v>
      </c>
      <c r="C6741" t="s">
        <v>64</v>
      </c>
      <c r="D6741">
        <v>130</v>
      </c>
      <c r="E6741" s="8">
        <v>8.3000000000000001E-3</v>
      </c>
      <c r="F6741" s="8">
        <v>0.25829999999999997</v>
      </c>
      <c r="G6741" s="8">
        <v>0.125</v>
      </c>
      <c r="H6741" s="8">
        <v>0.60829999999999995</v>
      </c>
    </row>
    <row r="6742" spans="1:8" x14ac:dyDescent="0.3">
      <c r="A6742" s="22" t="s">
        <v>68</v>
      </c>
      <c r="B6742">
        <v>10</v>
      </c>
      <c r="C6742" t="s">
        <v>64</v>
      </c>
      <c r="D6742">
        <v>130</v>
      </c>
      <c r="F6742" s="8">
        <v>0.4</v>
      </c>
      <c r="G6742" s="8">
        <v>0.1</v>
      </c>
      <c r="H6742" s="8">
        <v>0.5</v>
      </c>
    </row>
    <row r="6744" spans="1:8" ht="57.6" x14ac:dyDescent="0.3">
      <c r="A6744" s="22" t="s">
        <v>1495</v>
      </c>
    </row>
    <row r="6745" spans="1:8" x14ac:dyDescent="0.3">
      <c r="A6745" s="22" t="s">
        <v>66</v>
      </c>
      <c r="B6745" t="s">
        <v>62</v>
      </c>
      <c r="C6745" t="s">
        <v>57</v>
      </c>
      <c r="D6745" t="s">
        <v>63</v>
      </c>
      <c r="E6745" t="s">
        <v>154</v>
      </c>
      <c r="F6745" t="s">
        <v>410</v>
      </c>
      <c r="G6745" t="s">
        <v>239</v>
      </c>
      <c r="H6745" t="s">
        <v>413</v>
      </c>
    </row>
    <row r="6746" spans="1:8" x14ac:dyDescent="0.3">
      <c r="A6746" s="22" t="s">
        <v>67</v>
      </c>
      <c r="B6746">
        <v>5</v>
      </c>
      <c r="C6746" t="s">
        <v>64</v>
      </c>
      <c r="D6746">
        <v>130</v>
      </c>
      <c r="F6746" s="8">
        <v>0.4</v>
      </c>
      <c r="H6746" s="8">
        <v>0.6</v>
      </c>
    </row>
    <row r="6747" spans="1:8" x14ac:dyDescent="0.3">
      <c r="A6747" s="22" t="s">
        <v>68</v>
      </c>
      <c r="B6747">
        <v>125</v>
      </c>
      <c r="C6747" t="s">
        <v>64</v>
      </c>
      <c r="D6747">
        <v>130</v>
      </c>
      <c r="E6747" s="8">
        <v>8.0000000000000002E-3</v>
      </c>
      <c r="F6747" s="8">
        <v>0.26400000000000001</v>
      </c>
      <c r="G6747" s="8">
        <v>0.128</v>
      </c>
      <c r="H6747" s="8">
        <v>0.6</v>
      </c>
    </row>
    <row r="6749" spans="1:8" ht="57.6" x14ac:dyDescent="0.3">
      <c r="A6749" s="22" t="s">
        <v>1496</v>
      </c>
    </row>
    <row r="6750" spans="1:8" x14ac:dyDescent="0.3">
      <c r="A6750" s="22" t="s">
        <v>66</v>
      </c>
      <c r="B6750" t="s">
        <v>62</v>
      </c>
      <c r="C6750" t="s">
        <v>57</v>
      </c>
      <c r="D6750" t="s">
        <v>63</v>
      </c>
      <c r="E6750" t="s">
        <v>154</v>
      </c>
      <c r="F6750" t="s">
        <v>410</v>
      </c>
      <c r="G6750" t="s">
        <v>239</v>
      </c>
      <c r="H6750" t="s">
        <v>413</v>
      </c>
    </row>
    <row r="6751" spans="1:8" x14ac:dyDescent="0.3">
      <c r="A6751" s="22" t="s">
        <v>67</v>
      </c>
      <c r="B6751">
        <v>106</v>
      </c>
      <c r="C6751" t="s">
        <v>64</v>
      </c>
      <c r="D6751">
        <v>130</v>
      </c>
      <c r="F6751" s="8">
        <v>0.29249999999999998</v>
      </c>
      <c r="G6751" s="8">
        <v>0.1132</v>
      </c>
      <c r="H6751" s="8">
        <v>0.59430000000000005</v>
      </c>
    </row>
    <row r="6752" spans="1:8" x14ac:dyDescent="0.3">
      <c r="A6752" s="22" t="s">
        <v>68</v>
      </c>
      <c r="B6752">
        <v>24</v>
      </c>
      <c r="C6752" t="s">
        <v>64</v>
      </c>
      <c r="D6752">
        <v>130</v>
      </c>
      <c r="E6752" s="8">
        <v>4.1700000000000001E-2</v>
      </c>
      <c r="F6752" s="8">
        <v>0.16669999999999999</v>
      </c>
      <c r="G6752" s="8">
        <v>0.16669999999999999</v>
      </c>
      <c r="H6752" s="8">
        <v>0.625</v>
      </c>
    </row>
    <row r="6754" spans="1:8" ht="57.6" x14ac:dyDescent="0.3">
      <c r="A6754" s="22" t="s">
        <v>1497</v>
      </c>
    </row>
    <row r="6755" spans="1:8" x14ac:dyDescent="0.3">
      <c r="A6755" s="22" t="s">
        <v>66</v>
      </c>
      <c r="B6755" t="s">
        <v>62</v>
      </c>
      <c r="C6755" t="s">
        <v>57</v>
      </c>
      <c r="D6755" t="s">
        <v>63</v>
      </c>
      <c r="E6755" t="s">
        <v>154</v>
      </c>
      <c r="F6755" t="s">
        <v>410</v>
      </c>
      <c r="G6755" t="s">
        <v>239</v>
      </c>
      <c r="H6755" t="s">
        <v>413</v>
      </c>
    </row>
    <row r="6756" spans="1:8" x14ac:dyDescent="0.3">
      <c r="A6756" s="22" t="s">
        <v>67</v>
      </c>
      <c r="B6756">
        <v>101</v>
      </c>
      <c r="C6756" t="s">
        <v>64</v>
      </c>
      <c r="D6756">
        <v>130</v>
      </c>
      <c r="F6756" s="8">
        <v>0.25740000000000002</v>
      </c>
      <c r="G6756" s="8">
        <v>9.9000000000000005E-2</v>
      </c>
      <c r="H6756" s="8">
        <v>0.64359999999999995</v>
      </c>
    </row>
    <row r="6757" spans="1:8" x14ac:dyDescent="0.3">
      <c r="A6757" s="22" t="s">
        <v>68</v>
      </c>
      <c r="B6757">
        <v>29</v>
      </c>
      <c r="C6757" t="s">
        <v>64</v>
      </c>
      <c r="D6757">
        <v>130</v>
      </c>
      <c r="E6757" s="8">
        <v>3.4500000000000003E-2</v>
      </c>
      <c r="F6757" s="8">
        <v>0.31030000000000002</v>
      </c>
      <c r="G6757" s="8">
        <v>0.2069</v>
      </c>
      <c r="H6757" s="8">
        <v>0.44829999999999998</v>
      </c>
    </row>
    <row r="6759" spans="1:8" ht="72" x14ac:dyDescent="0.3">
      <c r="A6759" s="22" t="s">
        <v>1498</v>
      </c>
    </row>
    <row r="6760" spans="1:8" x14ac:dyDescent="0.3">
      <c r="A6760" s="22" t="s">
        <v>66</v>
      </c>
      <c r="B6760" t="s">
        <v>62</v>
      </c>
      <c r="C6760" t="s">
        <v>57</v>
      </c>
      <c r="D6760" t="s">
        <v>63</v>
      </c>
      <c r="E6760" t="s">
        <v>154</v>
      </c>
      <c r="F6760" t="s">
        <v>410</v>
      </c>
      <c r="G6760" t="s">
        <v>239</v>
      </c>
      <c r="H6760" t="s">
        <v>413</v>
      </c>
    </row>
    <row r="6761" spans="1:8" x14ac:dyDescent="0.3">
      <c r="A6761" s="22" t="s">
        <v>67</v>
      </c>
      <c r="B6761">
        <v>98</v>
      </c>
      <c r="C6761" t="s">
        <v>64</v>
      </c>
      <c r="D6761">
        <v>130</v>
      </c>
      <c r="E6761" s="8">
        <v>1.0200000000000001E-2</v>
      </c>
      <c r="F6761" s="8">
        <v>0.24490000000000001</v>
      </c>
      <c r="G6761" s="8">
        <v>0.13270000000000001</v>
      </c>
      <c r="H6761" s="8">
        <v>0.61219999999999997</v>
      </c>
    </row>
    <row r="6762" spans="1:8" x14ac:dyDescent="0.3">
      <c r="A6762" s="22" t="s">
        <v>68</v>
      </c>
      <c r="B6762">
        <v>32</v>
      </c>
      <c r="C6762" t="s">
        <v>64</v>
      </c>
      <c r="D6762">
        <v>130</v>
      </c>
      <c r="F6762" s="8">
        <v>0.34379999999999999</v>
      </c>
      <c r="G6762" s="8">
        <v>9.3799999999999994E-2</v>
      </c>
      <c r="H6762" s="8">
        <v>0.5625</v>
      </c>
    </row>
    <row r="6764" spans="1:8" ht="72" x14ac:dyDescent="0.3">
      <c r="A6764" s="22" t="s">
        <v>1499</v>
      </c>
    </row>
    <row r="6765" spans="1:8" x14ac:dyDescent="0.3">
      <c r="A6765" s="22" t="s">
        <v>66</v>
      </c>
      <c r="B6765" t="s">
        <v>62</v>
      </c>
      <c r="C6765" t="s">
        <v>57</v>
      </c>
      <c r="D6765" t="s">
        <v>63</v>
      </c>
      <c r="E6765" t="s">
        <v>154</v>
      </c>
      <c r="F6765" t="s">
        <v>410</v>
      </c>
      <c r="G6765" t="s">
        <v>239</v>
      </c>
      <c r="H6765" t="s">
        <v>413</v>
      </c>
    </row>
    <row r="6766" spans="1:8" x14ac:dyDescent="0.3">
      <c r="A6766" s="22" t="s">
        <v>67</v>
      </c>
      <c r="B6766">
        <v>118</v>
      </c>
      <c r="C6766" t="s">
        <v>64</v>
      </c>
      <c r="D6766">
        <v>130</v>
      </c>
      <c r="E6766" s="8">
        <v>8.5000000000000006E-3</v>
      </c>
      <c r="F6766" s="8">
        <v>0.26269999999999999</v>
      </c>
      <c r="G6766" s="8">
        <v>0.12709999999999999</v>
      </c>
      <c r="H6766" s="8">
        <v>0.60170000000000001</v>
      </c>
    </row>
    <row r="6767" spans="1:8" x14ac:dyDescent="0.3">
      <c r="A6767" s="22" t="s">
        <v>68</v>
      </c>
      <c r="B6767">
        <v>12</v>
      </c>
      <c r="C6767" t="s">
        <v>64</v>
      </c>
      <c r="D6767">
        <v>130</v>
      </c>
      <c r="F6767" s="8">
        <v>0.33329999999999999</v>
      </c>
      <c r="G6767" s="8">
        <v>8.3299999999999999E-2</v>
      </c>
      <c r="H6767" s="8">
        <v>0.58330000000000004</v>
      </c>
    </row>
    <row r="6769" spans="1:8" ht="72" x14ac:dyDescent="0.3">
      <c r="A6769" s="22" t="s">
        <v>1500</v>
      </c>
    </row>
    <row r="6770" spans="1:8" x14ac:dyDescent="0.3">
      <c r="A6770" s="22" t="s">
        <v>66</v>
      </c>
      <c r="B6770" t="s">
        <v>62</v>
      </c>
      <c r="C6770" t="s">
        <v>57</v>
      </c>
      <c r="D6770" t="s">
        <v>63</v>
      </c>
      <c r="E6770" t="s">
        <v>154</v>
      </c>
      <c r="F6770" t="s">
        <v>410</v>
      </c>
      <c r="G6770" t="s">
        <v>239</v>
      </c>
      <c r="H6770" t="s">
        <v>413</v>
      </c>
    </row>
    <row r="6771" spans="1:8" x14ac:dyDescent="0.3">
      <c r="A6771" s="22" t="s">
        <v>67</v>
      </c>
      <c r="B6771">
        <v>130</v>
      </c>
      <c r="C6771" t="s">
        <v>64</v>
      </c>
      <c r="D6771">
        <v>130</v>
      </c>
      <c r="E6771" s="8">
        <v>7.7000000000000002E-3</v>
      </c>
      <c r="F6771" s="8">
        <v>0.26919999999999999</v>
      </c>
      <c r="G6771" s="8">
        <v>0.1231</v>
      </c>
      <c r="H6771" s="8">
        <v>0.6</v>
      </c>
    </row>
    <row r="6773" spans="1:8" ht="57.6" x14ac:dyDescent="0.3">
      <c r="A6773" s="22" t="s">
        <v>1501</v>
      </c>
    </row>
    <row r="6774" spans="1:8" x14ac:dyDescent="0.3">
      <c r="A6774" s="22" t="s">
        <v>66</v>
      </c>
      <c r="B6774" t="s">
        <v>62</v>
      </c>
      <c r="C6774" t="s">
        <v>57</v>
      </c>
      <c r="D6774" t="s">
        <v>63</v>
      </c>
      <c r="E6774" t="s">
        <v>154</v>
      </c>
      <c r="F6774" t="s">
        <v>410</v>
      </c>
      <c r="G6774" t="s">
        <v>239</v>
      </c>
      <c r="H6774" t="s">
        <v>413</v>
      </c>
    </row>
    <row r="6775" spans="1:8" x14ac:dyDescent="0.3">
      <c r="A6775" s="22" t="s">
        <v>67</v>
      </c>
      <c r="B6775">
        <v>77</v>
      </c>
      <c r="C6775" t="s">
        <v>64</v>
      </c>
      <c r="D6775">
        <v>130</v>
      </c>
      <c r="F6775" s="8">
        <v>0.25969999999999999</v>
      </c>
      <c r="G6775" s="8">
        <v>0.1429</v>
      </c>
      <c r="H6775" s="8">
        <v>0.59740000000000004</v>
      </c>
    </row>
    <row r="6776" spans="1:8" x14ac:dyDescent="0.3">
      <c r="A6776" s="22" t="s">
        <v>68</v>
      </c>
      <c r="B6776">
        <v>53</v>
      </c>
      <c r="C6776" t="s">
        <v>64</v>
      </c>
      <c r="D6776">
        <v>130</v>
      </c>
      <c r="E6776" s="8">
        <v>1.89E-2</v>
      </c>
      <c r="F6776" s="8">
        <v>0.28299999999999997</v>
      </c>
      <c r="G6776" s="8">
        <v>9.4299999999999995E-2</v>
      </c>
      <c r="H6776" s="8">
        <v>0.6038</v>
      </c>
    </row>
    <row r="6778" spans="1:8" ht="72" x14ac:dyDescent="0.3">
      <c r="A6778" s="22" t="s">
        <v>1502</v>
      </c>
    </row>
    <row r="6779" spans="1:8" x14ac:dyDescent="0.3">
      <c r="A6779" s="22" t="s">
        <v>66</v>
      </c>
      <c r="B6779" t="s">
        <v>62</v>
      </c>
      <c r="C6779" t="s">
        <v>57</v>
      </c>
      <c r="D6779" t="s">
        <v>63</v>
      </c>
      <c r="E6779" t="s">
        <v>154</v>
      </c>
      <c r="F6779" t="s">
        <v>410</v>
      </c>
      <c r="G6779" t="s">
        <v>239</v>
      </c>
      <c r="H6779" t="s">
        <v>413</v>
      </c>
    </row>
    <row r="6780" spans="1:8" x14ac:dyDescent="0.3">
      <c r="A6780" s="22" t="s">
        <v>67</v>
      </c>
      <c r="B6780">
        <v>114</v>
      </c>
      <c r="C6780" t="s">
        <v>64</v>
      </c>
      <c r="D6780">
        <v>130</v>
      </c>
      <c r="E6780" s="8">
        <v>8.8000000000000005E-3</v>
      </c>
      <c r="F6780" s="8">
        <v>0.27189999999999998</v>
      </c>
      <c r="G6780" s="8">
        <v>0.13159999999999999</v>
      </c>
      <c r="H6780" s="8">
        <v>0.5877</v>
      </c>
    </row>
    <row r="6781" spans="1:8" x14ac:dyDescent="0.3">
      <c r="A6781" s="22" t="s">
        <v>68</v>
      </c>
      <c r="B6781">
        <v>16</v>
      </c>
      <c r="C6781" t="s">
        <v>64</v>
      </c>
      <c r="D6781">
        <v>130</v>
      </c>
      <c r="F6781" s="8">
        <v>0.25</v>
      </c>
      <c r="G6781" s="8">
        <v>6.25E-2</v>
      </c>
      <c r="H6781" s="8">
        <v>0.6875</v>
      </c>
    </row>
    <row r="6783" spans="1:8" ht="57.6" x14ac:dyDescent="0.3">
      <c r="A6783" s="27" t="s">
        <v>1503</v>
      </c>
    </row>
    <row r="6784" spans="1:8" x14ac:dyDescent="0.3">
      <c r="A6784" s="22" t="s">
        <v>66</v>
      </c>
      <c r="B6784" t="s">
        <v>62</v>
      </c>
      <c r="C6784" t="s">
        <v>57</v>
      </c>
      <c r="D6784" t="s">
        <v>63</v>
      </c>
      <c r="E6784" t="s">
        <v>154</v>
      </c>
      <c r="F6784" t="s">
        <v>410</v>
      </c>
      <c r="G6784" t="s">
        <v>239</v>
      </c>
      <c r="H6784" t="s">
        <v>413</v>
      </c>
    </row>
    <row r="6785" spans="1:22" x14ac:dyDescent="0.3">
      <c r="A6785" s="22" t="s">
        <v>81</v>
      </c>
      <c r="B6785">
        <v>32</v>
      </c>
      <c r="C6785" t="s">
        <v>64</v>
      </c>
      <c r="D6785">
        <v>130</v>
      </c>
      <c r="E6785" s="8">
        <v>3.1199999999999999E-2</v>
      </c>
      <c r="F6785" s="8">
        <v>0.28120000000000001</v>
      </c>
      <c r="G6785" s="8">
        <v>0.21879999999999999</v>
      </c>
      <c r="H6785" s="8">
        <v>0.46879999999999999</v>
      </c>
    </row>
    <row r="6786" spans="1:22" x14ac:dyDescent="0.3">
      <c r="A6786" s="22" t="s">
        <v>82</v>
      </c>
      <c r="B6786">
        <v>34</v>
      </c>
      <c r="C6786" t="s">
        <v>64</v>
      </c>
      <c r="D6786">
        <v>130</v>
      </c>
      <c r="F6786" s="8">
        <v>0.29409999999999997</v>
      </c>
      <c r="G6786" s="8">
        <v>0.14710000000000001</v>
      </c>
      <c r="H6786" s="8">
        <v>0.55879999999999996</v>
      </c>
    </row>
    <row r="6787" spans="1:22" x14ac:dyDescent="0.3">
      <c r="A6787" s="22" t="s">
        <v>83</v>
      </c>
      <c r="B6787">
        <v>33</v>
      </c>
      <c r="C6787" t="s">
        <v>64</v>
      </c>
      <c r="D6787">
        <v>130</v>
      </c>
      <c r="F6787" s="8">
        <v>0.30299999999999999</v>
      </c>
      <c r="G6787" s="8">
        <v>9.0899999999999995E-2</v>
      </c>
      <c r="H6787" s="8">
        <v>0.60609999999999997</v>
      </c>
    </row>
    <row r="6788" spans="1:22" x14ac:dyDescent="0.3">
      <c r="A6788" s="22" t="s">
        <v>84</v>
      </c>
      <c r="B6788">
        <v>31</v>
      </c>
      <c r="C6788" t="s">
        <v>64</v>
      </c>
      <c r="D6788">
        <v>130</v>
      </c>
      <c r="F6788" s="8">
        <v>0.19350000000000001</v>
      </c>
      <c r="G6788" s="8">
        <v>3.2300000000000002E-2</v>
      </c>
      <c r="H6788" s="8">
        <v>0.7742</v>
      </c>
    </row>
    <row r="6790" spans="1:22" ht="43.2" x14ac:dyDescent="0.3">
      <c r="A6790" s="27" t="s">
        <v>1490</v>
      </c>
    </row>
    <row r="6791" spans="1:22" x14ac:dyDescent="0.3">
      <c r="A6791" s="22" t="s">
        <v>62</v>
      </c>
      <c r="B6791" t="s">
        <v>57</v>
      </c>
      <c r="C6791" t="s">
        <v>63</v>
      </c>
      <c r="D6791" t="s">
        <v>1504</v>
      </c>
      <c r="E6791" t="s">
        <v>1505</v>
      </c>
      <c r="F6791" t="s">
        <v>1506</v>
      </c>
      <c r="G6791" t="s">
        <v>1507</v>
      </c>
      <c r="H6791" t="s">
        <v>1508</v>
      </c>
      <c r="I6791" t="s">
        <v>1509</v>
      </c>
      <c r="J6791" t="s">
        <v>1510</v>
      </c>
      <c r="K6791" t="s">
        <v>1511</v>
      </c>
      <c r="L6791" t="s">
        <v>1512</v>
      </c>
      <c r="M6791" t="s">
        <v>1513</v>
      </c>
      <c r="N6791" t="s">
        <v>1514</v>
      </c>
      <c r="O6791" t="s">
        <v>1515</v>
      </c>
      <c r="P6791" t="s">
        <v>395</v>
      </c>
      <c r="Q6791" t="s">
        <v>1516</v>
      </c>
      <c r="R6791" t="s">
        <v>239</v>
      </c>
      <c r="S6791" t="s">
        <v>1517</v>
      </c>
      <c r="T6791" t="s">
        <v>1518</v>
      </c>
      <c r="U6791" t="s">
        <v>1519</v>
      </c>
    </row>
    <row r="6792" spans="1:22" x14ac:dyDescent="0.3">
      <c r="A6792" s="22">
        <v>77</v>
      </c>
      <c r="B6792" t="s">
        <v>64</v>
      </c>
      <c r="C6792">
        <v>77</v>
      </c>
      <c r="D6792" s="8">
        <v>1.2999999999999999E-2</v>
      </c>
      <c r="E6792" s="8">
        <v>6.4899999999999999E-2</v>
      </c>
      <c r="F6792" s="8">
        <v>0.1169</v>
      </c>
      <c r="G6792" s="8">
        <v>0.29870000000000002</v>
      </c>
      <c r="H6792" s="8">
        <v>0.20780000000000001</v>
      </c>
      <c r="I6792" s="8">
        <v>0.1429</v>
      </c>
      <c r="J6792" s="8">
        <v>0.25969999999999999</v>
      </c>
      <c r="K6792" s="8">
        <v>0.20780000000000001</v>
      </c>
      <c r="L6792" s="8">
        <v>1.2999999999999999E-2</v>
      </c>
      <c r="M6792" s="8">
        <v>9.0899999999999995E-2</v>
      </c>
      <c r="N6792" s="8">
        <v>0.50649999999999995</v>
      </c>
      <c r="O6792" s="8">
        <v>2.5999999999999999E-2</v>
      </c>
      <c r="P6792" s="8">
        <v>0.12989999999999999</v>
      </c>
      <c r="Q6792" s="8">
        <v>0.23380000000000001</v>
      </c>
      <c r="R6792" s="8">
        <v>1.2999999999999999E-2</v>
      </c>
      <c r="S6792" s="8">
        <v>0.32469999999999999</v>
      </c>
      <c r="T6792" s="8">
        <v>3.9E-2</v>
      </c>
      <c r="U6792" s="8">
        <v>2.5999999999999999E-2</v>
      </c>
    </row>
    <row r="6794" spans="1:22" ht="57.6" x14ac:dyDescent="0.3">
      <c r="A6794" s="22" t="s">
        <v>1491</v>
      </c>
    </row>
    <row r="6795" spans="1:22" x14ac:dyDescent="0.3">
      <c r="A6795" s="22" t="s">
        <v>66</v>
      </c>
      <c r="B6795" t="s">
        <v>62</v>
      </c>
      <c r="C6795" t="s">
        <v>57</v>
      </c>
      <c r="D6795" t="s">
        <v>63</v>
      </c>
      <c r="E6795" t="s">
        <v>1504</v>
      </c>
      <c r="F6795" t="s">
        <v>1505</v>
      </c>
      <c r="G6795" t="s">
        <v>1506</v>
      </c>
      <c r="H6795" t="s">
        <v>1507</v>
      </c>
      <c r="I6795" t="s">
        <v>1508</v>
      </c>
      <c r="J6795" t="s">
        <v>1509</v>
      </c>
      <c r="K6795" t="s">
        <v>1510</v>
      </c>
      <c r="L6795" t="s">
        <v>1511</v>
      </c>
      <c r="M6795" t="s">
        <v>1512</v>
      </c>
      <c r="N6795" t="s">
        <v>1513</v>
      </c>
      <c r="O6795" t="s">
        <v>1514</v>
      </c>
      <c r="P6795" t="s">
        <v>1515</v>
      </c>
      <c r="Q6795" t="s">
        <v>395</v>
      </c>
      <c r="R6795" t="s">
        <v>1516</v>
      </c>
      <c r="S6795" t="s">
        <v>239</v>
      </c>
      <c r="T6795" t="s">
        <v>1517</v>
      </c>
      <c r="U6795" t="s">
        <v>1518</v>
      </c>
      <c r="V6795" t="s">
        <v>1519</v>
      </c>
    </row>
    <row r="6796" spans="1:22" x14ac:dyDescent="0.3">
      <c r="A6796" s="22" t="s">
        <v>67</v>
      </c>
      <c r="B6796">
        <v>75</v>
      </c>
      <c r="C6796" t="s">
        <v>64</v>
      </c>
      <c r="D6796">
        <v>77</v>
      </c>
      <c r="E6796" s="8">
        <v>1.3299999999999999E-2</v>
      </c>
      <c r="F6796" s="8">
        <v>6.6699999999999995E-2</v>
      </c>
      <c r="G6796" s="8">
        <v>0.12</v>
      </c>
      <c r="H6796" s="8">
        <v>0.30669999999999997</v>
      </c>
      <c r="I6796" s="8">
        <v>0.2</v>
      </c>
      <c r="J6796" s="8">
        <v>0.1467</v>
      </c>
      <c r="K6796" s="8">
        <v>0.26669999999999999</v>
      </c>
      <c r="L6796" s="8">
        <v>0.21329999999999999</v>
      </c>
      <c r="M6796" s="8">
        <v>1.3299999999999999E-2</v>
      </c>
      <c r="N6796" s="8">
        <v>9.3299999999999994E-2</v>
      </c>
      <c r="O6796" s="8">
        <v>0.52</v>
      </c>
      <c r="P6796" s="8">
        <v>2.6700000000000002E-2</v>
      </c>
      <c r="Q6796" s="8">
        <v>0.12</v>
      </c>
      <c r="R6796" s="8">
        <v>0.24</v>
      </c>
      <c r="S6796" s="8">
        <v>1.3299999999999999E-2</v>
      </c>
      <c r="T6796" s="8">
        <v>0.33329999999999999</v>
      </c>
      <c r="U6796" s="8">
        <v>0.04</v>
      </c>
      <c r="V6796" s="8">
        <v>2.6700000000000002E-2</v>
      </c>
    </row>
    <row r="6797" spans="1:22" x14ac:dyDescent="0.3">
      <c r="A6797" s="22" t="s">
        <v>68</v>
      </c>
      <c r="B6797">
        <v>2</v>
      </c>
      <c r="C6797" t="s">
        <v>64</v>
      </c>
      <c r="D6797">
        <v>77</v>
      </c>
      <c r="I6797" s="8">
        <v>0.5</v>
      </c>
      <c r="Q6797" s="8">
        <v>0.5</v>
      </c>
    </row>
    <row r="6799" spans="1:22" x14ac:dyDescent="0.3">
      <c r="A6799"/>
    </row>
    <row r="6800" spans="1:22" x14ac:dyDescent="0.3">
      <c r="A6800"/>
    </row>
    <row r="6801" spans="1:22" x14ac:dyDescent="0.3">
      <c r="A6801"/>
    </row>
    <row r="6802" spans="1:22" x14ac:dyDescent="0.3">
      <c r="A6802"/>
    </row>
    <row r="6803" spans="1:22" ht="57.6" x14ac:dyDescent="0.3">
      <c r="A6803" s="22" t="s">
        <v>1492</v>
      </c>
    </row>
    <row r="6804" spans="1:22" x14ac:dyDescent="0.3">
      <c r="A6804" s="22" t="s">
        <v>66</v>
      </c>
      <c r="B6804" t="s">
        <v>62</v>
      </c>
      <c r="C6804" t="s">
        <v>57</v>
      </c>
      <c r="D6804" t="s">
        <v>63</v>
      </c>
      <c r="E6804" t="s">
        <v>1504</v>
      </c>
      <c r="F6804" t="s">
        <v>1505</v>
      </c>
      <c r="G6804" t="s">
        <v>1506</v>
      </c>
      <c r="H6804" t="s">
        <v>1507</v>
      </c>
      <c r="I6804" t="s">
        <v>1508</v>
      </c>
      <c r="J6804" t="s">
        <v>1509</v>
      </c>
      <c r="K6804" t="s">
        <v>1510</v>
      </c>
      <c r="L6804" t="s">
        <v>1511</v>
      </c>
      <c r="M6804" t="s">
        <v>1512</v>
      </c>
      <c r="N6804" t="s">
        <v>1513</v>
      </c>
      <c r="O6804" t="s">
        <v>1514</v>
      </c>
      <c r="P6804" t="s">
        <v>1515</v>
      </c>
      <c r="Q6804" t="s">
        <v>395</v>
      </c>
      <c r="R6804" t="s">
        <v>1516</v>
      </c>
      <c r="S6804" t="s">
        <v>239</v>
      </c>
      <c r="T6804" t="s">
        <v>1517</v>
      </c>
      <c r="U6804" t="s">
        <v>1518</v>
      </c>
      <c r="V6804" t="s">
        <v>1519</v>
      </c>
    </row>
    <row r="6805" spans="1:22" x14ac:dyDescent="0.3">
      <c r="A6805" s="22" t="s">
        <v>67</v>
      </c>
      <c r="B6805">
        <v>75</v>
      </c>
      <c r="C6805" t="s">
        <v>64</v>
      </c>
      <c r="D6805">
        <v>77</v>
      </c>
      <c r="E6805" s="8">
        <v>1.3299999999999999E-2</v>
      </c>
      <c r="F6805" s="8">
        <v>6.6699999999999995E-2</v>
      </c>
      <c r="G6805" s="8">
        <v>0.12</v>
      </c>
      <c r="H6805" s="8">
        <v>0.30669999999999997</v>
      </c>
      <c r="I6805" s="8">
        <v>0.21329999999999999</v>
      </c>
      <c r="J6805" s="8">
        <v>0.1467</v>
      </c>
      <c r="K6805" s="8">
        <v>0.25330000000000003</v>
      </c>
      <c r="L6805" s="8">
        <v>0.21329999999999999</v>
      </c>
      <c r="M6805" s="8">
        <v>1.3299999999999999E-2</v>
      </c>
      <c r="N6805" s="8">
        <v>9.3299999999999994E-2</v>
      </c>
      <c r="O6805" s="8">
        <v>0.52</v>
      </c>
      <c r="P6805" s="8">
        <v>2.6700000000000002E-2</v>
      </c>
      <c r="Q6805" s="8">
        <v>0.12</v>
      </c>
      <c r="R6805" s="8">
        <v>0.22670000000000001</v>
      </c>
      <c r="S6805" s="8">
        <v>1.3299999999999999E-2</v>
      </c>
      <c r="T6805" s="8">
        <v>0.33329999999999999</v>
      </c>
      <c r="U6805" s="8">
        <v>0.04</v>
      </c>
      <c r="V6805" s="8">
        <v>2.6700000000000002E-2</v>
      </c>
    </row>
    <row r="6806" spans="1:22" x14ac:dyDescent="0.3">
      <c r="A6806" s="22" t="s">
        <v>68</v>
      </c>
      <c r="B6806">
        <v>2</v>
      </c>
      <c r="C6806" t="s">
        <v>64</v>
      </c>
      <c r="D6806">
        <v>77</v>
      </c>
      <c r="K6806" s="8">
        <v>0.5</v>
      </c>
      <c r="Q6806" s="8">
        <v>0.5</v>
      </c>
      <c r="R6806" s="8">
        <v>0.5</v>
      </c>
    </row>
    <row r="6808" spans="1:22" ht="57.6" x14ac:dyDescent="0.3">
      <c r="A6808" s="22" t="s">
        <v>1493</v>
      </c>
    </row>
    <row r="6809" spans="1:22" x14ac:dyDescent="0.3">
      <c r="A6809" s="22" t="s">
        <v>66</v>
      </c>
      <c r="B6809" t="s">
        <v>62</v>
      </c>
      <c r="C6809" t="s">
        <v>57</v>
      </c>
      <c r="D6809" t="s">
        <v>63</v>
      </c>
      <c r="E6809" t="s">
        <v>1504</v>
      </c>
      <c r="F6809" t="s">
        <v>1505</v>
      </c>
      <c r="G6809" t="s">
        <v>1506</v>
      </c>
      <c r="H6809" t="s">
        <v>1507</v>
      </c>
      <c r="I6809" t="s">
        <v>1508</v>
      </c>
      <c r="J6809" t="s">
        <v>1509</v>
      </c>
      <c r="K6809" t="s">
        <v>1510</v>
      </c>
      <c r="L6809" t="s">
        <v>1511</v>
      </c>
      <c r="M6809" t="s">
        <v>1512</v>
      </c>
      <c r="N6809" t="s">
        <v>1513</v>
      </c>
      <c r="O6809" t="s">
        <v>1514</v>
      </c>
      <c r="P6809" t="s">
        <v>1515</v>
      </c>
      <c r="Q6809" t="s">
        <v>395</v>
      </c>
      <c r="R6809" t="s">
        <v>1516</v>
      </c>
      <c r="S6809" t="s">
        <v>239</v>
      </c>
      <c r="T6809" t="s">
        <v>1517</v>
      </c>
      <c r="U6809" t="s">
        <v>1518</v>
      </c>
      <c r="V6809" t="s">
        <v>1519</v>
      </c>
    </row>
    <row r="6810" spans="1:22" x14ac:dyDescent="0.3">
      <c r="A6810" s="22" t="s">
        <v>67</v>
      </c>
      <c r="B6810">
        <v>76</v>
      </c>
      <c r="C6810" t="s">
        <v>64</v>
      </c>
      <c r="D6810">
        <v>77</v>
      </c>
      <c r="E6810" s="8">
        <v>1.32E-2</v>
      </c>
      <c r="F6810" s="8">
        <v>6.5799999999999997E-2</v>
      </c>
      <c r="G6810" s="8">
        <v>0.1053</v>
      </c>
      <c r="H6810" s="8">
        <v>0.28949999999999998</v>
      </c>
      <c r="I6810" s="8">
        <v>0.21049999999999999</v>
      </c>
      <c r="J6810" s="8">
        <v>0.13159999999999999</v>
      </c>
      <c r="K6810" s="8">
        <v>0.26319999999999999</v>
      </c>
      <c r="L6810" s="8">
        <v>0.19739999999999999</v>
      </c>
      <c r="M6810" s="8">
        <v>1.32E-2</v>
      </c>
      <c r="N6810" s="8">
        <v>9.2100000000000001E-2</v>
      </c>
      <c r="O6810" s="8">
        <v>0.5</v>
      </c>
      <c r="P6810" s="8">
        <v>2.63E-2</v>
      </c>
      <c r="Q6810" s="8">
        <v>0.13159999999999999</v>
      </c>
      <c r="R6810" s="8">
        <v>0.23680000000000001</v>
      </c>
      <c r="S6810" s="8">
        <v>1.32E-2</v>
      </c>
      <c r="T6810" s="8">
        <v>0.32890000000000003</v>
      </c>
      <c r="U6810" s="8">
        <v>3.95E-2</v>
      </c>
      <c r="V6810" s="8">
        <v>2.63E-2</v>
      </c>
    </row>
    <row r="6811" spans="1:22" x14ac:dyDescent="0.3">
      <c r="A6811" s="22" t="s">
        <v>68</v>
      </c>
      <c r="B6811">
        <v>1</v>
      </c>
      <c r="C6811" t="s">
        <v>64</v>
      </c>
      <c r="D6811">
        <v>77</v>
      </c>
      <c r="G6811" s="8">
        <v>1</v>
      </c>
      <c r="H6811" s="8">
        <v>1</v>
      </c>
      <c r="J6811" s="8">
        <v>1</v>
      </c>
      <c r="L6811" s="8">
        <v>1</v>
      </c>
      <c r="O6811" s="8">
        <v>1</v>
      </c>
    </row>
    <row r="6813" spans="1:22" ht="57.6" x14ac:dyDescent="0.3">
      <c r="A6813" s="22" t="s">
        <v>1494</v>
      </c>
    </row>
    <row r="6814" spans="1:22" x14ac:dyDescent="0.3">
      <c r="A6814" s="22" t="s">
        <v>66</v>
      </c>
      <c r="B6814" t="s">
        <v>62</v>
      </c>
      <c r="C6814" t="s">
        <v>57</v>
      </c>
      <c r="D6814" t="s">
        <v>63</v>
      </c>
      <c r="E6814" t="s">
        <v>1504</v>
      </c>
      <c r="F6814" t="s">
        <v>1505</v>
      </c>
      <c r="G6814" t="s">
        <v>1506</v>
      </c>
      <c r="H6814" t="s">
        <v>1507</v>
      </c>
      <c r="I6814" t="s">
        <v>1508</v>
      </c>
      <c r="J6814" t="s">
        <v>1509</v>
      </c>
      <c r="K6814" t="s">
        <v>1510</v>
      </c>
      <c r="L6814" t="s">
        <v>1511</v>
      </c>
      <c r="M6814" t="s">
        <v>1512</v>
      </c>
      <c r="N6814" t="s">
        <v>1513</v>
      </c>
      <c r="O6814" t="s">
        <v>1514</v>
      </c>
      <c r="P6814" t="s">
        <v>1515</v>
      </c>
      <c r="Q6814" t="s">
        <v>395</v>
      </c>
      <c r="R6814" t="s">
        <v>1516</v>
      </c>
      <c r="S6814" t="s">
        <v>239</v>
      </c>
      <c r="T6814" t="s">
        <v>1517</v>
      </c>
      <c r="U6814" t="s">
        <v>1518</v>
      </c>
      <c r="V6814" t="s">
        <v>1519</v>
      </c>
    </row>
    <row r="6815" spans="1:22" x14ac:dyDescent="0.3">
      <c r="A6815" s="22" t="s">
        <v>67</v>
      </c>
      <c r="B6815">
        <v>72</v>
      </c>
      <c r="C6815" t="s">
        <v>64</v>
      </c>
      <c r="D6815">
        <v>77</v>
      </c>
      <c r="E6815" s="8">
        <v>1.3899999999999999E-2</v>
      </c>
      <c r="F6815" s="8">
        <v>6.9400000000000003E-2</v>
      </c>
      <c r="G6815" s="8">
        <v>0.1111</v>
      </c>
      <c r="H6815" s="8">
        <v>0.29170000000000001</v>
      </c>
      <c r="I6815" s="8">
        <v>0.22220000000000001</v>
      </c>
      <c r="J6815" s="8">
        <v>0.15279999999999999</v>
      </c>
      <c r="K6815" s="8">
        <v>0.2361</v>
      </c>
      <c r="L6815" s="8">
        <v>0.20830000000000001</v>
      </c>
      <c r="M6815" s="8">
        <v>1.3899999999999999E-2</v>
      </c>
      <c r="N6815" s="8">
        <v>9.7199999999999995E-2</v>
      </c>
      <c r="O6815" s="8">
        <v>0.51390000000000002</v>
      </c>
      <c r="P6815" s="8">
        <v>2.7799999999999998E-2</v>
      </c>
      <c r="Q6815" s="8">
        <v>0.1389</v>
      </c>
      <c r="R6815" s="8">
        <v>0.25</v>
      </c>
      <c r="S6815" s="8">
        <v>1.3899999999999999E-2</v>
      </c>
      <c r="T6815" s="8">
        <v>0.33329999999999999</v>
      </c>
      <c r="U6815" s="8">
        <v>4.1700000000000001E-2</v>
      </c>
      <c r="V6815" s="8">
        <v>2.7799999999999998E-2</v>
      </c>
    </row>
    <row r="6816" spans="1:22" x14ac:dyDescent="0.3">
      <c r="A6816" s="22" t="s">
        <v>68</v>
      </c>
      <c r="B6816">
        <v>5</v>
      </c>
      <c r="C6816" t="s">
        <v>64</v>
      </c>
      <c r="D6816">
        <v>77</v>
      </c>
      <c r="G6816" s="8">
        <v>0.2</v>
      </c>
      <c r="H6816" s="8">
        <v>0.4</v>
      </c>
      <c r="K6816" s="8">
        <v>0.6</v>
      </c>
      <c r="L6816" s="8">
        <v>0.2</v>
      </c>
      <c r="O6816" s="8">
        <v>0.4</v>
      </c>
      <c r="T6816" s="8">
        <v>0.2</v>
      </c>
    </row>
    <row r="6818" spans="1:22" ht="57.6" x14ac:dyDescent="0.3">
      <c r="A6818" s="22" t="s">
        <v>1495</v>
      </c>
    </row>
    <row r="6819" spans="1:22" x14ac:dyDescent="0.3">
      <c r="A6819" s="22" t="s">
        <v>66</v>
      </c>
      <c r="B6819" t="s">
        <v>62</v>
      </c>
      <c r="C6819" t="s">
        <v>57</v>
      </c>
      <c r="D6819" t="s">
        <v>63</v>
      </c>
      <c r="E6819" t="s">
        <v>1504</v>
      </c>
      <c r="F6819" t="s">
        <v>1505</v>
      </c>
      <c r="G6819" t="s">
        <v>1506</v>
      </c>
      <c r="H6819" t="s">
        <v>1507</v>
      </c>
      <c r="I6819" t="s">
        <v>1508</v>
      </c>
      <c r="J6819" t="s">
        <v>1509</v>
      </c>
      <c r="K6819" t="s">
        <v>1510</v>
      </c>
      <c r="L6819" t="s">
        <v>1511</v>
      </c>
      <c r="M6819" t="s">
        <v>1512</v>
      </c>
      <c r="N6819" t="s">
        <v>1513</v>
      </c>
      <c r="O6819" t="s">
        <v>1514</v>
      </c>
      <c r="P6819" t="s">
        <v>1515</v>
      </c>
      <c r="Q6819" t="s">
        <v>395</v>
      </c>
      <c r="R6819" t="s">
        <v>1516</v>
      </c>
      <c r="S6819" t="s">
        <v>239</v>
      </c>
      <c r="T6819" t="s">
        <v>1517</v>
      </c>
      <c r="U6819" t="s">
        <v>1518</v>
      </c>
      <c r="V6819" t="s">
        <v>1519</v>
      </c>
    </row>
    <row r="6820" spans="1:22" x14ac:dyDescent="0.3">
      <c r="A6820" s="22" t="s">
        <v>67</v>
      </c>
      <c r="B6820">
        <v>3</v>
      </c>
      <c r="C6820" t="s">
        <v>64</v>
      </c>
      <c r="D6820">
        <v>77</v>
      </c>
      <c r="H6820" s="8">
        <v>0.33329999999999999</v>
      </c>
      <c r="K6820" s="8">
        <v>0.33329999999999999</v>
      </c>
      <c r="L6820" s="8">
        <v>0.33329999999999999</v>
      </c>
      <c r="N6820" s="8">
        <v>0.33329999999999999</v>
      </c>
      <c r="O6820" s="8">
        <v>0.33329999999999999</v>
      </c>
      <c r="R6820" s="8">
        <v>0.33329999999999999</v>
      </c>
      <c r="T6820" s="8">
        <v>0.33329999999999999</v>
      </c>
    </row>
    <row r="6821" spans="1:22" x14ac:dyDescent="0.3">
      <c r="A6821" s="22" t="s">
        <v>68</v>
      </c>
      <c r="B6821">
        <v>74</v>
      </c>
      <c r="C6821" t="s">
        <v>64</v>
      </c>
      <c r="D6821">
        <v>77</v>
      </c>
      <c r="E6821" s="8">
        <v>1.35E-2</v>
      </c>
      <c r="F6821" s="8">
        <v>6.7599999999999993E-2</v>
      </c>
      <c r="G6821" s="8">
        <v>0.1216</v>
      </c>
      <c r="H6821" s="8">
        <v>0.29730000000000001</v>
      </c>
      <c r="I6821" s="8">
        <v>0.2162</v>
      </c>
      <c r="J6821" s="8">
        <v>0.14860000000000001</v>
      </c>
      <c r="K6821" s="8">
        <v>0.25679999999999997</v>
      </c>
      <c r="L6821" s="8">
        <v>0.20269999999999999</v>
      </c>
      <c r="M6821" s="8">
        <v>1.35E-2</v>
      </c>
      <c r="N6821" s="8">
        <v>8.1100000000000005E-2</v>
      </c>
      <c r="O6821" s="8">
        <v>0.51349999999999996</v>
      </c>
      <c r="P6821" s="8">
        <v>2.7E-2</v>
      </c>
      <c r="Q6821" s="8">
        <v>0.1351</v>
      </c>
      <c r="R6821" s="8">
        <v>0.22969999999999999</v>
      </c>
      <c r="S6821" s="8">
        <v>1.35E-2</v>
      </c>
      <c r="T6821" s="8">
        <v>0.32429999999999998</v>
      </c>
      <c r="U6821" s="8">
        <v>4.0500000000000001E-2</v>
      </c>
      <c r="V6821" s="8">
        <v>2.7E-2</v>
      </c>
    </row>
    <row r="6823" spans="1:22" ht="57.6" x14ac:dyDescent="0.3">
      <c r="A6823" s="22" t="s">
        <v>1496</v>
      </c>
    </row>
    <row r="6824" spans="1:22" x14ac:dyDescent="0.3">
      <c r="A6824" s="22" t="s">
        <v>66</v>
      </c>
      <c r="B6824" t="s">
        <v>62</v>
      </c>
      <c r="C6824" t="s">
        <v>57</v>
      </c>
      <c r="D6824" t="s">
        <v>63</v>
      </c>
      <c r="E6824" t="s">
        <v>1504</v>
      </c>
      <c r="F6824" t="s">
        <v>1505</v>
      </c>
      <c r="G6824" t="s">
        <v>1506</v>
      </c>
      <c r="H6824" t="s">
        <v>1507</v>
      </c>
      <c r="I6824" t="s">
        <v>1508</v>
      </c>
      <c r="J6824" t="s">
        <v>1509</v>
      </c>
      <c r="K6824" t="s">
        <v>1510</v>
      </c>
      <c r="L6824" t="s">
        <v>1511</v>
      </c>
      <c r="M6824" t="s">
        <v>1512</v>
      </c>
      <c r="N6824" t="s">
        <v>1513</v>
      </c>
      <c r="O6824" t="s">
        <v>1514</v>
      </c>
      <c r="P6824" t="s">
        <v>1515</v>
      </c>
      <c r="Q6824" t="s">
        <v>395</v>
      </c>
      <c r="R6824" t="s">
        <v>1516</v>
      </c>
      <c r="S6824" t="s">
        <v>239</v>
      </c>
      <c r="T6824" t="s">
        <v>1517</v>
      </c>
      <c r="U6824" t="s">
        <v>1518</v>
      </c>
      <c r="V6824" t="s">
        <v>1519</v>
      </c>
    </row>
    <row r="6825" spans="1:22" x14ac:dyDescent="0.3">
      <c r="A6825" s="22" t="s">
        <v>67</v>
      </c>
      <c r="B6825">
        <v>62</v>
      </c>
      <c r="C6825" t="s">
        <v>64</v>
      </c>
      <c r="D6825">
        <v>77</v>
      </c>
      <c r="E6825" s="8">
        <v>1.61E-2</v>
      </c>
      <c r="F6825" s="8">
        <v>6.4500000000000002E-2</v>
      </c>
      <c r="G6825" s="8">
        <v>0.129</v>
      </c>
      <c r="H6825" s="8">
        <v>0.2903</v>
      </c>
      <c r="I6825" s="8">
        <v>0.1613</v>
      </c>
      <c r="J6825" s="8">
        <v>0.1613</v>
      </c>
      <c r="K6825" s="8">
        <v>0.2742</v>
      </c>
      <c r="L6825" s="8">
        <v>0.2581</v>
      </c>
      <c r="M6825" s="8">
        <v>1.61E-2</v>
      </c>
      <c r="N6825" s="8">
        <v>0.1129</v>
      </c>
      <c r="O6825" s="8">
        <v>0.5323</v>
      </c>
      <c r="P6825" s="8">
        <v>1.61E-2</v>
      </c>
      <c r="Q6825" s="8">
        <v>0.1452</v>
      </c>
      <c r="R6825" s="8">
        <v>0.2258</v>
      </c>
      <c r="T6825" s="8">
        <v>0.3387</v>
      </c>
      <c r="U6825" s="8">
        <v>3.2300000000000002E-2</v>
      </c>
      <c r="V6825" s="8">
        <v>1.61E-2</v>
      </c>
    </row>
    <row r="6826" spans="1:22" x14ac:dyDescent="0.3">
      <c r="A6826" s="22" t="s">
        <v>68</v>
      </c>
      <c r="B6826">
        <v>15</v>
      </c>
      <c r="C6826" t="s">
        <v>64</v>
      </c>
      <c r="D6826">
        <v>77</v>
      </c>
      <c r="F6826" s="8">
        <v>6.6699999999999995E-2</v>
      </c>
      <c r="G6826" s="8">
        <v>6.6699999999999995E-2</v>
      </c>
      <c r="H6826" s="8">
        <v>0.33329999999999999</v>
      </c>
      <c r="I6826" s="8">
        <v>0.4</v>
      </c>
      <c r="J6826" s="8">
        <v>6.6699999999999995E-2</v>
      </c>
      <c r="K6826" s="8">
        <v>0.2</v>
      </c>
      <c r="O6826" s="8">
        <v>0.4</v>
      </c>
      <c r="P6826" s="8">
        <v>6.6699999999999995E-2</v>
      </c>
      <c r="Q6826" s="8">
        <v>6.6699999999999995E-2</v>
      </c>
      <c r="R6826" s="8">
        <v>0.26669999999999999</v>
      </c>
      <c r="S6826" s="8">
        <v>6.6699999999999995E-2</v>
      </c>
      <c r="T6826" s="8">
        <v>0.26669999999999999</v>
      </c>
      <c r="U6826" s="8">
        <v>6.6699999999999995E-2</v>
      </c>
      <c r="V6826" s="8">
        <v>6.6699999999999995E-2</v>
      </c>
    </row>
    <row r="6828" spans="1:22" ht="57.6" x14ac:dyDescent="0.3">
      <c r="A6828" s="22" t="s">
        <v>1497</v>
      </c>
    </row>
    <row r="6829" spans="1:22" x14ac:dyDescent="0.3">
      <c r="A6829" s="22" t="s">
        <v>66</v>
      </c>
      <c r="B6829" t="s">
        <v>62</v>
      </c>
      <c r="C6829" t="s">
        <v>57</v>
      </c>
      <c r="D6829" t="s">
        <v>63</v>
      </c>
      <c r="E6829" t="s">
        <v>1504</v>
      </c>
      <c r="F6829" t="s">
        <v>1505</v>
      </c>
      <c r="G6829" t="s">
        <v>1506</v>
      </c>
      <c r="H6829" t="s">
        <v>1507</v>
      </c>
      <c r="I6829" t="s">
        <v>1508</v>
      </c>
      <c r="J6829" t="s">
        <v>1509</v>
      </c>
      <c r="K6829" t="s">
        <v>1510</v>
      </c>
      <c r="L6829" t="s">
        <v>1511</v>
      </c>
      <c r="M6829" t="s">
        <v>1512</v>
      </c>
      <c r="N6829" t="s">
        <v>1513</v>
      </c>
      <c r="O6829" t="s">
        <v>1514</v>
      </c>
      <c r="P6829" t="s">
        <v>1515</v>
      </c>
      <c r="Q6829" t="s">
        <v>395</v>
      </c>
      <c r="R6829" t="s">
        <v>1516</v>
      </c>
      <c r="S6829" t="s">
        <v>239</v>
      </c>
      <c r="T6829" t="s">
        <v>1517</v>
      </c>
      <c r="U6829" t="s">
        <v>1518</v>
      </c>
      <c r="V6829" t="s">
        <v>1519</v>
      </c>
    </row>
    <row r="6830" spans="1:22" x14ac:dyDescent="0.3">
      <c r="A6830" s="22" t="s">
        <v>67</v>
      </c>
      <c r="B6830">
        <v>64</v>
      </c>
      <c r="C6830" t="s">
        <v>64</v>
      </c>
      <c r="D6830">
        <v>77</v>
      </c>
      <c r="E6830" s="8">
        <v>1.5599999999999999E-2</v>
      </c>
      <c r="F6830" s="8">
        <v>6.25E-2</v>
      </c>
      <c r="G6830" s="8">
        <v>0.1094</v>
      </c>
      <c r="H6830" s="8">
        <v>0.2656</v>
      </c>
      <c r="I6830" s="8">
        <v>0.25</v>
      </c>
      <c r="J6830" s="8">
        <v>0.15620000000000001</v>
      </c>
      <c r="K6830" s="8">
        <v>0.21879999999999999</v>
      </c>
      <c r="L6830" s="8">
        <v>0.2031</v>
      </c>
      <c r="M6830" s="8">
        <v>1.5599999999999999E-2</v>
      </c>
      <c r="N6830" s="8">
        <v>7.8100000000000003E-2</v>
      </c>
      <c r="O6830" s="8">
        <v>0.54690000000000005</v>
      </c>
      <c r="P6830" s="8">
        <v>3.1199999999999999E-2</v>
      </c>
      <c r="Q6830" s="8">
        <v>0.1406</v>
      </c>
      <c r="R6830" s="8">
        <v>0.25</v>
      </c>
      <c r="S6830" s="8">
        <v>1.5599999999999999E-2</v>
      </c>
      <c r="T6830" s="8">
        <v>0.34379999999999999</v>
      </c>
      <c r="U6830" s="8">
        <v>1.5599999999999999E-2</v>
      </c>
      <c r="V6830" s="8">
        <v>3.1199999999999999E-2</v>
      </c>
    </row>
    <row r="6831" spans="1:22" x14ac:dyDescent="0.3">
      <c r="A6831" s="22" t="s">
        <v>68</v>
      </c>
      <c r="B6831">
        <v>13</v>
      </c>
      <c r="C6831" t="s">
        <v>64</v>
      </c>
      <c r="D6831">
        <v>77</v>
      </c>
      <c r="F6831" s="8">
        <v>7.6899999999999996E-2</v>
      </c>
      <c r="G6831" s="8">
        <v>0.15379999999999999</v>
      </c>
      <c r="H6831" s="8">
        <v>0.46150000000000002</v>
      </c>
      <c r="J6831" s="8">
        <v>7.6899999999999996E-2</v>
      </c>
      <c r="K6831" s="8">
        <v>0.46150000000000002</v>
      </c>
      <c r="L6831" s="8">
        <v>0.23080000000000001</v>
      </c>
      <c r="N6831" s="8">
        <v>0.15379999999999999</v>
      </c>
      <c r="O6831" s="8">
        <v>0.30769999999999997</v>
      </c>
      <c r="Q6831" s="8">
        <v>7.6899999999999996E-2</v>
      </c>
      <c r="R6831" s="8">
        <v>0.15379999999999999</v>
      </c>
      <c r="T6831" s="8">
        <v>0.23080000000000001</v>
      </c>
      <c r="U6831" s="8">
        <v>0.15379999999999999</v>
      </c>
    </row>
    <row r="6833" spans="1:22" ht="72" x14ac:dyDescent="0.3">
      <c r="A6833" s="22" t="s">
        <v>1498</v>
      </c>
    </row>
    <row r="6834" spans="1:22" x14ac:dyDescent="0.3">
      <c r="A6834" s="22" t="s">
        <v>66</v>
      </c>
      <c r="B6834" t="s">
        <v>62</v>
      </c>
      <c r="C6834" t="s">
        <v>57</v>
      </c>
      <c r="D6834" t="s">
        <v>63</v>
      </c>
      <c r="E6834" t="s">
        <v>1504</v>
      </c>
      <c r="F6834" t="s">
        <v>1505</v>
      </c>
      <c r="G6834" t="s">
        <v>1506</v>
      </c>
      <c r="H6834" t="s">
        <v>1507</v>
      </c>
      <c r="I6834" t="s">
        <v>1508</v>
      </c>
      <c r="J6834" t="s">
        <v>1509</v>
      </c>
      <c r="K6834" t="s">
        <v>1510</v>
      </c>
      <c r="L6834" t="s">
        <v>1511</v>
      </c>
      <c r="M6834" t="s">
        <v>1512</v>
      </c>
      <c r="N6834" t="s">
        <v>1513</v>
      </c>
      <c r="O6834" t="s">
        <v>1514</v>
      </c>
      <c r="P6834" t="s">
        <v>1515</v>
      </c>
      <c r="Q6834" t="s">
        <v>395</v>
      </c>
      <c r="R6834" t="s">
        <v>1516</v>
      </c>
      <c r="S6834" t="s">
        <v>239</v>
      </c>
      <c r="T6834" t="s">
        <v>1517</v>
      </c>
      <c r="U6834" t="s">
        <v>1518</v>
      </c>
      <c r="V6834" t="s">
        <v>1519</v>
      </c>
    </row>
    <row r="6835" spans="1:22" x14ac:dyDescent="0.3">
      <c r="A6835" s="22" t="s">
        <v>67</v>
      </c>
      <c r="B6835">
        <v>59</v>
      </c>
      <c r="C6835" t="s">
        <v>64</v>
      </c>
      <c r="D6835">
        <v>77</v>
      </c>
      <c r="E6835" s="8">
        <v>1.6899999999999998E-2</v>
      </c>
      <c r="F6835" s="8">
        <v>6.7799999999999999E-2</v>
      </c>
      <c r="G6835" s="8">
        <v>0.1356</v>
      </c>
      <c r="H6835" s="8">
        <v>0.23730000000000001</v>
      </c>
      <c r="I6835" s="8">
        <v>0.25419999999999998</v>
      </c>
      <c r="J6835" s="8">
        <v>0.1356</v>
      </c>
      <c r="K6835" s="8">
        <v>0.25419999999999998</v>
      </c>
      <c r="L6835" s="8">
        <v>0.2034</v>
      </c>
      <c r="M6835" s="8">
        <v>1.6899999999999998E-2</v>
      </c>
      <c r="N6835" s="8">
        <v>6.7799999999999999E-2</v>
      </c>
      <c r="O6835" s="8">
        <v>0.47460000000000002</v>
      </c>
      <c r="P6835" s="8">
        <v>1.6899999999999998E-2</v>
      </c>
      <c r="Q6835" s="8">
        <v>0.1356</v>
      </c>
      <c r="R6835" s="8">
        <v>0.25419999999999998</v>
      </c>
      <c r="S6835" s="8">
        <v>1.6899999999999998E-2</v>
      </c>
      <c r="T6835" s="8">
        <v>0.35589999999999999</v>
      </c>
      <c r="U6835" s="8">
        <v>3.39E-2</v>
      </c>
      <c r="V6835" s="8">
        <v>1.6899999999999998E-2</v>
      </c>
    </row>
    <row r="6836" spans="1:22" x14ac:dyDescent="0.3">
      <c r="A6836" s="22" t="s">
        <v>68</v>
      </c>
      <c r="B6836">
        <v>18</v>
      </c>
      <c r="C6836" t="s">
        <v>64</v>
      </c>
      <c r="D6836">
        <v>77</v>
      </c>
      <c r="F6836" s="8">
        <v>5.5599999999999997E-2</v>
      </c>
      <c r="G6836" s="8">
        <v>5.5599999999999997E-2</v>
      </c>
      <c r="H6836" s="8">
        <v>0.5</v>
      </c>
      <c r="I6836" s="8">
        <v>5.5599999999999997E-2</v>
      </c>
      <c r="J6836" s="8">
        <v>0.16669999999999999</v>
      </c>
      <c r="K6836" s="8">
        <v>0.27779999999999999</v>
      </c>
      <c r="L6836" s="8">
        <v>0.22220000000000001</v>
      </c>
      <c r="N6836" s="8">
        <v>0.16669999999999999</v>
      </c>
      <c r="O6836" s="8">
        <v>0.61109999999999998</v>
      </c>
      <c r="P6836" s="8">
        <v>5.5599999999999997E-2</v>
      </c>
      <c r="Q6836" s="8">
        <v>0.1111</v>
      </c>
      <c r="R6836" s="8">
        <v>0.16669999999999999</v>
      </c>
      <c r="T6836" s="8">
        <v>0.22220000000000001</v>
      </c>
      <c r="U6836" s="8">
        <v>5.5599999999999997E-2</v>
      </c>
      <c r="V6836" s="8">
        <v>5.5599999999999997E-2</v>
      </c>
    </row>
    <row r="6838" spans="1:22" ht="72" x14ac:dyDescent="0.3">
      <c r="A6838" s="22" t="s">
        <v>1499</v>
      </c>
    </row>
    <row r="6839" spans="1:22" x14ac:dyDescent="0.3">
      <c r="A6839" s="22" t="s">
        <v>66</v>
      </c>
      <c r="B6839" t="s">
        <v>62</v>
      </c>
      <c r="C6839" t="s">
        <v>57</v>
      </c>
      <c r="D6839" t="s">
        <v>63</v>
      </c>
      <c r="E6839" t="s">
        <v>1504</v>
      </c>
      <c r="F6839" t="s">
        <v>1505</v>
      </c>
      <c r="G6839" t="s">
        <v>1506</v>
      </c>
      <c r="H6839" t="s">
        <v>1507</v>
      </c>
      <c r="I6839" t="s">
        <v>1508</v>
      </c>
      <c r="J6839" t="s">
        <v>1509</v>
      </c>
      <c r="K6839" t="s">
        <v>1510</v>
      </c>
      <c r="L6839" t="s">
        <v>1511</v>
      </c>
      <c r="M6839" t="s">
        <v>1512</v>
      </c>
      <c r="N6839" t="s">
        <v>1513</v>
      </c>
      <c r="O6839" t="s">
        <v>1514</v>
      </c>
      <c r="P6839" t="s">
        <v>1515</v>
      </c>
      <c r="Q6839" t="s">
        <v>395</v>
      </c>
      <c r="R6839" t="s">
        <v>1516</v>
      </c>
      <c r="S6839" t="s">
        <v>239</v>
      </c>
      <c r="T6839" t="s">
        <v>1517</v>
      </c>
      <c r="U6839" t="s">
        <v>1518</v>
      </c>
      <c r="V6839" t="s">
        <v>1519</v>
      </c>
    </row>
    <row r="6840" spans="1:22" x14ac:dyDescent="0.3">
      <c r="A6840" s="22" t="s">
        <v>67</v>
      </c>
      <c r="B6840">
        <v>70</v>
      </c>
      <c r="C6840" t="s">
        <v>64</v>
      </c>
      <c r="D6840">
        <v>77</v>
      </c>
      <c r="E6840" s="8">
        <v>1.43E-2</v>
      </c>
      <c r="F6840" s="8">
        <v>7.1400000000000005E-2</v>
      </c>
      <c r="G6840" s="8">
        <v>0.1</v>
      </c>
      <c r="H6840" s="8">
        <v>0.3</v>
      </c>
      <c r="I6840" s="8">
        <v>0.21429999999999999</v>
      </c>
      <c r="J6840" s="8">
        <v>0.12859999999999999</v>
      </c>
      <c r="K6840" s="8">
        <v>0.2571</v>
      </c>
      <c r="L6840" s="8">
        <v>0.2</v>
      </c>
      <c r="M6840" s="8">
        <v>1.43E-2</v>
      </c>
      <c r="N6840" s="8">
        <v>8.5699999999999998E-2</v>
      </c>
      <c r="O6840" s="8">
        <v>0.5</v>
      </c>
      <c r="P6840" s="8">
        <v>1.43E-2</v>
      </c>
      <c r="Q6840" s="8">
        <v>0.1429</v>
      </c>
      <c r="R6840" s="8">
        <v>0.2286</v>
      </c>
      <c r="S6840" s="8">
        <v>1.43E-2</v>
      </c>
      <c r="T6840" s="8">
        <v>0.3</v>
      </c>
      <c r="U6840" s="8">
        <v>2.86E-2</v>
      </c>
      <c r="V6840" s="8">
        <v>2.86E-2</v>
      </c>
    </row>
    <row r="6841" spans="1:22" x14ac:dyDescent="0.3">
      <c r="A6841" s="22" t="s">
        <v>68</v>
      </c>
      <c r="B6841">
        <v>7</v>
      </c>
      <c r="C6841" t="s">
        <v>64</v>
      </c>
      <c r="D6841">
        <v>77</v>
      </c>
      <c r="G6841" s="8">
        <v>0.28570000000000001</v>
      </c>
      <c r="H6841" s="8">
        <v>0.28570000000000001</v>
      </c>
      <c r="I6841" s="8">
        <v>0.1429</v>
      </c>
      <c r="J6841" s="8">
        <v>0.28570000000000001</v>
      </c>
      <c r="K6841" s="8">
        <v>0.28570000000000001</v>
      </c>
      <c r="L6841" s="8">
        <v>0.28570000000000001</v>
      </c>
      <c r="N6841" s="8">
        <v>0.1429</v>
      </c>
      <c r="O6841" s="8">
        <v>0.57140000000000002</v>
      </c>
      <c r="P6841" s="8">
        <v>0.1429</v>
      </c>
      <c r="R6841" s="8">
        <v>0.28570000000000001</v>
      </c>
      <c r="T6841" s="8">
        <v>0.57140000000000002</v>
      </c>
      <c r="U6841" s="8">
        <v>0.1429</v>
      </c>
    </row>
    <row r="6843" spans="1:22" ht="72" x14ac:dyDescent="0.3">
      <c r="A6843" s="22" t="s">
        <v>1500</v>
      </c>
    </row>
    <row r="6844" spans="1:22" x14ac:dyDescent="0.3">
      <c r="A6844" s="22" t="s">
        <v>66</v>
      </c>
      <c r="B6844" t="s">
        <v>62</v>
      </c>
      <c r="C6844" t="s">
        <v>57</v>
      </c>
      <c r="D6844" t="s">
        <v>63</v>
      </c>
      <c r="E6844" t="s">
        <v>1504</v>
      </c>
      <c r="F6844" t="s">
        <v>1505</v>
      </c>
      <c r="G6844" t="s">
        <v>1506</v>
      </c>
      <c r="H6844" t="s">
        <v>1507</v>
      </c>
      <c r="I6844" t="s">
        <v>1508</v>
      </c>
      <c r="J6844" t="s">
        <v>1509</v>
      </c>
      <c r="K6844" t="s">
        <v>1510</v>
      </c>
      <c r="L6844" t="s">
        <v>1511</v>
      </c>
      <c r="M6844" t="s">
        <v>1512</v>
      </c>
      <c r="N6844" t="s">
        <v>1513</v>
      </c>
      <c r="O6844" t="s">
        <v>1514</v>
      </c>
      <c r="P6844" t="s">
        <v>1515</v>
      </c>
      <c r="Q6844" t="s">
        <v>395</v>
      </c>
      <c r="R6844" t="s">
        <v>1516</v>
      </c>
      <c r="S6844" t="s">
        <v>239</v>
      </c>
      <c r="T6844" t="s">
        <v>1517</v>
      </c>
      <c r="U6844" t="s">
        <v>1518</v>
      </c>
      <c r="V6844" t="s">
        <v>1519</v>
      </c>
    </row>
    <row r="6845" spans="1:22" x14ac:dyDescent="0.3">
      <c r="A6845" s="22" t="s">
        <v>67</v>
      </c>
      <c r="B6845">
        <v>77</v>
      </c>
      <c r="C6845" t="s">
        <v>64</v>
      </c>
      <c r="D6845">
        <v>77</v>
      </c>
      <c r="E6845" s="8">
        <v>1.2999999999999999E-2</v>
      </c>
      <c r="F6845" s="8">
        <v>6.4899999999999999E-2</v>
      </c>
      <c r="G6845" s="8">
        <v>0.1169</v>
      </c>
      <c r="H6845" s="8">
        <v>0.29870000000000002</v>
      </c>
      <c r="I6845" s="8">
        <v>0.20780000000000001</v>
      </c>
      <c r="J6845" s="8">
        <v>0.1429</v>
      </c>
      <c r="K6845" s="8">
        <v>0.25969999999999999</v>
      </c>
      <c r="L6845" s="8">
        <v>0.20780000000000001</v>
      </c>
      <c r="M6845" s="8">
        <v>1.2999999999999999E-2</v>
      </c>
      <c r="N6845" s="8">
        <v>9.0899999999999995E-2</v>
      </c>
      <c r="O6845" s="8">
        <v>0.50649999999999995</v>
      </c>
      <c r="P6845" s="8">
        <v>2.5999999999999999E-2</v>
      </c>
      <c r="Q6845" s="8">
        <v>0.12989999999999999</v>
      </c>
      <c r="R6845" s="8">
        <v>0.23380000000000001</v>
      </c>
      <c r="S6845" s="8">
        <v>1.2999999999999999E-2</v>
      </c>
      <c r="T6845" s="8">
        <v>0.32469999999999999</v>
      </c>
      <c r="U6845" s="8">
        <v>3.9E-2</v>
      </c>
      <c r="V6845" s="8">
        <v>2.5999999999999999E-2</v>
      </c>
    </row>
    <row r="6847" spans="1:22" ht="57.6" x14ac:dyDescent="0.3">
      <c r="A6847" s="22" t="s">
        <v>1501</v>
      </c>
    </row>
    <row r="6848" spans="1:22" x14ac:dyDescent="0.3">
      <c r="A6848" s="22" t="s">
        <v>66</v>
      </c>
      <c r="B6848" t="s">
        <v>62</v>
      </c>
      <c r="C6848" t="s">
        <v>57</v>
      </c>
      <c r="D6848" t="s">
        <v>63</v>
      </c>
      <c r="E6848" t="s">
        <v>1504</v>
      </c>
      <c r="F6848" t="s">
        <v>1505</v>
      </c>
      <c r="G6848" t="s">
        <v>1506</v>
      </c>
      <c r="H6848" t="s">
        <v>1507</v>
      </c>
      <c r="I6848" t="s">
        <v>1508</v>
      </c>
      <c r="J6848" t="s">
        <v>1509</v>
      </c>
      <c r="K6848" t="s">
        <v>1510</v>
      </c>
      <c r="L6848" t="s">
        <v>1511</v>
      </c>
      <c r="M6848" t="s">
        <v>1512</v>
      </c>
      <c r="N6848" t="s">
        <v>1513</v>
      </c>
      <c r="O6848" t="s">
        <v>1514</v>
      </c>
      <c r="P6848" t="s">
        <v>1515</v>
      </c>
      <c r="Q6848" t="s">
        <v>395</v>
      </c>
      <c r="R6848" t="s">
        <v>1516</v>
      </c>
      <c r="S6848" t="s">
        <v>239</v>
      </c>
      <c r="T6848" t="s">
        <v>1517</v>
      </c>
      <c r="U6848" t="s">
        <v>1518</v>
      </c>
      <c r="V6848" t="s">
        <v>1519</v>
      </c>
    </row>
    <row r="6849" spans="1:22" x14ac:dyDescent="0.3">
      <c r="A6849" s="22" t="s">
        <v>67</v>
      </c>
      <c r="B6849">
        <v>45</v>
      </c>
      <c r="C6849" t="s">
        <v>64</v>
      </c>
      <c r="D6849">
        <v>77</v>
      </c>
      <c r="F6849" s="8">
        <v>6.6699999999999995E-2</v>
      </c>
      <c r="G6849" s="8">
        <v>6.6699999999999995E-2</v>
      </c>
      <c r="H6849" s="8">
        <v>0.31109999999999999</v>
      </c>
      <c r="I6849" s="8">
        <v>0.22220000000000001</v>
      </c>
      <c r="J6849" s="8">
        <v>0.1111</v>
      </c>
      <c r="K6849" s="8">
        <v>0.22220000000000001</v>
      </c>
      <c r="L6849" s="8">
        <v>0.2</v>
      </c>
      <c r="N6849" s="8">
        <v>8.8900000000000007E-2</v>
      </c>
      <c r="O6849" s="8">
        <v>0.5333</v>
      </c>
      <c r="Q6849" s="8">
        <v>0.1111</v>
      </c>
      <c r="R6849" s="8">
        <v>0.2</v>
      </c>
      <c r="S6849" s="8">
        <v>2.2200000000000001E-2</v>
      </c>
      <c r="T6849" s="8">
        <v>0.31109999999999999</v>
      </c>
    </row>
    <row r="6850" spans="1:22" x14ac:dyDescent="0.3">
      <c r="A6850" s="22" t="s">
        <v>68</v>
      </c>
      <c r="B6850">
        <v>32</v>
      </c>
      <c r="C6850" t="s">
        <v>64</v>
      </c>
      <c r="D6850">
        <v>77</v>
      </c>
      <c r="E6850" s="8">
        <v>3.1199999999999999E-2</v>
      </c>
      <c r="F6850" s="8">
        <v>6.25E-2</v>
      </c>
      <c r="G6850" s="8">
        <v>0.1875</v>
      </c>
      <c r="H6850" s="8">
        <v>0.28120000000000001</v>
      </c>
      <c r="I6850" s="8">
        <v>0.1875</v>
      </c>
      <c r="J6850" s="8">
        <v>0.1875</v>
      </c>
      <c r="K6850" s="8">
        <v>0.3125</v>
      </c>
      <c r="L6850" s="8">
        <v>0.21879999999999999</v>
      </c>
      <c r="M6850" s="8">
        <v>3.1199999999999999E-2</v>
      </c>
      <c r="N6850" s="8">
        <v>9.3799999999999994E-2</v>
      </c>
      <c r="O6850" s="8">
        <v>0.46879999999999999</v>
      </c>
      <c r="P6850" s="8">
        <v>6.25E-2</v>
      </c>
      <c r="Q6850" s="8">
        <v>0.15620000000000001</v>
      </c>
      <c r="R6850" s="8">
        <v>0.28120000000000001</v>
      </c>
      <c r="T6850" s="8">
        <v>0.34379999999999999</v>
      </c>
      <c r="U6850" s="8">
        <v>9.3799999999999994E-2</v>
      </c>
      <c r="V6850" s="8">
        <v>6.25E-2</v>
      </c>
    </row>
    <row r="6852" spans="1:22" ht="72" x14ac:dyDescent="0.3">
      <c r="A6852" s="22" t="s">
        <v>1502</v>
      </c>
    </row>
    <row r="6853" spans="1:22" x14ac:dyDescent="0.3">
      <c r="A6853" s="22" t="s">
        <v>66</v>
      </c>
      <c r="B6853" t="s">
        <v>62</v>
      </c>
      <c r="C6853" t="s">
        <v>57</v>
      </c>
      <c r="D6853" t="s">
        <v>63</v>
      </c>
      <c r="E6853" t="s">
        <v>1504</v>
      </c>
      <c r="F6853" t="s">
        <v>1505</v>
      </c>
      <c r="G6853" t="s">
        <v>1506</v>
      </c>
      <c r="H6853" t="s">
        <v>1507</v>
      </c>
      <c r="I6853" t="s">
        <v>1508</v>
      </c>
      <c r="J6853" t="s">
        <v>1509</v>
      </c>
      <c r="K6853" t="s">
        <v>1510</v>
      </c>
      <c r="L6853" t="s">
        <v>1511</v>
      </c>
      <c r="M6853" t="s">
        <v>1512</v>
      </c>
      <c r="N6853" t="s">
        <v>1513</v>
      </c>
      <c r="O6853" t="s">
        <v>1514</v>
      </c>
      <c r="P6853" t="s">
        <v>1515</v>
      </c>
      <c r="Q6853" t="s">
        <v>395</v>
      </c>
      <c r="R6853" t="s">
        <v>1516</v>
      </c>
      <c r="S6853" t="s">
        <v>239</v>
      </c>
      <c r="T6853" t="s">
        <v>1517</v>
      </c>
      <c r="U6853" t="s">
        <v>1518</v>
      </c>
      <c r="V6853" t="s">
        <v>1519</v>
      </c>
    </row>
    <row r="6854" spans="1:22" x14ac:dyDescent="0.3">
      <c r="A6854" s="22" t="s">
        <v>67</v>
      </c>
      <c r="B6854">
        <v>66</v>
      </c>
      <c r="C6854" t="s">
        <v>64</v>
      </c>
      <c r="D6854">
        <v>77</v>
      </c>
      <c r="E6854" s="8">
        <v>1.52E-2</v>
      </c>
      <c r="F6854" s="8">
        <v>6.0600000000000001E-2</v>
      </c>
      <c r="G6854" s="8">
        <v>0.1061</v>
      </c>
      <c r="H6854" s="8">
        <v>0.2576</v>
      </c>
      <c r="I6854" s="8">
        <v>0.19700000000000001</v>
      </c>
      <c r="J6854" s="8">
        <v>0.13639999999999999</v>
      </c>
      <c r="K6854" s="8">
        <v>0.2727</v>
      </c>
      <c r="L6854" s="8">
        <v>0.18179999999999999</v>
      </c>
      <c r="N6854" s="8">
        <v>0.1061</v>
      </c>
      <c r="O6854" s="8">
        <v>0.48480000000000001</v>
      </c>
      <c r="P6854" s="8">
        <v>1.52E-2</v>
      </c>
      <c r="Q6854" s="8">
        <v>0.1515</v>
      </c>
      <c r="R6854" s="8">
        <v>0.2424</v>
      </c>
      <c r="S6854" s="8">
        <v>1.52E-2</v>
      </c>
      <c r="T6854" s="8">
        <v>0.31819999999999998</v>
      </c>
      <c r="U6854" s="8">
        <v>3.0300000000000001E-2</v>
      </c>
      <c r="V6854" s="8">
        <v>1.52E-2</v>
      </c>
    </row>
    <row r="6855" spans="1:22" x14ac:dyDescent="0.3">
      <c r="A6855" s="22" t="s">
        <v>68</v>
      </c>
      <c r="B6855">
        <v>11</v>
      </c>
      <c r="C6855" t="s">
        <v>64</v>
      </c>
      <c r="D6855">
        <v>77</v>
      </c>
      <c r="F6855" s="8">
        <v>9.0899999999999995E-2</v>
      </c>
      <c r="G6855" s="8">
        <v>0.18179999999999999</v>
      </c>
      <c r="H6855" s="8">
        <v>0.54549999999999998</v>
      </c>
      <c r="I6855" s="8">
        <v>0.2727</v>
      </c>
      <c r="J6855" s="8">
        <v>0.18179999999999999</v>
      </c>
      <c r="K6855" s="8">
        <v>0.18179999999999999</v>
      </c>
      <c r="L6855" s="8">
        <v>0.36359999999999998</v>
      </c>
      <c r="M6855" s="8">
        <v>9.0899999999999995E-2</v>
      </c>
      <c r="O6855" s="8">
        <v>0.63639999999999997</v>
      </c>
      <c r="P6855" s="8">
        <v>9.0899999999999995E-2</v>
      </c>
      <c r="R6855" s="8">
        <v>0.18179999999999999</v>
      </c>
      <c r="T6855" s="8">
        <v>0.36359999999999998</v>
      </c>
      <c r="U6855" s="8">
        <v>9.0899999999999995E-2</v>
      </c>
      <c r="V6855" s="8">
        <v>9.0899999999999995E-2</v>
      </c>
    </row>
    <row r="6857" spans="1:22" ht="57.6" x14ac:dyDescent="0.3">
      <c r="A6857" s="27" t="s">
        <v>1503</v>
      </c>
    </row>
    <row r="6858" spans="1:22" x14ac:dyDescent="0.3">
      <c r="A6858" s="22" t="s">
        <v>66</v>
      </c>
      <c r="B6858" t="s">
        <v>62</v>
      </c>
      <c r="C6858" t="s">
        <v>57</v>
      </c>
      <c r="D6858" t="s">
        <v>63</v>
      </c>
      <c r="E6858" t="s">
        <v>1504</v>
      </c>
      <c r="F6858" t="s">
        <v>1505</v>
      </c>
      <c r="G6858" t="s">
        <v>1506</v>
      </c>
      <c r="H6858" t="s">
        <v>1507</v>
      </c>
      <c r="I6858" t="s">
        <v>1508</v>
      </c>
      <c r="J6858" t="s">
        <v>1509</v>
      </c>
      <c r="K6858" t="s">
        <v>1510</v>
      </c>
      <c r="L6858" t="s">
        <v>1511</v>
      </c>
      <c r="M6858" t="s">
        <v>1512</v>
      </c>
      <c r="N6858" t="s">
        <v>1513</v>
      </c>
      <c r="O6858" t="s">
        <v>1514</v>
      </c>
      <c r="P6858" t="s">
        <v>1515</v>
      </c>
      <c r="Q6858" t="s">
        <v>395</v>
      </c>
      <c r="R6858" t="s">
        <v>1516</v>
      </c>
      <c r="S6858" t="s">
        <v>239</v>
      </c>
      <c r="T6858" t="s">
        <v>1517</v>
      </c>
      <c r="U6858" t="s">
        <v>1518</v>
      </c>
      <c r="V6858" t="s">
        <v>1519</v>
      </c>
    </row>
    <row r="6859" spans="1:22" x14ac:dyDescent="0.3">
      <c r="A6859" s="22" t="s">
        <v>81</v>
      </c>
      <c r="B6859">
        <v>15</v>
      </c>
      <c r="C6859" t="s">
        <v>64</v>
      </c>
      <c r="D6859">
        <v>77</v>
      </c>
      <c r="F6859" s="8">
        <v>6.6699999999999995E-2</v>
      </c>
      <c r="G6859" s="8">
        <v>0.26669999999999999</v>
      </c>
      <c r="H6859" s="8">
        <v>0.4667</v>
      </c>
      <c r="I6859" s="8">
        <v>6.6699999999999995E-2</v>
      </c>
      <c r="J6859" s="8">
        <v>0.1333</v>
      </c>
      <c r="K6859" s="8">
        <v>0.26669999999999999</v>
      </c>
      <c r="L6859" s="8">
        <v>0.1333</v>
      </c>
      <c r="N6859" s="8">
        <v>0.1333</v>
      </c>
      <c r="O6859" s="8">
        <v>0.4667</v>
      </c>
      <c r="Q6859" s="8">
        <v>0.2</v>
      </c>
      <c r="R6859" s="8">
        <v>0.4</v>
      </c>
      <c r="T6859" s="8">
        <v>0.33329999999999999</v>
      </c>
      <c r="U6859" s="8">
        <v>6.6699999999999995E-2</v>
      </c>
      <c r="V6859" s="8">
        <v>6.6699999999999995E-2</v>
      </c>
    </row>
    <row r="6860" spans="1:22" x14ac:dyDescent="0.3">
      <c r="A6860" s="22" t="s">
        <v>82</v>
      </c>
      <c r="B6860">
        <v>19</v>
      </c>
      <c r="C6860" t="s">
        <v>64</v>
      </c>
      <c r="D6860">
        <v>77</v>
      </c>
      <c r="F6860" s="8">
        <v>5.2600000000000001E-2</v>
      </c>
      <c r="G6860" s="8">
        <v>5.2600000000000001E-2</v>
      </c>
      <c r="H6860" s="8">
        <v>0.21049999999999999</v>
      </c>
      <c r="I6860" s="8">
        <v>0.21049999999999999</v>
      </c>
      <c r="J6860" s="8">
        <v>0.15790000000000001</v>
      </c>
      <c r="K6860" s="8">
        <v>0.36840000000000001</v>
      </c>
      <c r="L6860" s="8">
        <v>0.26319999999999999</v>
      </c>
      <c r="N6860" s="8">
        <v>0.1053</v>
      </c>
      <c r="O6860" s="8">
        <v>0.47370000000000001</v>
      </c>
      <c r="Q6860" s="8">
        <v>5.2600000000000001E-2</v>
      </c>
      <c r="R6860" s="8">
        <v>0.26319999999999999</v>
      </c>
      <c r="S6860" s="8">
        <v>5.2600000000000001E-2</v>
      </c>
      <c r="T6860" s="8">
        <v>0.36840000000000001</v>
      </c>
    </row>
    <row r="6861" spans="1:22" x14ac:dyDescent="0.3">
      <c r="A6861" s="22" t="s">
        <v>83</v>
      </c>
      <c r="B6861">
        <v>19</v>
      </c>
      <c r="C6861" t="s">
        <v>64</v>
      </c>
      <c r="D6861">
        <v>77</v>
      </c>
      <c r="E6861" s="8">
        <v>5.2600000000000001E-2</v>
      </c>
      <c r="F6861" s="8">
        <v>5.2600000000000001E-2</v>
      </c>
      <c r="H6861" s="8">
        <v>0.21049999999999999</v>
      </c>
      <c r="I6861" s="8">
        <v>0.31580000000000003</v>
      </c>
      <c r="J6861" s="8">
        <v>5.2600000000000001E-2</v>
      </c>
      <c r="K6861" s="8">
        <v>0.1053</v>
      </c>
      <c r="L6861" s="8">
        <v>0.1053</v>
      </c>
      <c r="N6861" s="8">
        <v>5.2600000000000001E-2</v>
      </c>
      <c r="O6861" s="8">
        <v>0.68420000000000003</v>
      </c>
      <c r="Q6861" s="8">
        <v>0.15790000000000001</v>
      </c>
      <c r="R6861" s="8">
        <v>0.15790000000000001</v>
      </c>
      <c r="T6861" s="8">
        <v>0.26319999999999999</v>
      </c>
    </row>
    <row r="6862" spans="1:22" x14ac:dyDescent="0.3">
      <c r="A6862" s="22" t="s">
        <v>84</v>
      </c>
      <c r="B6862">
        <v>24</v>
      </c>
      <c r="C6862" t="s">
        <v>64</v>
      </c>
      <c r="D6862">
        <v>77</v>
      </c>
      <c r="F6862" s="8">
        <v>8.3299999999999999E-2</v>
      </c>
      <c r="G6862" s="8">
        <v>0.16669999999999999</v>
      </c>
      <c r="H6862" s="8">
        <v>0.33329999999999999</v>
      </c>
      <c r="I6862" s="8">
        <v>0.20830000000000001</v>
      </c>
      <c r="J6862" s="8">
        <v>0.20830000000000001</v>
      </c>
      <c r="K6862" s="8">
        <v>0.29170000000000001</v>
      </c>
      <c r="L6862" s="8">
        <v>0.29170000000000001</v>
      </c>
      <c r="M6862" s="8">
        <v>4.1700000000000001E-2</v>
      </c>
      <c r="N6862" s="8">
        <v>8.3299999999999999E-2</v>
      </c>
      <c r="O6862" s="8">
        <v>0.41670000000000001</v>
      </c>
      <c r="P6862" s="8">
        <v>8.3299999999999999E-2</v>
      </c>
      <c r="Q6862" s="8">
        <v>0.125</v>
      </c>
      <c r="R6862" s="8">
        <v>0.16669999999999999</v>
      </c>
      <c r="T6862" s="8">
        <v>0.33329999999999999</v>
      </c>
      <c r="U6862" s="8">
        <v>8.3299999999999999E-2</v>
      </c>
      <c r="V6862" s="8">
        <v>4.1700000000000001E-2</v>
      </c>
    </row>
    <row r="6864" spans="1:22" ht="43.2" x14ac:dyDescent="0.3">
      <c r="A6864" s="27" t="s">
        <v>1520</v>
      </c>
    </row>
    <row r="6865" spans="1:8" x14ac:dyDescent="0.3">
      <c r="A6865" s="22" t="s">
        <v>57</v>
      </c>
      <c r="B6865" t="s">
        <v>58</v>
      </c>
      <c r="C6865" t="s">
        <v>59</v>
      </c>
      <c r="D6865" t="s">
        <v>60</v>
      </c>
      <c r="E6865" t="s">
        <v>61</v>
      </c>
      <c r="F6865" t="s">
        <v>62</v>
      </c>
      <c r="G6865" t="s">
        <v>63</v>
      </c>
    </row>
    <row r="6866" spans="1:8" x14ac:dyDescent="0.3">
      <c r="A6866" s="22" t="s">
        <v>64</v>
      </c>
      <c r="B6866" s="26">
        <v>25712.307692307691</v>
      </c>
      <c r="C6866">
        <v>21600</v>
      </c>
      <c r="D6866">
        <v>10000</v>
      </c>
      <c r="E6866">
        <v>108000</v>
      </c>
      <c r="F6866">
        <v>130</v>
      </c>
      <c r="G6866">
        <v>130</v>
      </c>
    </row>
    <row r="6868" spans="1:8" ht="57.6" x14ac:dyDescent="0.3">
      <c r="A6868" s="22" t="s">
        <v>1521</v>
      </c>
    </row>
    <row r="6869" spans="1:8" x14ac:dyDescent="0.3">
      <c r="A6869" s="22" t="s">
        <v>57</v>
      </c>
      <c r="B6869" t="s">
        <v>66</v>
      </c>
      <c r="C6869" t="s">
        <v>58</v>
      </c>
      <c r="D6869" t="s">
        <v>59</v>
      </c>
      <c r="E6869" t="s">
        <v>60</v>
      </c>
      <c r="F6869" t="s">
        <v>61</v>
      </c>
      <c r="G6869" t="s">
        <v>62</v>
      </c>
      <c r="H6869" t="s">
        <v>63</v>
      </c>
    </row>
    <row r="6870" spans="1:8" x14ac:dyDescent="0.3">
      <c r="A6870" s="22" t="s">
        <v>64</v>
      </c>
      <c r="B6870" t="s">
        <v>67</v>
      </c>
      <c r="C6870" s="26">
        <v>24108.94308943089</v>
      </c>
      <c r="D6870">
        <v>21600</v>
      </c>
      <c r="E6870">
        <v>10000</v>
      </c>
      <c r="F6870">
        <v>64800</v>
      </c>
      <c r="G6870">
        <v>123</v>
      </c>
      <c r="H6870">
        <v>130</v>
      </c>
    </row>
    <row r="6871" spans="1:8" x14ac:dyDescent="0.3">
      <c r="A6871" s="22" t="s">
        <v>64</v>
      </c>
      <c r="B6871" t="s">
        <v>68</v>
      </c>
      <c r="C6871" s="26">
        <v>53885.714285714283</v>
      </c>
      <c r="D6871">
        <v>64000</v>
      </c>
      <c r="E6871">
        <v>10800</v>
      </c>
      <c r="F6871">
        <v>108000</v>
      </c>
      <c r="G6871">
        <v>7</v>
      </c>
      <c r="H6871">
        <v>130</v>
      </c>
    </row>
    <row r="6873" spans="1:8" x14ac:dyDescent="0.3">
      <c r="A6873"/>
    </row>
    <row r="6874" spans="1:8" x14ac:dyDescent="0.3">
      <c r="A6874"/>
    </row>
    <row r="6875" spans="1:8" x14ac:dyDescent="0.3">
      <c r="A6875"/>
    </row>
    <row r="6877" spans="1:8" ht="57.6" x14ac:dyDescent="0.3">
      <c r="A6877" s="22" t="s">
        <v>1522</v>
      </c>
    </row>
    <row r="6878" spans="1:8" x14ac:dyDescent="0.3">
      <c r="A6878" s="22" t="s">
        <v>57</v>
      </c>
      <c r="B6878" t="s">
        <v>66</v>
      </c>
      <c r="C6878" t="s">
        <v>58</v>
      </c>
      <c r="D6878" t="s">
        <v>59</v>
      </c>
      <c r="E6878" t="s">
        <v>60</v>
      </c>
      <c r="F6878" t="s">
        <v>61</v>
      </c>
      <c r="G6878" t="s">
        <v>62</v>
      </c>
      <c r="H6878" t="s">
        <v>63</v>
      </c>
    </row>
    <row r="6879" spans="1:8" x14ac:dyDescent="0.3">
      <c r="A6879" s="22" t="s">
        <v>64</v>
      </c>
      <c r="B6879" t="s">
        <v>67</v>
      </c>
      <c r="C6879" s="26">
        <v>24862.903225806451</v>
      </c>
      <c r="D6879">
        <v>21600</v>
      </c>
      <c r="E6879">
        <v>10000</v>
      </c>
      <c r="F6879">
        <v>108000</v>
      </c>
      <c r="G6879">
        <v>124</v>
      </c>
      <c r="H6879">
        <v>130</v>
      </c>
    </row>
    <row r="6880" spans="1:8" x14ac:dyDescent="0.3">
      <c r="A6880" s="22" t="s">
        <v>64</v>
      </c>
      <c r="B6880" t="s">
        <v>68</v>
      </c>
      <c r="C6880" s="26">
        <v>43266.666666666657</v>
      </c>
      <c r="D6880">
        <v>43200</v>
      </c>
      <c r="E6880">
        <v>31000</v>
      </c>
      <c r="F6880">
        <v>56000</v>
      </c>
      <c r="G6880">
        <v>6</v>
      </c>
      <c r="H6880">
        <v>130</v>
      </c>
    </row>
    <row r="6882" spans="1:8" ht="57.6" x14ac:dyDescent="0.3">
      <c r="A6882" s="22" t="s">
        <v>1523</v>
      </c>
    </row>
    <row r="6883" spans="1:8" x14ac:dyDescent="0.3">
      <c r="A6883" s="22" t="s">
        <v>57</v>
      </c>
      <c r="B6883" t="s">
        <v>66</v>
      </c>
      <c r="C6883" t="s">
        <v>58</v>
      </c>
      <c r="D6883" t="s">
        <v>59</v>
      </c>
      <c r="E6883" t="s">
        <v>60</v>
      </c>
      <c r="F6883" t="s">
        <v>61</v>
      </c>
      <c r="G6883" t="s">
        <v>62</v>
      </c>
      <c r="H6883" t="s">
        <v>63</v>
      </c>
    </row>
    <row r="6884" spans="1:8" x14ac:dyDescent="0.3">
      <c r="A6884" s="22" t="s">
        <v>64</v>
      </c>
      <c r="B6884" t="s">
        <v>67</v>
      </c>
      <c r="C6884" s="26">
        <v>25751.937984496119</v>
      </c>
      <c r="D6884">
        <v>21600</v>
      </c>
      <c r="E6884">
        <v>10000</v>
      </c>
      <c r="F6884">
        <v>108000</v>
      </c>
      <c r="G6884">
        <v>129</v>
      </c>
      <c r="H6884">
        <v>130</v>
      </c>
    </row>
    <row r="6885" spans="1:8" x14ac:dyDescent="0.3">
      <c r="A6885" s="22" t="s">
        <v>64</v>
      </c>
      <c r="B6885" t="s">
        <v>68</v>
      </c>
      <c r="C6885">
        <v>20600</v>
      </c>
      <c r="D6885">
        <v>20600</v>
      </c>
      <c r="E6885">
        <v>20600</v>
      </c>
      <c r="F6885">
        <v>20600</v>
      </c>
      <c r="G6885">
        <v>1</v>
      </c>
      <c r="H6885">
        <v>130</v>
      </c>
    </row>
    <row r="6887" spans="1:8" ht="57.6" x14ac:dyDescent="0.3">
      <c r="A6887" s="22" t="s">
        <v>1524</v>
      </c>
    </row>
    <row r="6888" spans="1:8" x14ac:dyDescent="0.3">
      <c r="A6888" s="22" t="s">
        <v>57</v>
      </c>
      <c r="B6888" t="s">
        <v>66</v>
      </c>
      <c r="C6888" t="s">
        <v>58</v>
      </c>
      <c r="D6888" t="s">
        <v>59</v>
      </c>
      <c r="E6888" t="s">
        <v>60</v>
      </c>
      <c r="F6888" t="s">
        <v>61</v>
      </c>
      <c r="G6888" t="s">
        <v>62</v>
      </c>
      <c r="H6888" t="s">
        <v>63</v>
      </c>
    </row>
    <row r="6889" spans="1:8" x14ac:dyDescent="0.3">
      <c r="A6889" s="22" t="s">
        <v>64</v>
      </c>
      <c r="B6889" t="s">
        <v>67</v>
      </c>
      <c r="C6889">
        <v>25335</v>
      </c>
      <c r="D6889">
        <v>21600</v>
      </c>
      <c r="E6889">
        <v>10000</v>
      </c>
      <c r="F6889">
        <v>108000</v>
      </c>
      <c r="G6889">
        <v>120</v>
      </c>
      <c r="H6889">
        <v>130</v>
      </c>
    </row>
    <row r="6890" spans="1:8" x14ac:dyDescent="0.3">
      <c r="A6890" s="22" t="s">
        <v>64</v>
      </c>
      <c r="B6890" t="s">
        <v>68</v>
      </c>
      <c r="C6890">
        <v>30240</v>
      </c>
      <c r="D6890">
        <v>32400</v>
      </c>
      <c r="E6890">
        <v>10800</v>
      </c>
      <c r="F6890">
        <v>43200</v>
      </c>
      <c r="G6890">
        <v>10</v>
      </c>
      <c r="H6890">
        <v>130</v>
      </c>
    </row>
    <row r="6892" spans="1:8" ht="57.6" x14ac:dyDescent="0.3">
      <c r="A6892" s="22" t="s">
        <v>1525</v>
      </c>
    </row>
    <row r="6893" spans="1:8" x14ac:dyDescent="0.3">
      <c r="A6893" s="22" t="s">
        <v>57</v>
      </c>
      <c r="B6893" t="s">
        <v>66</v>
      </c>
      <c r="C6893" t="s">
        <v>58</v>
      </c>
      <c r="D6893" t="s">
        <v>59</v>
      </c>
      <c r="E6893" t="s">
        <v>60</v>
      </c>
      <c r="F6893" t="s">
        <v>61</v>
      </c>
      <c r="G6893" t="s">
        <v>62</v>
      </c>
      <c r="H6893" t="s">
        <v>63</v>
      </c>
    </row>
    <row r="6894" spans="1:8" x14ac:dyDescent="0.3">
      <c r="A6894" s="22" t="s">
        <v>64</v>
      </c>
      <c r="B6894" t="s">
        <v>67</v>
      </c>
      <c r="C6894">
        <v>32320</v>
      </c>
      <c r="D6894">
        <v>43200</v>
      </c>
      <c r="E6894">
        <v>21600</v>
      </c>
      <c r="F6894">
        <v>43200</v>
      </c>
      <c r="G6894">
        <v>5</v>
      </c>
      <c r="H6894">
        <v>130</v>
      </c>
    </row>
    <row r="6895" spans="1:8" x14ac:dyDescent="0.3">
      <c r="A6895" s="22" t="s">
        <v>64</v>
      </c>
      <c r="B6895" t="s">
        <v>68</v>
      </c>
      <c r="C6895">
        <v>25448</v>
      </c>
      <c r="D6895">
        <v>21600</v>
      </c>
      <c r="E6895">
        <v>10000</v>
      </c>
      <c r="F6895">
        <v>108000</v>
      </c>
      <c r="G6895">
        <v>125</v>
      </c>
      <c r="H6895">
        <v>130</v>
      </c>
    </row>
    <row r="6897" spans="1:8" ht="57.6" x14ac:dyDescent="0.3">
      <c r="A6897" s="22" t="s">
        <v>1526</v>
      </c>
    </row>
    <row r="6898" spans="1:8" x14ac:dyDescent="0.3">
      <c r="A6898" s="22" t="s">
        <v>57</v>
      </c>
      <c r="B6898" t="s">
        <v>66</v>
      </c>
      <c r="C6898" t="s">
        <v>58</v>
      </c>
      <c r="D6898" t="s">
        <v>59</v>
      </c>
      <c r="E6898" t="s">
        <v>60</v>
      </c>
      <c r="F6898" t="s">
        <v>61</v>
      </c>
      <c r="G6898" t="s">
        <v>62</v>
      </c>
      <c r="H6898" t="s">
        <v>63</v>
      </c>
    </row>
    <row r="6899" spans="1:8" x14ac:dyDescent="0.3">
      <c r="A6899" s="22" t="s">
        <v>64</v>
      </c>
      <c r="B6899" t="s">
        <v>67</v>
      </c>
      <c r="C6899" s="26">
        <v>27767.92452830189</v>
      </c>
      <c r="D6899">
        <v>21600</v>
      </c>
      <c r="E6899">
        <v>10800</v>
      </c>
      <c r="F6899">
        <v>108000</v>
      </c>
      <c r="G6899">
        <v>106</v>
      </c>
      <c r="H6899">
        <v>130</v>
      </c>
    </row>
    <row r="6900" spans="1:8" x14ac:dyDescent="0.3">
      <c r="A6900" s="22" t="s">
        <v>64</v>
      </c>
      <c r="B6900" t="s">
        <v>68</v>
      </c>
      <c r="C6900" s="26">
        <v>16633.333333333328</v>
      </c>
      <c r="D6900">
        <v>10800</v>
      </c>
      <c r="E6900">
        <v>10000</v>
      </c>
      <c r="F6900">
        <v>32400</v>
      </c>
      <c r="G6900">
        <v>24</v>
      </c>
      <c r="H6900">
        <v>130</v>
      </c>
    </row>
    <row r="6902" spans="1:8" ht="57.6" x14ac:dyDescent="0.3">
      <c r="A6902" s="22" t="s">
        <v>1527</v>
      </c>
    </row>
    <row r="6903" spans="1:8" x14ac:dyDescent="0.3">
      <c r="A6903" s="22" t="s">
        <v>57</v>
      </c>
      <c r="B6903" t="s">
        <v>66</v>
      </c>
      <c r="C6903" t="s">
        <v>58</v>
      </c>
      <c r="D6903" t="s">
        <v>59</v>
      </c>
      <c r="E6903" t="s">
        <v>60</v>
      </c>
      <c r="F6903" t="s">
        <v>61</v>
      </c>
      <c r="G6903" t="s">
        <v>62</v>
      </c>
      <c r="H6903" t="s">
        <v>63</v>
      </c>
    </row>
    <row r="6904" spans="1:8" x14ac:dyDescent="0.3">
      <c r="A6904" s="22" t="s">
        <v>64</v>
      </c>
      <c r="B6904" t="s">
        <v>67</v>
      </c>
      <c r="C6904" s="26">
        <v>26166.33663366337</v>
      </c>
      <c r="D6904">
        <v>21600</v>
      </c>
      <c r="E6904">
        <v>10000</v>
      </c>
      <c r="F6904">
        <v>108000</v>
      </c>
      <c r="G6904">
        <v>101</v>
      </c>
      <c r="H6904">
        <v>130</v>
      </c>
    </row>
    <row r="6905" spans="1:8" x14ac:dyDescent="0.3">
      <c r="A6905" s="22" t="s">
        <v>64</v>
      </c>
      <c r="B6905" t="s">
        <v>68</v>
      </c>
      <c r="C6905" s="26">
        <v>24131.03448275862</v>
      </c>
      <c r="D6905">
        <v>21600</v>
      </c>
      <c r="E6905">
        <v>10800</v>
      </c>
      <c r="F6905">
        <v>64800</v>
      </c>
      <c r="G6905">
        <v>29</v>
      </c>
      <c r="H6905">
        <v>130</v>
      </c>
    </row>
    <row r="6907" spans="1:8" ht="57.6" x14ac:dyDescent="0.3">
      <c r="A6907" s="22" t="s">
        <v>1528</v>
      </c>
    </row>
    <row r="6908" spans="1:8" x14ac:dyDescent="0.3">
      <c r="A6908" s="22" t="s">
        <v>57</v>
      </c>
      <c r="B6908" t="s">
        <v>66</v>
      </c>
      <c r="C6908" t="s">
        <v>58</v>
      </c>
      <c r="D6908" t="s">
        <v>59</v>
      </c>
      <c r="E6908" t="s">
        <v>60</v>
      </c>
      <c r="F6908" t="s">
        <v>61</v>
      </c>
      <c r="G6908" t="s">
        <v>62</v>
      </c>
      <c r="H6908" t="s">
        <v>63</v>
      </c>
    </row>
    <row r="6909" spans="1:8" x14ac:dyDescent="0.3">
      <c r="A6909" s="22" t="s">
        <v>64</v>
      </c>
      <c r="B6909" t="s">
        <v>67</v>
      </c>
      <c r="C6909" s="26">
        <v>25338.775510204079</v>
      </c>
      <c r="D6909">
        <v>21600</v>
      </c>
      <c r="E6909">
        <v>10000</v>
      </c>
      <c r="F6909">
        <v>108000</v>
      </c>
      <c r="G6909">
        <v>98</v>
      </c>
      <c r="H6909">
        <v>130</v>
      </c>
    </row>
    <row r="6910" spans="1:8" x14ac:dyDescent="0.3">
      <c r="A6910" s="22" t="s">
        <v>64</v>
      </c>
      <c r="B6910" t="s">
        <v>68</v>
      </c>
      <c r="C6910" s="26">
        <v>26856.25</v>
      </c>
      <c r="D6910">
        <v>21600</v>
      </c>
      <c r="E6910">
        <v>10800</v>
      </c>
      <c r="F6910">
        <v>54000</v>
      </c>
      <c r="G6910">
        <v>32</v>
      </c>
      <c r="H6910">
        <v>130</v>
      </c>
    </row>
    <row r="6912" spans="1:8" ht="72" x14ac:dyDescent="0.3">
      <c r="A6912" s="22" t="s">
        <v>1529</v>
      </c>
    </row>
    <row r="6913" spans="1:8" x14ac:dyDescent="0.3">
      <c r="A6913" s="22" t="s">
        <v>57</v>
      </c>
      <c r="B6913" t="s">
        <v>66</v>
      </c>
      <c r="C6913" t="s">
        <v>58</v>
      </c>
      <c r="D6913" t="s">
        <v>59</v>
      </c>
      <c r="E6913" t="s">
        <v>60</v>
      </c>
      <c r="F6913" t="s">
        <v>61</v>
      </c>
      <c r="G6913" t="s">
        <v>62</v>
      </c>
      <c r="H6913" t="s">
        <v>63</v>
      </c>
    </row>
    <row r="6914" spans="1:8" x14ac:dyDescent="0.3">
      <c r="A6914" s="22" t="s">
        <v>64</v>
      </c>
      <c r="B6914" t="s">
        <v>67</v>
      </c>
      <c r="C6914" s="26">
        <v>25947.457627118649</v>
      </c>
      <c r="D6914">
        <v>21600</v>
      </c>
      <c r="E6914">
        <v>10000</v>
      </c>
      <c r="F6914">
        <v>108000</v>
      </c>
      <c r="G6914">
        <v>118</v>
      </c>
      <c r="H6914">
        <v>130</v>
      </c>
    </row>
    <row r="6915" spans="1:8" x14ac:dyDescent="0.3">
      <c r="A6915" s="22" t="s">
        <v>64</v>
      </c>
      <c r="B6915" t="s">
        <v>68</v>
      </c>
      <c r="C6915">
        <v>23400</v>
      </c>
      <c r="D6915">
        <v>21600</v>
      </c>
      <c r="E6915">
        <v>10800</v>
      </c>
      <c r="F6915">
        <v>43200</v>
      </c>
      <c r="G6915">
        <v>12</v>
      </c>
      <c r="H6915">
        <v>130</v>
      </c>
    </row>
    <row r="6917" spans="1:8" ht="72" x14ac:dyDescent="0.3">
      <c r="A6917" s="22" t="s">
        <v>1530</v>
      </c>
    </row>
    <row r="6918" spans="1:8" x14ac:dyDescent="0.3">
      <c r="A6918" s="22" t="s">
        <v>57</v>
      </c>
      <c r="B6918" t="s">
        <v>66</v>
      </c>
      <c r="C6918" t="s">
        <v>58</v>
      </c>
      <c r="D6918" t="s">
        <v>59</v>
      </c>
      <c r="E6918" t="s">
        <v>60</v>
      </c>
      <c r="F6918" t="s">
        <v>61</v>
      </c>
      <c r="G6918" t="s">
        <v>62</v>
      </c>
      <c r="H6918" t="s">
        <v>63</v>
      </c>
    </row>
    <row r="6919" spans="1:8" x14ac:dyDescent="0.3">
      <c r="A6919" s="22" t="s">
        <v>64</v>
      </c>
      <c r="B6919" t="s">
        <v>67</v>
      </c>
      <c r="C6919" s="26">
        <v>25712.307692307691</v>
      </c>
      <c r="D6919">
        <v>21600</v>
      </c>
      <c r="E6919">
        <v>10000</v>
      </c>
      <c r="F6919">
        <v>108000</v>
      </c>
      <c r="G6919">
        <v>130</v>
      </c>
      <c r="H6919">
        <v>130</v>
      </c>
    </row>
    <row r="6921" spans="1:8" ht="57.6" x14ac:dyDescent="0.3">
      <c r="A6921" s="22" t="s">
        <v>1531</v>
      </c>
    </row>
    <row r="6922" spans="1:8" x14ac:dyDescent="0.3">
      <c r="A6922" s="22" t="s">
        <v>57</v>
      </c>
      <c r="B6922" t="s">
        <v>66</v>
      </c>
      <c r="C6922" t="s">
        <v>58</v>
      </c>
      <c r="D6922" t="s">
        <v>59</v>
      </c>
      <c r="E6922" t="s">
        <v>60</v>
      </c>
      <c r="F6922" t="s">
        <v>61</v>
      </c>
      <c r="G6922" t="s">
        <v>62</v>
      </c>
      <c r="H6922" t="s">
        <v>63</v>
      </c>
    </row>
    <row r="6923" spans="1:8" x14ac:dyDescent="0.3">
      <c r="A6923" s="22" t="s">
        <v>64</v>
      </c>
      <c r="B6923" t="s">
        <v>67</v>
      </c>
      <c r="C6923" s="26">
        <v>25888.311688311689</v>
      </c>
      <c r="D6923">
        <v>21600</v>
      </c>
      <c r="E6923">
        <v>10800</v>
      </c>
      <c r="F6923">
        <v>64800</v>
      </c>
      <c r="G6923">
        <v>77</v>
      </c>
      <c r="H6923">
        <v>130</v>
      </c>
    </row>
    <row r="6924" spans="1:8" x14ac:dyDescent="0.3">
      <c r="A6924" s="22" t="s">
        <v>64</v>
      </c>
      <c r="B6924" t="s">
        <v>68</v>
      </c>
      <c r="C6924" s="26">
        <v>25456.60377358491</v>
      </c>
      <c r="D6924">
        <v>21600</v>
      </c>
      <c r="E6924">
        <v>10000</v>
      </c>
      <c r="F6924">
        <v>108000</v>
      </c>
      <c r="G6924">
        <v>53</v>
      </c>
      <c r="H6924">
        <v>130</v>
      </c>
    </row>
    <row r="6926" spans="1:8" ht="72" x14ac:dyDescent="0.3">
      <c r="A6926" s="22" t="s">
        <v>1532</v>
      </c>
    </row>
    <row r="6927" spans="1:8" x14ac:dyDescent="0.3">
      <c r="A6927" s="22" t="s">
        <v>57</v>
      </c>
      <c r="B6927" t="s">
        <v>66</v>
      </c>
      <c r="C6927" t="s">
        <v>58</v>
      </c>
      <c r="D6927" t="s">
        <v>59</v>
      </c>
      <c r="E6927" t="s">
        <v>60</v>
      </c>
      <c r="F6927" t="s">
        <v>61</v>
      </c>
      <c r="G6927" t="s">
        <v>62</v>
      </c>
      <c r="H6927" t="s">
        <v>63</v>
      </c>
    </row>
    <row r="6928" spans="1:8" x14ac:dyDescent="0.3">
      <c r="A6928" s="22" t="s">
        <v>64</v>
      </c>
      <c r="B6928" t="s">
        <v>67</v>
      </c>
      <c r="C6928" s="26">
        <v>26231.57894736842</v>
      </c>
      <c r="D6928">
        <v>21600</v>
      </c>
      <c r="E6928">
        <v>10800</v>
      </c>
      <c r="F6928">
        <v>108000</v>
      </c>
      <c r="G6928">
        <v>114</v>
      </c>
      <c r="H6928">
        <v>130</v>
      </c>
    </row>
    <row r="6929" spans="1:8" x14ac:dyDescent="0.3">
      <c r="A6929" s="22" t="s">
        <v>64</v>
      </c>
      <c r="B6929" t="s">
        <v>68</v>
      </c>
      <c r="C6929" s="26">
        <v>22012.5</v>
      </c>
      <c r="D6929">
        <v>21600</v>
      </c>
      <c r="E6929">
        <v>10000</v>
      </c>
      <c r="F6929">
        <v>54000</v>
      </c>
      <c r="G6929">
        <v>16</v>
      </c>
      <c r="H6929">
        <v>130</v>
      </c>
    </row>
    <row r="6931" spans="1:8" ht="43.2" x14ac:dyDescent="0.3">
      <c r="A6931" s="27" t="s">
        <v>1533</v>
      </c>
    </row>
    <row r="6932" spans="1:8" x14ac:dyDescent="0.3">
      <c r="A6932" s="22" t="s">
        <v>57</v>
      </c>
      <c r="B6932" t="s">
        <v>66</v>
      </c>
      <c r="C6932" t="s">
        <v>58</v>
      </c>
      <c r="D6932" t="s">
        <v>59</v>
      </c>
      <c r="E6932" t="s">
        <v>60</v>
      </c>
      <c r="F6932" t="s">
        <v>61</v>
      </c>
      <c r="G6932" t="s">
        <v>62</v>
      </c>
      <c r="H6932" t="s">
        <v>63</v>
      </c>
    </row>
    <row r="6933" spans="1:8" x14ac:dyDescent="0.3">
      <c r="A6933" s="22" t="s">
        <v>64</v>
      </c>
      <c r="B6933" t="s">
        <v>81</v>
      </c>
      <c r="C6933" s="26">
        <v>23256.25</v>
      </c>
      <c r="D6933">
        <v>21600</v>
      </c>
      <c r="E6933">
        <v>10800</v>
      </c>
      <c r="F6933">
        <v>64800</v>
      </c>
      <c r="G6933">
        <v>32</v>
      </c>
      <c r="H6933">
        <v>130</v>
      </c>
    </row>
    <row r="6934" spans="1:8" x14ac:dyDescent="0.3">
      <c r="A6934" s="22" t="s">
        <v>64</v>
      </c>
      <c r="B6934" t="s">
        <v>82</v>
      </c>
      <c r="C6934">
        <v>25400</v>
      </c>
      <c r="D6934">
        <v>21600</v>
      </c>
      <c r="E6934">
        <v>10800</v>
      </c>
      <c r="F6934">
        <v>64800</v>
      </c>
      <c r="G6934">
        <v>34</v>
      </c>
      <c r="H6934">
        <v>130</v>
      </c>
    </row>
    <row r="6935" spans="1:8" x14ac:dyDescent="0.3">
      <c r="A6935" s="22" t="s">
        <v>64</v>
      </c>
      <c r="B6935" t="s">
        <v>83</v>
      </c>
      <c r="C6935" s="26">
        <v>26442.42424242424</v>
      </c>
      <c r="D6935">
        <v>21600</v>
      </c>
      <c r="E6935">
        <v>10800</v>
      </c>
      <c r="F6935">
        <v>64000</v>
      </c>
      <c r="G6935">
        <v>33</v>
      </c>
      <c r="H6935">
        <v>130</v>
      </c>
    </row>
    <row r="6936" spans="1:8" x14ac:dyDescent="0.3">
      <c r="A6936" s="22" t="s">
        <v>64</v>
      </c>
      <c r="B6936" t="s">
        <v>84</v>
      </c>
      <c r="C6936" s="26">
        <v>27812.903225806451</v>
      </c>
      <c r="D6936">
        <v>21600</v>
      </c>
      <c r="E6936">
        <v>10000</v>
      </c>
      <c r="F6936">
        <v>108000</v>
      </c>
      <c r="G6936">
        <v>31</v>
      </c>
      <c r="H6936">
        <v>130</v>
      </c>
    </row>
    <row r="6938" spans="1:8" ht="43.2" x14ac:dyDescent="0.3">
      <c r="A6938" s="27" t="s">
        <v>1534</v>
      </c>
    </row>
    <row r="6939" spans="1:8" x14ac:dyDescent="0.3">
      <c r="A6939" s="22" t="s">
        <v>57</v>
      </c>
      <c r="B6939" t="s">
        <v>58</v>
      </c>
      <c r="C6939" t="s">
        <v>59</v>
      </c>
      <c r="D6939" t="s">
        <v>60</v>
      </c>
      <c r="E6939" t="s">
        <v>61</v>
      </c>
      <c r="F6939" t="s">
        <v>62</v>
      </c>
      <c r="G6939" t="s">
        <v>63</v>
      </c>
    </row>
    <row r="6940" spans="1:8" x14ac:dyDescent="0.3">
      <c r="A6940" s="22" t="s">
        <v>64</v>
      </c>
      <c r="B6940" s="26">
        <v>9554.7948717948711</v>
      </c>
      <c r="C6940">
        <v>10800</v>
      </c>
      <c r="D6940">
        <v>1800</v>
      </c>
      <c r="E6940">
        <v>21600</v>
      </c>
      <c r="F6940">
        <v>130</v>
      </c>
      <c r="G6940">
        <v>130</v>
      </c>
    </row>
    <row r="6942" spans="1:8" ht="72" x14ac:dyDescent="0.3">
      <c r="A6942" s="22" t="s">
        <v>1535</v>
      </c>
    </row>
    <row r="6943" spans="1:8" x14ac:dyDescent="0.3">
      <c r="A6943" s="22" t="s">
        <v>57</v>
      </c>
      <c r="B6943" t="s">
        <v>66</v>
      </c>
      <c r="C6943" t="s">
        <v>58</v>
      </c>
      <c r="D6943" t="s">
        <v>59</v>
      </c>
      <c r="E6943" t="s">
        <v>60</v>
      </c>
      <c r="F6943" t="s">
        <v>61</v>
      </c>
      <c r="G6943" t="s">
        <v>62</v>
      </c>
      <c r="H6943" t="s">
        <v>63</v>
      </c>
    </row>
    <row r="6944" spans="1:8" x14ac:dyDescent="0.3">
      <c r="A6944" s="22" t="s">
        <v>64</v>
      </c>
      <c r="B6944" t="s">
        <v>67</v>
      </c>
      <c r="C6944" s="26">
        <v>9575.7452574525742</v>
      </c>
      <c r="D6944">
        <v>10800</v>
      </c>
      <c r="E6944">
        <v>2160</v>
      </c>
      <c r="F6944">
        <v>21600</v>
      </c>
      <c r="G6944">
        <v>123</v>
      </c>
      <c r="H6944">
        <v>130</v>
      </c>
    </row>
    <row r="6945" spans="1:8" x14ac:dyDescent="0.3">
      <c r="A6945" s="22" t="s">
        <v>64</v>
      </c>
      <c r="B6945" t="s">
        <v>68</v>
      </c>
      <c r="C6945" s="26">
        <v>9186.6666666666715</v>
      </c>
      <c r="D6945">
        <v>10800</v>
      </c>
      <c r="E6945">
        <v>1800</v>
      </c>
      <c r="F6945">
        <v>10800</v>
      </c>
      <c r="G6945">
        <v>7</v>
      </c>
      <c r="H6945">
        <v>130</v>
      </c>
    </row>
    <row r="6947" spans="1:8" x14ac:dyDescent="0.3">
      <c r="A6947"/>
    </row>
    <row r="6948" spans="1:8" x14ac:dyDescent="0.3">
      <c r="A6948"/>
    </row>
    <row r="6949" spans="1:8" x14ac:dyDescent="0.3">
      <c r="A6949"/>
    </row>
    <row r="6951" spans="1:8" ht="57.6" x14ac:dyDescent="0.3">
      <c r="A6951" s="22" t="s">
        <v>1536</v>
      </c>
    </row>
    <row r="6952" spans="1:8" x14ac:dyDescent="0.3">
      <c r="A6952" s="22" t="s">
        <v>57</v>
      </c>
      <c r="B6952" t="s">
        <v>66</v>
      </c>
      <c r="C6952" t="s">
        <v>58</v>
      </c>
      <c r="D6952" t="s">
        <v>59</v>
      </c>
      <c r="E6952" t="s">
        <v>60</v>
      </c>
      <c r="F6952" t="s">
        <v>61</v>
      </c>
      <c r="G6952" t="s">
        <v>62</v>
      </c>
      <c r="H6952" t="s">
        <v>63</v>
      </c>
    </row>
    <row r="6953" spans="1:8" x14ac:dyDescent="0.3">
      <c r="A6953" s="22" t="s">
        <v>64</v>
      </c>
      <c r="B6953" t="s">
        <v>67</v>
      </c>
      <c r="C6953" s="26">
        <v>9495.4838709677442</v>
      </c>
      <c r="D6953">
        <v>10800</v>
      </c>
      <c r="E6953">
        <v>1800</v>
      </c>
      <c r="F6953">
        <v>21600</v>
      </c>
      <c r="G6953">
        <v>124</v>
      </c>
      <c r="H6953">
        <v>130</v>
      </c>
    </row>
    <row r="6954" spans="1:8" x14ac:dyDescent="0.3">
      <c r="A6954" s="22" t="s">
        <v>64</v>
      </c>
      <c r="B6954" t="s">
        <v>68</v>
      </c>
      <c r="C6954" s="26">
        <v>10780.555555555549</v>
      </c>
      <c r="D6954">
        <v>10800</v>
      </c>
      <c r="E6954" s="26">
        <v>10333.333333333299</v>
      </c>
      <c r="F6954">
        <v>11200</v>
      </c>
      <c r="G6954">
        <v>6</v>
      </c>
      <c r="H6954">
        <v>130</v>
      </c>
    </row>
    <row r="6956" spans="1:8" ht="57.6" x14ac:dyDescent="0.3">
      <c r="A6956" s="22" t="s">
        <v>1537</v>
      </c>
    </row>
    <row r="6957" spans="1:8" x14ac:dyDescent="0.3">
      <c r="A6957" s="22" t="s">
        <v>57</v>
      </c>
      <c r="B6957" t="s">
        <v>66</v>
      </c>
      <c r="C6957" t="s">
        <v>58</v>
      </c>
      <c r="D6957" t="s">
        <v>59</v>
      </c>
      <c r="E6957" t="s">
        <v>60</v>
      </c>
      <c r="F6957" t="s">
        <v>61</v>
      </c>
      <c r="G6957" t="s">
        <v>62</v>
      </c>
      <c r="H6957" t="s">
        <v>63</v>
      </c>
    </row>
    <row r="6958" spans="1:8" x14ac:dyDescent="0.3">
      <c r="A6958" s="22" t="s">
        <v>64</v>
      </c>
      <c r="B6958" t="s">
        <v>67</v>
      </c>
      <c r="C6958" s="26">
        <v>9575.6330749354001</v>
      </c>
      <c r="D6958">
        <v>10800</v>
      </c>
      <c r="E6958">
        <v>1800</v>
      </c>
      <c r="F6958">
        <v>21600</v>
      </c>
      <c r="G6958">
        <v>129</v>
      </c>
      <c r="H6958">
        <v>130</v>
      </c>
    </row>
    <row r="6959" spans="1:8" x14ac:dyDescent="0.3">
      <c r="A6959" s="22" t="s">
        <v>64</v>
      </c>
      <c r="B6959" t="s">
        <v>68</v>
      </c>
      <c r="C6959" s="26">
        <v>6866.6666666666697</v>
      </c>
      <c r="D6959" s="26">
        <v>6866.6666666666697</v>
      </c>
      <c r="E6959" s="26">
        <v>6866.6666666666697</v>
      </c>
      <c r="F6959" s="26">
        <v>6866.6666666666697</v>
      </c>
      <c r="G6959">
        <v>1</v>
      </c>
      <c r="H6959">
        <v>130</v>
      </c>
    </row>
    <row r="6961" spans="1:8" ht="72" x14ac:dyDescent="0.3">
      <c r="A6961" s="22" t="s">
        <v>1538</v>
      </c>
    </row>
    <row r="6962" spans="1:8" x14ac:dyDescent="0.3">
      <c r="A6962" s="22" t="s">
        <v>57</v>
      </c>
      <c r="B6962" t="s">
        <v>66</v>
      </c>
      <c r="C6962" t="s">
        <v>58</v>
      </c>
      <c r="D6962" t="s">
        <v>59</v>
      </c>
      <c r="E6962" t="s">
        <v>60</v>
      </c>
      <c r="F6962" t="s">
        <v>61</v>
      </c>
      <c r="G6962" t="s">
        <v>62</v>
      </c>
      <c r="H6962" t="s">
        <v>63</v>
      </c>
    </row>
    <row r="6963" spans="1:8" x14ac:dyDescent="0.3">
      <c r="A6963" s="22" t="s">
        <v>64</v>
      </c>
      <c r="B6963" t="s">
        <v>67</v>
      </c>
      <c r="C6963" s="26">
        <v>9601.0277777777792</v>
      </c>
      <c r="D6963">
        <v>10800</v>
      </c>
      <c r="E6963">
        <v>1800</v>
      </c>
      <c r="F6963">
        <v>21600</v>
      </c>
      <c r="G6963">
        <v>120</v>
      </c>
      <c r="H6963">
        <v>130</v>
      </c>
    </row>
    <row r="6964" spans="1:8" x14ac:dyDescent="0.3">
      <c r="A6964" s="22" t="s">
        <v>64</v>
      </c>
      <c r="B6964" t="s">
        <v>68</v>
      </c>
      <c r="C6964">
        <v>9000</v>
      </c>
      <c r="D6964">
        <v>10800</v>
      </c>
      <c r="E6964">
        <v>3600</v>
      </c>
      <c r="F6964">
        <v>10800</v>
      </c>
      <c r="G6964">
        <v>10</v>
      </c>
      <c r="H6964">
        <v>130</v>
      </c>
    </row>
    <row r="6966" spans="1:8" ht="72" x14ac:dyDescent="0.3">
      <c r="A6966" s="22" t="s">
        <v>1539</v>
      </c>
    </row>
    <row r="6967" spans="1:8" x14ac:dyDescent="0.3">
      <c r="A6967" s="22" t="s">
        <v>57</v>
      </c>
      <c r="B6967" t="s">
        <v>66</v>
      </c>
      <c r="C6967" t="s">
        <v>58</v>
      </c>
      <c r="D6967" t="s">
        <v>59</v>
      </c>
      <c r="E6967" t="s">
        <v>60</v>
      </c>
      <c r="F6967" t="s">
        <v>61</v>
      </c>
      <c r="G6967" t="s">
        <v>62</v>
      </c>
      <c r="H6967" t="s">
        <v>63</v>
      </c>
    </row>
    <row r="6968" spans="1:8" x14ac:dyDescent="0.3">
      <c r="A6968" s="22" t="s">
        <v>64</v>
      </c>
      <c r="B6968" t="s">
        <v>67</v>
      </c>
      <c r="C6968" s="26">
        <v>10341.333333333339</v>
      </c>
      <c r="D6968">
        <v>10800</v>
      </c>
      <c r="E6968">
        <v>8640</v>
      </c>
      <c r="F6968">
        <v>10800</v>
      </c>
      <c r="G6968">
        <v>5</v>
      </c>
      <c r="H6968">
        <v>130</v>
      </c>
    </row>
    <row r="6969" spans="1:8" x14ac:dyDescent="0.3">
      <c r="A6969" s="22" t="s">
        <v>64</v>
      </c>
      <c r="B6969" t="s">
        <v>68</v>
      </c>
      <c r="C6969" s="26">
        <v>9523.3333333333339</v>
      </c>
      <c r="D6969">
        <v>10800</v>
      </c>
      <c r="E6969">
        <v>1800</v>
      </c>
      <c r="F6969">
        <v>21600</v>
      </c>
      <c r="G6969">
        <v>125</v>
      </c>
      <c r="H6969">
        <v>130</v>
      </c>
    </row>
    <row r="6971" spans="1:8" ht="57.6" x14ac:dyDescent="0.3">
      <c r="A6971" s="22" t="s">
        <v>1540</v>
      </c>
    </row>
    <row r="6972" spans="1:8" x14ac:dyDescent="0.3">
      <c r="A6972" s="22" t="s">
        <v>57</v>
      </c>
      <c r="B6972" t="s">
        <v>66</v>
      </c>
      <c r="C6972" t="s">
        <v>58</v>
      </c>
      <c r="D6972" t="s">
        <v>59</v>
      </c>
      <c r="E6972" t="s">
        <v>60</v>
      </c>
      <c r="F6972" t="s">
        <v>61</v>
      </c>
      <c r="G6972" t="s">
        <v>62</v>
      </c>
      <c r="H6972" t="s">
        <v>63</v>
      </c>
    </row>
    <row r="6973" spans="1:8" x14ac:dyDescent="0.3">
      <c r="A6973" s="22" t="s">
        <v>64</v>
      </c>
      <c r="B6973" t="s">
        <v>67</v>
      </c>
      <c r="C6973" s="26">
        <v>9325.6918238993712</v>
      </c>
      <c r="D6973">
        <v>10800</v>
      </c>
      <c r="E6973">
        <v>1800</v>
      </c>
      <c r="F6973">
        <v>11200</v>
      </c>
      <c r="G6973">
        <v>106</v>
      </c>
      <c r="H6973">
        <v>130</v>
      </c>
    </row>
    <row r="6974" spans="1:8" x14ac:dyDescent="0.3">
      <c r="A6974" s="22" t="s">
        <v>64</v>
      </c>
      <c r="B6974" t="s">
        <v>68</v>
      </c>
      <c r="C6974" s="26">
        <v>10566.66666666667</v>
      </c>
      <c r="D6974">
        <v>10800</v>
      </c>
      <c r="E6974">
        <v>5000</v>
      </c>
      <c r="F6974">
        <v>21600</v>
      </c>
      <c r="G6974">
        <v>24</v>
      </c>
      <c r="H6974">
        <v>130</v>
      </c>
    </row>
    <row r="6976" spans="1:8" ht="57.6" x14ac:dyDescent="0.3">
      <c r="A6976" s="22" t="s">
        <v>1541</v>
      </c>
    </row>
    <row r="6977" spans="1:8" x14ac:dyDescent="0.3">
      <c r="A6977" s="22" t="s">
        <v>57</v>
      </c>
      <c r="B6977" t="s">
        <v>66</v>
      </c>
      <c r="C6977" t="s">
        <v>58</v>
      </c>
      <c r="D6977" t="s">
        <v>59</v>
      </c>
      <c r="E6977" t="s">
        <v>60</v>
      </c>
      <c r="F6977" t="s">
        <v>61</v>
      </c>
      <c r="G6977" t="s">
        <v>62</v>
      </c>
      <c r="H6977" t="s">
        <v>63</v>
      </c>
    </row>
    <row r="6978" spans="1:8" x14ac:dyDescent="0.3">
      <c r="A6978" s="22" t="s">
        <v>64</v>
      </c>
      <c r="B6978" t="s">
        <v>67</v>
      </c>
      <c r="C6978" s="26">
        <v>9152.046204620463</v>
      </c>
      <c r="D6978">
        <v>10800</v>
      </c>
      <c r="E6978">
        <v>1800</v>
      </c>
      <c r="F6978">
        <v>11200</v>
      </c>
      <c r="G6978">
        <v>101</v>
      </c>
      <c r="H6978">
        <v>130</v>
      </c>
    </row>
    <row r="6979" spans="1:8" x14ac:dyDescent="0.3">
      <c r="A6979" s="22" t="s">
        <v>64</v>
      </c>
      <c r="B6979" t="s">
        <v>68</v>
      </c>
      <c r="C6979" s="26">
        <v>10957.471264367819</v>
      </c>
      <c r="D6979">
        <v>10800</v>
      </c>
      <c r="E6979">
        <v>5400</v>
      </c>
      <c r="F6979">
        <v>21600</v>
      </c>
      <c r="G6979">
        <v>29</v>
      </c>
      <c r="H6979">
        <v>130</v>
      </c>
    </row>
    <row r="6981" spans="1:8" ht="72" x14ac:dyDescent="0.3">
      <c r="A6981" s="22" t="s">
        <v>1542</v>
      </c>
    </row>
    <row r="6982" spans="1:8" x14ac:dyDescent="0.3">
      <c r="A6982" s="22" t="s">
        <v>57</v>
      </c>
      <c r="B6982" t="s">
        <v>66</v>
      </c>
      <c r="C6982" t="s">
        <v>58</v>
      </c>
      <c r="D6982" t="s">
        <v>59</v>
      </c>
      <c r="E6982" t="s">
        <v>60</v>
      </c>
      <c r="F6982" t="s">
        <v>61</v>
      </c>
      <c r="G6982" t="s">
        <v>62</v>
      </c>
      <c r="H6982" t="s">
        <v>63</v>
      </c>
    </row>
    <row r="6983" spans="1:8" x14ac:dyDescent="0.3">
      <c r="A6983" s="22" t="s">
        <v>64</v>
      </c>
      <c r="B6983" t="s">
        <v>67</v>
      </c>
      <c r="C6983" s="26">
        <v>9348.5374149659874</v>
      </c>
      <c r="D6983">
        <v>10800</v>
      </c>
      <c r="E6983">
        <v>1800</v>
      </c>
      <c r="F6983">
        <v>21600</v>
      </c>
      <c r="G6983">
        <v>98</v>
      </c>
      <c r="H6983">
        <v>130</v>
      </c>
    </row>
    <row r="6984" spans="1:8" x14ac:dyDescent="0.3">
      <c r="A6984" s="22" t="s">
        <v>64</v>
      </c>
      <c r="B6984" t="s">
        <v>68</v>
      </c>
      <c r="C6984">
        <v>10186.45833333333</v>
      </c>
      <c r="D6984">
        <v>10800</v>
      </c>
      <c r="E6984">
        <v>3600</v>
      </c>
      <c r="F6984" s="26">
        <v>10866.666666666701</v>
      </c>
      <c r="G6984">
        <v>32</v>
      </c>
      <c r="H6984">
        <v>130</v>
      </c>
    </row>
    <row r="6986" spans="1:8" ht="72" x14ac:dyDescent="0.3">
      <c r="A6986" s="22" t="s">
        <v>1543</v>
      </c>
    </row>
    <row r="6987" spans="1:8" x14ac:dyDescent="0.3">
      <c r="A6987" s="22" t="s">
        <v>57</v>
      </c>
      <c r="B6987" t="s">
        <v>66</v>
      </c>
      <c r="C6987" t="s">
        <v>58</v>
      </c>
      <c r="D6987" t="s">
        <v>59</v>
      </c>
      <c r="E6987" t="s">
        <v>60</v>
      </c>
      <c r="F6987" t="s">
        <v>61</v>
      </c>
      <c r="G6987" t="s">
        <v>62</v>
      </c>
      <c r="H6987" t="s">
        <v>63</v>
      </c>
    </row>
    <row r="6988" spans="1:8" x14ac:dyDescent="0.3">
      <c r="A6988" s="22" t="s">
        <v>64</v>
      </c>
      <c r="B6988" t="s">
        <v>67</v>
      </c>
      <c r="C6988" s="26">
        <v>9553.2485875706225</v>
      </c>
      <c r="D6988">
        <v>10800</v>
      </c>
      <c r="E6988">
        <v>1800</v>
      </c>
      <c r="F6988">
        <v>21600</v>
      </c>
      <c r="G6988">
        <v>118</v>
      </c>
      <c r="H6988">
        <v>130</v>
      </c>
    </row>
    <row r="6989" spans="1:8" x14ac:dyDescent="0.3">
      <c r="A6989" s="22" t="s">
        <v>64</v>
      </c>
      <c r="B6989" t="s">
        <v>68</v>
      </c>
      <c r="C6989">
        <v>9570</v>
      </c>
      <c r="D6989">
        <v>10800</v>
      </c>
      <c r="E6989">
        <v>3600</v>
      </c>
      <c r="F6989">
        <v>10800</v>
      </c>
      <c r="G6989">
        <v>12</v>
      </c>
      <c r="H6989">
        <v>130</v>
      </c>
    </row>
    <row r="6991" spans="1:8" ht="72" x14ac:dyDescent="0.3">
      <c r="A6991" s="22" t="s">
        <v>1544</v>
      </c>
    </row>
    <row r="6992" spans="1:8" x14ac:dyDescent="0.3">
      <c r="A6992" s="22" t="s">
        <v>57</v>
      </c>
      <c r="B6992" t="s">
        <v>66</v>
      </c>
      <c r="C6992" t="s">
        <v>58</v>
      </c>
      <c r="D6992" t="s">
        <v>59</v>
      </c>
      <c r="E6992" t="s">
        <v>60</v>
      </c>
      <c r="F6992" t="s">
        <v>61</v>
      </c>
      <c r="G6992" t="s">
        <v>62</v>
      </c>
      <c r="H6992" t="s">
        <v>63</v>
      </c>
    </row>
    <row r="6993" spans="1:8" x14ac:dyDescent="0.3">
      <c r="A6993" s="22" t="s">
        <v>64</v>
      </c>
      <c r="B6993" t="s">
        <v>67</v>
      </c>
      <c r="C6993">
        <v>9554.7948717948711</v>
      </c>
      <c r="D6993">
        <v>10800</v>
      </c>
      <c r="E6993">
        <v>1800</v>
      </c>
      <c r="F6993">
        <v>21600</v>
      </c>
      <c r="G6993">
        <v>130</v>
      </c>
      <c r="H6993">
        <v>130</v>
      </c>
    </row>
    <row r="6995" spans="1:8" ht="57.6" x14ac:dyDescent="0.3">
      <c r="A6995" s="22" t="s">
        <v>1545</v>
      </c>
    </row>
    <row r="6996" spans="1:8" x14ac:dyDescent="0.3">
      <c r="A6996" s="22" t="s">
        <v>57</v>
      </c>
      <c r="B6996" t="s">
        <v>66</v>
      </c>
      <c r="C6996" t="s">
        <v>58</v>
      </c>
      <c r="D6996" t="s">
        <v>59</v>
      </c>
      <c r="E6996" t="s">
        <v>60</v>
      </c>
      <c r="F6996" t="s">
        <v>61</v>
      </c>
      <c r="G6996" t="s">
        <v>62</v>
      </c>
      <c r="H6996" t="s">
        <v>63</v>
      </c>
    </row>
    <row r="6997" spans="1:8" x14ac:dyDescent="0.3">
      <c r="A6997" s="22" t="s">
        <v>64</v>
      </c>
      <c r="B6997" t="s">
        <v>67</v>
      </c>
      <c r="C6997" s="26">
        <v>9789.9134199134223</v>
      </c>
      <c r="D6997">
        <v>10800</v>
      </c>
      <c r="E6997">
        <v>2160</v>
      </c>
      <c r="F6997">
        <v>21600</v>
      </c>
      <c r="G6997">
        <v>77</v>
      </c>
      <c r="H6997">
        <v>130</v>
      </c>
    </row>
    <row r="6998" spans="1:8" x14ac:dyDescent="0.3">
      <c r="A6998" s="22" t="s">
        <v>64</v>
      </c>
      <c r="B6998" t="s">
        <v>68</v>
      </c>
      <c r="C6998" s="26">
        <v>9213.2075471698117</v>
      </c>
      <c r="D6998">
        <v>10800</v>
      </c>
      <c r="E6998">
        <v>1800</v>
      </c>
      <c r="F6998">
        <v>10800</v>
      </c>
      <c r="G6998">
        <v>53</v>
      </c>
      <c r="H6998">
        <v>130</v>
      </c>
    </row>
    <row r="6999" spans="1:8" x14ac:dyDescent="0.3">
      <c r="C6999" s="26"/>
    </row>
    <row r="7000" spans="1:8" ht="72" x14ac:dyDescent="0.3">
      <c r="A7000" s="22" t="s">
        <v>1546</v>
      </c>
    </row>
    <row r="7001" spans="1:8" x14ac:dyDescent="0.3">
      <c r="A7001" s="22" t="s">
        <v>57</v>
      </c>
      <c r="B7001" t="s">
        <v>66</v>
      </c>
      <c r="C7001" t="s">
        <v>58</v>
      </c>
      <c r="D7001" t="s">
        <v>59</v>
      </c>
      <c r="E7001" t="s">
        <v>60</v>
      </c>
      <c r="F7001" t="s">
        <v>61</v>
      </c>
      <c r="G7001" t="s">
        <v>62</v>
      </c>
      <c r="H7001" t="s">
        <v>63</v>
      </c>
    </row>
    <row r="7002" spans="1:8" x14ac:dyDescent="0.3">
      <c r="A7002" s="22" t="s">
        <v>64</v>
      </c>
      <c r="B7002" t="s">
        <v>67</v>
      </c>
      <c r="C7002" s="26">
        <v>9535.5847953216362</v>
      </c>
      <c r="D7002">
        <v>10800</v>
      </c>
      <c r="E7002">
        <v>1800</v>
      </c>
      <c r="F7002">
        <v>21600</v>
      </c>
      <c r="G7002">
        <v>114</v>
      </c>
      <c r="H7002">
        <v>130</v>
      </c>
    </row>
    <row r="7003" spans="1:8" x14ac:dyDescent="0.3">
      <c r="A7003" s="22" t="s">
        <v>64</v>
      </c>
      <c r="B7003" t="s">
        <v>68</v>
      </c>
      <c r="C7003" s="26">
        <v>9691.6666666666679</v>
      </c>
      <c r="D7003">
        <v>10800</v>
      </c>
      <c r="E7003">
        <v>3600</v>
      </c>
      <c r="F7003">
        <v>10800</v>
      </c>
      <c r="G7003">
        <v>16</v>
      </c>
      <c r="H7003">
        <v>130</v>
      </c>
    </row>
    <row r="7005" spans="1:8" ht="57.6" x14ac:dyDescent="0.3">
      <c r="A7005" s="27" t="s">
        <v>1547</v>
      </c>
    </row>
    <row r="7006" spans="1:8" x14ac:dyDescent="0.3">
      <c r="A7006" s="22" t="s">
        <v>57</v>
      </c>
      <c r="B7006" t="s">
        <v>66</v>
      </c>
      <c r="C7006" t="s">
        <v>58</v>
      </c>
      <c r="D7006" t="s">
        <v>59</v>
      </c>
      <c r="E7006" t="s">
        <v>60</v>
      </c>
      <c r="F7006" t="s">
        <v>61</v>
      </c>
      <c r="G7006" t="s">
        <v>62</v>
      </c>
      <c r="H7006" t="s">
        <v>63</v>
      </c>
    </row>
    <row r="7007" spans="1:8" x14ac:dyDescent="0.3">
      <c r="A7007" s="22" t="s">
        <v>64</v>
      </c>
      <c r="B7007" t="s">
        <v>81</v>
      </c>
      <c r="C7007">
        <v>10109.375</v>
      </c>
      <c r="D7007">
        <v>10800</v>
      </c>
      <c r="E7007">
        <v>3600</v>
      </c>
      <c r="F7007">
        <v>21600</v>
      </c>
      <c r="G7007">
        <v>32</v>
      </c>
      <c r="H7007">
        <v>130</v>
      </c>
    </row>
    <row r="7008" spans="1:8" x14ac:dyDescent="0.3">
      <c r="A7008" s="22" t="s">
        <v>64</v>
      </c>
      <c r="B7008" t="s">
        <v>82</v>
      </c>
      <c r="C7008" s="26">
        <v>9814.6078431372553</v>
      </c>
      <c r="D7008">
        <v>10800</v>
      </c>
      <c r="E7008">
        <v>3600</v>
      </c>
      <c r="F7008">
        <v>11200</v>
      </c>
      <c r="G7008">
        <v>34</v>
      </c>
      <c r="H7008">
        <v>130</v>
      </c>
    </row>
    <row r="7009" spans="1:8" x14ac:dyDescent="0.3">
      <c r="A7009" s="22" t="s">
        <v>64</v>
      </c>
      <c r="B7009" t="s">
        <v>83</v>
      </c>
      <c r="C7009" s="26">
        <v>9690.9090909090901</v>
      </c>
      <c r="D7009">
        <v>10800</v>
      </c>
      <c r="E7009">
        <v>2160</v>
      </c>
      <c r="F7009">
        <v>10800</v>
      </c>
      <c r="G7009">
        <v>33</v>
      </c>
      <c r="H7009">
        <v>130</v>
      </c>
    </row>
    <row r="7010" spans="1:8" x14ac:dyDescent="0.3">
      <c r="A7010" s="22" t="s">
        <v>64</v>
      </c>
      <c r="B7010" t="s">
        <v>84</v>
      </c>
      <c r="C7010" s="26">
        <v>8552.4731182795695</v>
      </c>
      <c r="D7010">
        <v>10800</v>
      </c>
      <c r="E7010">
        <v>1800</v>
      </c>
      <c r="F7010">
        <v>10800</v>
      </c>
      <c r="G7010">
        <v>31</v>
      </c>
      <c r="H7010">
        <v>130</v>
      </c>
    </row>
    <row r="7012" spans="1:8" ht="43.2" x14ac:dyDescent="0.3">
      <c r="A7012" s="27" t="s">
        <v>1548</v>
      </c>
    </row>
    <row r="7013" spans="1:8" x14ac:dyDescent="0.3">
      <c r="A7013" s="22" t="s">
        <v>62</v>
      </c>
      <c r="B7013" t="s">
        <v>57</v>
      </c>
      <c r="C7013" t="s">
        <v>63</v>
      </c>
      <c r="D7013" t="s">
        <v>410</v>
      </c>
      <c r="E7013" t="s">
        <v>413</v>
      </c>
    </row>
    <row r="7014" spans="1:8" x14ac:dyDescent="0.3">
      <c r="A7014" s="22">
        <v>130</v>
      </c>
      <c r="B7014" t="s">
        <v>64</v>
      </c>
      <c r="C7014">
        <v>130</v>
      </c>
      <c r="D7014" s="8">
        <v>0.66149999999999998</v>
      </c>
      <c r="E7014" s="8">
        <v>0.33850000000000002</v>
      </c>
    </row>
    <row r="7016" spans="1:8" ht="57.6" x14ac:dyDescent="0.3">
      <c r="A7016" s="22" t="s">
        <v>1549</v>
      </c>
    </row>
    <row r="7017" spans="1:8" x14ac:dyDescent="0.3">
      <c r="A7017" s="22" t="s">
        <v>66</v>
      </c>
      <c r="B7017" t="s">
        <v>62</v>
      </c>
      <c r="C7017" t="s">
        <v>57</v>
      </c>
      <c r="D7017" t="s">
        <v>63</v>
      </c>
      <c r="E7017" t="s">
        <v>410</v>
      </c>
      <c r="F7017" t="s">
        <v>413</v>
      </c>
    </row>
    <row r="7018" spans="1:8" x14ac:dyDescent="0.3">
      <c r="A7018" s="22" t="s">
        <v>67</v>
      </c>
      <c r="B7018">
        <v>123</v>
      </c>
      <c r="C7018" t="s">
        <v>64</v>
      </c>
      <c r="D7018">
        <v>130</v>
      </c>
      <c r="E7018" s="8">
        <v>0.67479999999999996</v>
      </c>
      <c r="F7018" s="8">
        <v>0.32519999999999999</v>
      </c>
    </row>
    <row r="7019" spans="1:8" x14ac:dyDescent="0.3">
      <c r="A7019" s="22" t="s">
        <v>68</v>
      </c>
      <c r="B7019">
        <v>7</v>
      </c>
      <c r="C7019" t="s">
        <v>64</v>
      </c>
      <c r="D7019">
        <v>130</v>
      </c>
      <c r="E7019" s="8">
        <v>0.42859999999999998</v>
      </c>
      <c r="F7019" s="8">
        <v>0.57140000000000002</v>
      </c>
    </row>
    <row r="7021" spans="1:8" x14ac:dyDescent="0.3">
      <c r="A7021"/>
    </row>
    <row r="7022" spans="1:8" x14ac:dyDescent="0.3">
      <c r="A7022"/>
    </row>
    <row r="7023" spans="1:8" x14ac:dyDescent="0.3">
      <c r="A7023"/>
    </row>
    <row r="7024" spans="1:8" x14ac:dyDescent="0.3">
      <c r="A7024"/>
    </row>
    <row r="7025" spans="1:6" ht="57.6" x14ac:dyDescent="0.3">
      <c r="A7025" s="22" t="s">
        <v>1550</v>
      </c>
    </row>
    <row r="7026" spans="1:6" x14ac:dyDescent="0.3">
      <c r="A7026" s="22" t="s">
        <v>66</v>
      </c>
      <c r="B7026" t="s">
        <v>62</v>
      </c>
      <c r="C7026" t="s">
        <v>57</v>
      </c>
      <c r="D7026" t="s">
        <v>63</v>
      </c>
      <c r="E7026" t="s">
        <v>410</v>
      </c>
      <c r="F7026" t="s">
        <v>413</v>
      </c>
    </row>
    <row r="7027" spans="1:6" x14ac:dyDescent="0.3">
      <c r="A7027" s="22" t="s">
        <v>67</v>
      </c>
      <c r="B7027">
        <v>124</v>
      </c>
      <c r="C7027" t="s">
        <v>64</v>
      </c>
      <c r="D7027">
        <v>130</v>
      </c>
      <c r="E7027" s="8">
        <v>0.6532</v>
      </c>
      <c r="F7027" s="8">
        <v>0.3468</v>
      </c>
    </row>
    <row r="7028" spans="1:6" x14ac:dyDescent="0.3">
      <c r="A7028" s="22" t="s">
        <v>68</v>
      </c>
      <c r="B7028">
        <v>6</v>
      </c>
      <c r="C7028" t="s">
        <v>64</v>
      </c>
      <c r="D7028">
        <v>130</v>
      </c>
      <c r="E7028" s="8">
        <v>0.83330000000000004</v>
      </c>
      <c r="F7028" s="8">
        <v>0.16669999999999999</v>
      </c>
    </row>
    <row r="7030" spans="1:6" ht="57.6" x14ac:dyDescent="0.3">
      <c r="A7030" s="22" t="s">
        <v>1551</v>
      </c>
    </row>
    <row r="7031" spans="1:6" x14ac:dyDescent="0.3">
      <c r="A7031" s="22" t="s">
        <v>66</v>
      </c>
      <c r="B7031" t="s">
        <v>62</v>
      </c>
      <c r="C7031" t="s">
        <v>57</v>
      </c>
      <c r="D7031" t="s">
        <v>63</v>
      </c>
      <c r="E7031" t="s">
        <v>410</v>
      </c>
      <c r="F7031" t="s">
        <v>413</v>
      </c>
    </row>
    <row r="7032" spans="1:6" x14ac:dyDescent="0.3">
      <c r="A7032" s="22" t="s">
        <v>67</v>
      </c>
      <c r="B7032">
        <v>129</v>
      </c>
      <c r="C7032" t="s">
        <v>64</v>
      </c>
      <c r="D7032">
        <v>130</v>
      </c>
      <c r="E7032" s="8">
        <v>0.65890000000000004</v>
      </c>
      <c r="F7032" s="8">
        <v>0.34110000000000001</v>
      </c>
    </row>
    <row r="7033" spans="1:6" x14ac:dyDescent="0.3">
      <c r="A7033" s="22" t="s">
        <v>68</v>
      </c>
      <c r="B7033">
        <v>1</v>
      </c>
      <c r="C7033" t="s">
        <v>64</v>
      </c>
      <c r="D7033">
        <v>130</v>
      </c>
      <c r="E7033" s="8">
        <v>1</v>
      </c>
    </row>
    <row r="7035" spans="1:6" ht="57.6" x14ac:dyDescent="0.3">
      <c r="A7035" s="22" t="s">
        <v>1552</v>
      </c>
    </row>
    <row r="7036" spans="1:6" x14ac:dyDescent="0.3">
      <c r="A7036" s="22" t="s">
        <v>66</v>
      </c>
      <c r="B7036" t="s">
        <v>62</v>
      </c>
      <c r="C7036" t="s">
        <v>57</v>
      </c>
      <c r="D7036" t="s">
        <v>63</v>
      </c>
      <c r="E7036" t="s">
        <v>410</v>
      </c>
      <c r="F7036" t="s">
        <v>413</v>
      </c>
    </row>
    <row r="7037" spans="1:6" x14ac:dyDescent="0.3">
      <c r="A7037" s="22" t="s">
        <v>67</v>
      </c>
      <c r="B7037">
        <v>120</v>
      </c>
      <c r="C7037" t="s">
        <v>64</v>
      </c>
      <c r="D7037">
        <v>130</v>
      </c>
      <c r="E7037" s="8">
        <v>0.6583</v>
      </c>
      <c r="F7037" s="8">
        <v>0.3417</v>
      </c>
    </row>
    <row r="7038" spans="1:6" x14ac:dyDescent="0.3">
      <c r="A7038" s="22" t="s">
        <v>68</v>
      </c>
      <c r="B7038">
        <v>10</v>
      </c>
      <c r="C7038" t="s">
        <v>64</v>
      </c>
      <c r="D7038">
        <v>130</v>
      </c>
      <c r="E7038" s="8">
        <v>0.7</v>
      </c>
      <c r="F7038" s="8">
        <v>0.3</v>
      </c>
    </row>
    <row r="7040" spans="1:6" ht="57.6" x14ac:dyDescent="0.3">
      <c r="A7040" s="22" t="s">
        <v>1553</v>
      </c>
    </row>
    <row r="7041" spans="1:6" x14ac:dyDescent="0.3">
      <c r="A7041" s="22" t="s">
        <v>66</v>
      </c>
      <c r="B7041" t="s">
        <v>62</v>
      </c>
      <c r="C7041" t="s">
        <v>57</v>
      </c>
      <c r="D7041" t="s">
        <v>63</v>
      </c>
      <c r="E7041" t="s">
        <v>410</v>
      </c>
      <c r="F7041" t="s">
        <v>413</v>
      </c>
    </row>
    <row r="7042" spans="1:6" x14ac:dyDescent="0.3">
      <c r="A7042" s="22" t="s">
        <v>67</v>
      </c>
      <c r="B7042">
        <v>5</v>
      </c>
      <c r="C7042" t="s">
        <v>64</v>
      </c>
      <c r="D7042">
        <v>130</v>
      </c>
      <c r="E7042" s="8">
        <v>0.4</v>
      </c>
      <c r="F7042" s="8">
        <v>0.6</v>
      </c>
    </row>
    <row r="7043" spans="1:6" x14ac:dyDescent="0.3">
      <c r="A7043" s="22" t="s">
        <v>68</v>
      </c>
      <c r="B7043">
        <v>125</v>
      </c>
      <c r="C7043" t="s">
        <v>64</v>
      </c>
      <c r="D7043">
        <v>130</v>
      </c>
      <c r="E7043" s="8">
        <v>0.67200000000000004</v>
      </c>
      <c r="F7043" s="8">
        <v>0.32800000000000001</v>
      </c>
    </row>
    <row r="7045" spans="1:6" ht="57.6" x14ac:dyDescent="0.3">
      <c r="A7045" s="22" t="s">
        <v>1554</v>
      </c>
    </row>
    <row r="7046" spans="1:6" x14ac:dyDescent="0.3">
      <c r="A7046" s="22" t="s">
        <v>66</v>
      </c>
      <c r="B7046" t="s">
        <v>62</v>
      </c>
      <c r="C7046" t="s">
        <v>57</v>
      </c>
      <c r="D7046" t="s">
        <v>63</v>
      </c>
      <c r="E7046" t="s">
        <v>410</v>
      </c>
      <c r="F7046" t="s">
        <v>413</v>
      </c>
    </row>
    <row r="7047" spans="1:6" x14ac:dyDescent="0.3">
      <c r="A7047" s="22" t="s">
        <v>67</v>
      </c>
      <c r="B7047">
        <v>106</v>
      </c>
      <c r="C7047" t="s">
        <v>64</v>
      </c>
      <c r="D7047">
        <v>130</v>
      </c>
      <c r="E7047" s="8">
        <v>0.66039999999999999</v>
      </c>
      <c r="F7047" s="8">
        <v>0.33960000000000001</v>
      </c>
    </row>
    <row r="7048" spans="1:6" x14ac:dyDescent="0.3">
      <c r="A7048" s="22" t="s">
        <v>68</v>
      </c>
      <c r="B7048">
        <v>24</v>
      </c>
      <c r="C7048" t="s">
        <v>64</v>
      </c>
      <c r="D7048">
        <v>130</v>
      </c>
      <c r="E7048" s="8">
        <v>0.66669999999999996</v>
      </c>
      <c r="F7048" s="8">
        <v>0.33329999999999999</v>
      </c>
    </row>
    <row r="7050" spans="1:6" ht="57.6" x14ac:dyDescent="0.3">
      <c r="A7050" s="22" t="s">
        <v>1555</v>
      </c>
    </row>
    <row r="7051" spans="1:6" x14ac:dyDescent="0.3">
      <c r="A7051" s="22" t="s">
        <v>66</v>
      </c>
      <c r="B7051" t="s">
        <v>62</v>
      </c>
      <c r="C7051" t="s">
        <v>57</v>
      </c>
      <c r="D7051" t="s">
        <v>63</v>
      </c>
      <c r="E7051" t="s">
        <v>410</v>
      </c>
      <c r="F7051" t="s">
        <v>413</v>
      </c>
    </row>
    <row r="7052" spans="1:6" x14ac:dyDescent="0.3">
      <c r="A7052" s="22" t="s">
        <v>67</v>
      </c>
      <c r="B7052">
        <v>101</v>
      </c>
      <c r="C7052" t="s">
        <v>64</v>
      </c>
      <c r="D7052">
        <v>130</v>
      </c>
      <c r="E7052" s="8">
        <v>0.66339999999999999</v>
      </c>
      <c r="F7052" s="8">
        <v>0.33660000000000001</v>
      </c>
    </row>
    <row r="7053" spans="1:6" x14ac:dyDescent="0.3">
      <c r="A7053" s="22" t="s">
        <v>68</v>
      </c>
      <c r="B7053">
        <v>29</v>
      </c>
      <c r="C7053" t="s">
        <v>64</v>
      </c>
      <c r="D7053">
        <v>130</v>
      </c>
      <c r="E7053" s="8">
        <v>0.6552</v>
      </c>
      <c r="F7053" s="8">
        <v>0.3448</v>
      </c>
    </row>
    <row r="7055" spans="1:6" ht="57.6" x14ac:dyDescent="0.3">
      <c r="A7055" s="22" t="s">
        <v>1556</v>
      </c>
    </row>
    <row r="7056" spans="1:6" x14ac:dyDescent="0.3">
      <c r="A7056" s="22" t="s">
        <v>66</v>
      </c>
      <c r="B7056" t="s">
        <v>62</v>
      </c>
      <c r="C7056" t="s">
        <v>57</v>
      </c>
      <c r="D7056" t="s">
        <v>63</v>
      </c>
      <c r="E7056" t="s">
        <v>410</v>
      </c>
      <c r="F7056" t="s">
        <v>413</v>
      </c>
    </row>
    <row r="7057" spans="1:6" x14ac:dyDescent="0.3">
      <c r="A7057" s="22" t="s">
        <v>67</v>
      </c>
      <c r="B7057">
        <v>98</v>
      </c>
      <c r="C7057" t="s">
        <v>64</v>
      </c>
      <c r="D7057">
        <v>130</v>
      </c>
      <c r="E7057" s="8">
        <v>0.6633</v>
      </c>
      <c r="F7057" s="8">
        <v>0.3367</v>
      </c>
    </row>
    <row r="7058" spans="1:6" x14ac:dyDescent="0.3">
      <c r="A7058" s="22" t="s">
        <v>68</v>
      </c>
      <c r="B7058">
        <v>32</v>
      </c>
      <c r="C7058" t="s">
        <v>64</v>
      </c>
      <c r="D7058">
        <v>130</v>
      </c>
      <c r="E7058" s="8">
        <v>0.65620000000000001</v>
      </c>
      <c r="F7058" s="8">
        <v>0.34379999999999999</v>
      </c>
    </row>
    <row r="7060" spans="1:6" ht="72" x14ac:dyDescent="0.3">
      <c r="A7060" s="22" t="s">
        <v>1557</v>
      </c>
    </row>
    <row r="7061" spans="1:6" x14ac:dyDescent="0.3">
      <c r="A7061" s="22" t="s">
        <v>66</v>
      </c>
      <c r="B7061" t="s">
        <v>62</v>
      </c>
      <c r="C7061" t="s">
        <v>57</v>
      </c>
      <c r="D7061" t="s">
        <v>63</v>
      </c>
      <c r="E7061" t="s">
        <v>410</v>
      </c>
      <c r="F7061" t="s">
        <v>413</v>
      </c>
    </row>
    <row r="7062" spans="1:6" x14ac:dyDescent="0.3">
      <c r="A7062" s="22" t="s">
        <v>67</v>
      </c>
      <c r="B7062">
        <v>118</v>
      </c>
      <c r="C7062" t="s">
        <v>64</v>
      </c>
      <c r="D7062">
        <v>130</v>
      </c>
      <c r="E7062" s="8">
        <v>0.68640000000000001</v>
      </c>
      <c r="F7062" s="8">
        <v>0.31359999999999999</v>
      </c>
    </row>
    <row r="7063" spans="1:6" x14ac:dyDescent="0.3">
      <c r="A7063" s="22" t="s">
        <v>68</v>
      </c>
      <c r="B7063">
        <v>12</v>
      </c>
      <c r="C7063" t="s">
        <v>64</v>
      </c>
      <c r="D7063">
        <v>130</v>
      </c>
      <c r="E7063" s="8">
        <v>0.41670000000000001</v>
      </c>
      <c r="F7063" s="8">
        <v>0.58330000000000004</v>
      </c>
    </row>
    <row r="7065" spans="1:6" ht="72" x14ac:dyDescent="0.3">
      <c r="A7065" s="22" t="s">
        <v>1558</v>
      </c>
    </row>
    <row r="7066" spans="1:6" x14ac:dyDescent="0.3">
      <c r="A7066" s="22" t="s">
        <v>66</v>
      </c>
      <c r="B7066" t="s">
        <v>62</v>
      </c>
      <c r="C7066" t="s">
        <v>57</v>
      </c>
      <c r="D7066" t="s">
        <v>63</v>
      </c>
      <c r="E7066" t="s">
        <v>410</v>
      </c>
      <c r="F7066" t="s">
        <v>413</v>
      </c>
    </row>
    <row r="7067" spans="1:6" x14ac:dyDescent="0.3">
      <c r="A7067" s="22" t="s">
        <v>67</v>
      </c>
      <c r="B7067">
        <v>130</v>
      </c>
      <c r="C7067" t="s">
        <v>64</v>
      </c>
      <c r="D7067">
        <v>130</v>
      </c>
      <c r="E7067" s="8">
        <v>0.66149999999999998</v>
      </c>
      <c r="F7067" s="8">
        <v>0.33850000000000002</v>
      </c>
    </row>
    <row r="7069" spans="1:6" ht="57.6" x14ac:dyDescent="0.3">
      <c r="A7069" s="22" t="s">
        <v>1559</v>
      </c>
    </row>
    <row r="7070" spans="1:6" x14ac:dyDescent="0.3">
      <c r="A7070" s="22" t="s">
        <v>66</v>
      </c>
      <c r="B7070" t="s">
        <v>62</v>
      </c>
      <c r="C7070" t="s">
        <v>57</v>
      </c>
      <c r="D7070" t="s">
        <v>63</v>
      </c>
      <c r="E7070" t="s">
        <v>410</v>
      </c>
      <c r="F7070" t="s">
        <v>413</v>
      </c>
    </row>
    <row r="7071" spans="1:6" x14ac:dyDescent="0.3">
      <c r="A7071" s="22" t="s">
        <v>67</v>
      </c>
      <c r="B7071">
        <v>77</v>
      </c>
      <c r="C7071" t="s">
        <v>64</v>
      </c>
      <c r="D7071">
        <v>130</v>
      </c>
      <c r="E7071" s="8">
        <v>0.67530000000000001</v>
      </c>
      <c r="F7071" s="8">
        <v>0.32469999999999999</v>
      </c>
    </row>
    <row r="7072" spans="1:6" x14ac:dyDescent="0.3">
      <c r="A7072" s="22" t="s">
        <v>68</v>
      </c>
      <c r="B7072">
        <v>53</v>
      </c>
      <c r="C7072" t="s">
        <v>64</v>
      </c>
      <c r="D7072">
        <v>130</v>
      </c>
      <c r="E7072" s="8">
        <v>0.64149999999999996</v>
      </c>
      <c r="F7072" s="8">
        <v>0.35849999999999999</v>
      </c>
    </row>
    <row r="7074" spans="1:7" ht="57.6" x14ac:dyDescent="0.3">
      <c r="A7074" s="22" t="s">
        <v>1560</v>
      </c>
    </row>
    <row r="7075" spans="1:7" x14ac:dyDescent="0.3">
      <c r="A7075" s="22" t="s">
        <v>66</v>
      </c>
      <c r="B7075" t="s">
        <v>62</v>
      </c>
      <c r="C7075" t="s">
        <v>57</v>
      </c>
      <c r="D7075" t="s">
        <v>63</v>
      </c>
      <c r="E7075" t="s">
        <v>410</v>
      </c>
      <c r="F7075" t="s">
        <v>413</v>
      </c>
    </row>
    <row r="7076" spans="1:7" x14ac:dyDescent="0.3">
      <c r="A7076" s="22" t="s">
        <v>67</v>
      </c>
      <c r="B7076">
        <v>114</v>
      </c>
      <c r="C7076" t="s">
        <v>64</v>
      </c>
      <c r="D7076">
        <v>130</v>
      </c>
      <c r="E7076" s="8">
        <v>0.64039999999999997</v>
      </c>
      <c r="F7076" s="8">
        <v>0.35959999999999998</v>
      </c>
    </row>
    <row r="7077" spans="1:7" x14ac:dyDescent="0.3">
      <c r="A7077" s="22" t="s">
        <v>68</v>
      </c>
      <c r="B7077">
        <v>16</v>
      </c>
      <c r="C7077" t="s">
        <v>64</v>
      </c>
      <c r="D7077">
        <v>130</v>
      </c>
      <c r="E7077" s="8">
        <v>0.8125</v>
      </c>
      <c r="F7077" s="8">
        <v>0.1875</v>
      </c>
    </row>
    <row r="7079" spans="1:7" ht="43.2" x14ac:dyDescent="0.3">
      <c r="A7079" s="27" t="s">
        <v>1561</v>
      </c>
    </row>
    <row r="7080" spans="1:7" x14ac:dyDescent="0.3">
      <c r="A7080" s="22" t="s">
        <v>66</v>
      </c>
      <c r="B7080" t="s">
        <v>62</v>
      </c>
      <c r="C7080" t="s">
        <v>57</v>
      </c>
      <c r="D7080" t="s">
        <v>63</v>
      </c>
      <c r="E7080" t="s">
        <v>410</v>
      </c>
      <c r="F7080" t="s">
        <v>413</v>
      </c>
    </row>
    <row r="7081" spans="1:7" x14ac:dyDescent="0.3">
      <c r="A7081" s="22" t="s">
        <v>81</v>
      </c>
      <c r="B7081">
        <v>32</v>
      </c>
      <c r="C7081" t="s">
        <v>64</v>
      </c>
      <c r="D7081">
        <v>130</v>
      </c>
      <c r="E7081" s="8">
        <v>0.71879999999999999</v>
      </c>
      <c r="F7081" s="8">
        <v>0.28120000000000001</v>
      </c>
    </row>
    <row r="7082" spans="1:7" x14ac:dyDescent="0.3">
      <c r="A7082" s="22" t="s">
        <v>82</v>
      </c>
      <c r="B7082">
        <v>34</v>
      </c>
      <c r="C7082" t="s">
        <v>64</v>
      </c>
      <c r="D7082">
        <v>130</v>
      </c>
      <c r="E7082" s="8">
        <v>0.70589999999999997</v>
      </c>
      <c r="F7082" s="8">
        <v>0.29409999999999997</v>
      </c>
    </row>
    <row r="7083" spans="1:7" x14ac:dyDescent="0.3">
      <c r="A7083" s="22" t="s">
        <v>83</v>
      </c>
      <c r="B7083">
        <v>33</v>
      </c>
      <c r="C7083" t="s">
        <v>64</v>
      </c>
      <c r="D7083">
        <v>130</v>
      </c>
      <c r="E7083" s="8">
        <v>0.57579999999999998</v>
      </c>
      <c r="F7083" s="8">
        <v>0.42420000000000002</v>
      </c>
    </row>
    <row r="7084" spans="1:7" x14ac:dyDescent="0.3">
      <c r="A7084" s="22" t="s">
        <v>84</v>
      </c>
      <c r="B7084">
        <v>31</v>
      </c>
      <c r="C7084" t="s">
        <v>64</v>
      </c>
      <c r="D7084">
        <v>130</v>
      </c>
      <c r="E7084" s="8">
        <v>0.6452</v>
      </c>
      <c r="F7084" s="8">
        <v>0.3548</v>
      </c>
    </row>
    <row r="7086" spans="1:7" ht="57.6" x14ac:dyDescent="0.3">
      <c r="A7086" s="22" t="s">
        <v>1562</v>
      </c>
    </row>
    <row r="7087" spans="1:7" x14ac:dyDescent="0.3">
      <c r="A7087" s="22" t="s">
        <v>57</v>
      </c>
      <c r="B7087" t="s">
        <v>58</v>
      </c>
      <c r="C7087" t="s">
        <v>59</v>
      </c>
      <c r="D7087" t="s">
        <v>60</v>
      </c>
      <c r="E7087" t="s">
        <v>61</v>
      </c>
      <c r="F7087" t="s">
        <v>62</v>
      </c>
      <c r="G7087" t="s">
        <v>63</v>
      </c>
    </row>
    <row r="7088" spans="1:7" x14ac:dyDescent="0.3">
      <c r="A7088" s="22" t="s">
        <v>64</v>
      </c>
      <c r="B7088" s="23">
        <v>0.23112051709346931</v>
      </c>
      <c r="C7088" s="23">
        <v>0.21551724137931</v>
      </c>
      <c r="D7088" s="23">
        <v>7.4349442379182201E-2</v>
      </c>
      <c r="E7088" s="23">
        <v>0.38461538461538503</v>
      </c>
      <c r="F7088">
        <v>4</v>
      </c>
      <c r="G7088">
        <v>4</v>
      </c>
    </row>
    <row r="7090" spans="1:8" ht="72" x14ac:dyDescent="0.3">
      <c r="A7090" s="22" t="s">
        <v>1563</v>
      </c>
      <c r="C7090" s="23"/>
      <c r="D7090" s="23"/>
      <c r="E7090" s="23"/>
      <c r="F7090" s="23"/>
    </row>
    <row r="7091" spans="1:8" x14ac:dyDescent="0.3">
      <c r="A7091" s="22" t="s">
        <v>57</v>
      </c>
      <c r="B7091" t="s">
        <v>66</v>
      </c>
      <c r="C7091" s="23" t="s">
        <v>58</v>
      </c>
      <c r="D7091" s="23" t="s">
        <v>59</v>
      </c>
      <c r="E7091" s="23" t="s">
        <v>60</v>
      </c>
      <c r="F7091" s="23" t="s">
        <v>61</v>
      </c>
      <c r="G7091" t="s">
        <v>62</v>
      </c>
      <c r="H7091" t="s">
        <v>63</v>
      </c>
    </row>
    <row r="7092" spans="1:8" x14ac:dyDescent="0.3">
      <c r="A7092" s="22" t="s">
        <v>64</v>
      </c>
      <c r="B7092" t="s">
        <v>67</v>
      </c>
      <c r="C7092" s="23">
        <v>0.23112051709346931</v>
      </c>
      <c r="D7092" s="23">
        <v>0.21551724137931</v>
      </c>
      <c r="E7092" s="23">
        <v>7.4349442379182201E-2</v>
      </c>
      <c r="F7092" s="23">
        <v>0.38461538461538503</v>
      </c>
      <c r="G7092">
        <v>4</v>
      </c>
      <c r="H7092">
        <v>4</v>
      </c>
    </row>
    <row r="7093" spans="1:8" x14ac:dyDescent="0.3">
      <c r="C7093" s="23"/>
      <c r="D7093" s="23"/>
      <c r="E7093" s="23"/>
      <c r="F7093" s="23"/>
    </row>
    <row r="7094" spans="1:8" x14ac:dyDescent="0.3">
      <c r="A7094"/>
      <c r="C7094" s="23"/>
      <c r="D7094" s="23"/>
      <c r="E7094" s="23"/>
      <c r="F7094" s="23"/>
    </row>
    <row r="7095" spans="1:8" x14ac:dyDescent="0.3">
      <c r="A7095"/>
      <c r="C7095" s="23"/>
      <c r="D7095" s="23"/>
      <c r="E7095" s="23"/>
      <c r="F7095" s="23"/>
    </row>
    <row r="7096" spans="1:8" x14ac:dyDescent="0.3">
      <c r="A7096"/>
      <c r="C7096" s="23"/>
      <c r="D7096" s="23"/>
      <c r="E7096" s="23"/>
      <c r="F7096" s="23"/>
    </row>
    <row r="7097" spans="1:8" x14ac:dyDescent="0.3">
      <c r="A7097"/>
      <c r="C7097" s="23"/>
      <c r="D7097" s="23"/>
      <c r="E7097" s="23"/>
      <c r="F7097" s="23"/>
    </row>
    <row r="7098" spans="1:8" ht="72" x14ac:dyDescent="0.3">
      <c r="A7098" s="22" t="s">
        <v>1564</v>
      </c>
      <c r="C7098" s="23"/>
      <c r="D7098" s="23"/>
      <c r="E7098" s="23"/>
      <c r="F7098" s="23"/>
    </row>
    <row r="7099" spans="1:8" x14ac:dyDescent="0.3">
      <c r="A7099" s="22" t="s">
        <v>57</v>
      </c>
      <c r="B7099" t="s">
        <v>66</v>
      </c>
      <c r="C7099" s="23" t="s">
        <v>58</v>
      </c>
      <c r="D7099" s="23" t="s">
        <v>59</v>
      </c>
      <c r="E7099" s="23" t="s">
        <v>60</v>
      </c>
      <c r="F7099" s="23" t="s">
        <v>61</v>
      </c>
      <c r="G7099" t="s">
        <v>62</v>
      </c>
      <c r="H7099" t="s">
        <v>63</v>
      </c>
    </row>
    <row r="7100" spans="1:8" x14ac:dyDescent="0.3">
      <c r="A7100" s="22" t="s">
        <v>64</v>
      </c>
      <c r="B7100" t="s">
        <v>67</v>
      </c>
      <c r="C7100" s="23">
        <v>0.23112051709346931</v>
      </c>
      <c r="D7100" s="23">
        <v>0.21551724137931</v>
      </c>
      <c r="E7100" s="23">
        <v>7.4349442379182201E-2</v>
      </c>
      <c r="F7100" s="23">
        <v>0.38461538461538503</v>
      </c>
      <c r="G7100">
        <v>4</v>
      </c>
      <c r="H7100">
        <v>4</v>
      </c>
    </row>
    <row r="7101" spans="1:8" x14ac:dyDescent="0.3">
      <c r="C7101" s="23"/>
      <c r="D7101" s="23"/>
      <c r="E7101" s="23"/>
      <c r="F7101" s="23"/>
    </row>
    <row r="7102" spans="1:8" ht="72" x14ac:dyDescent="0.3">
      <c r="A7102" s="22" t="s">
        <v>1565</v>
      </c>
      <c r="C7102" s="23"/>
      <c r="D7102" s="23"/>
      <c r="E7102" s="23"/>
      <c r="F7102" s="23"/>
    </row>
    <row r="7103" spans="1:8" x14ac:dyDescent="0.3">
      <c r="A7103" s="22" t="s">
        <v>57</v>
      </c>
      <c r="B7103" t="s">
        <v>66</v>
      </c>
      <c r="C7103" s="23" t="s">
        <v>58</v>
      </c>
      <c r="D7103" s="23" t="s">
        <v>59</v>
      </c>
      <c r="E7103" s="23" t="s">
        <v>60</v>
      </c>
      <c r="F7103" s="23" t="s">
        <v>61</v>
      </c>
      <c r="G7103" t="s">
        <v>62</v>
      </c>
      <c r="H7103" t="s">
        <v>63</v>
      </c>
    </row>
    <row r="7104" spans="1:8" x14ac:dyDescent="0.3">
      <c r="A7104" s="22" t="s">
        <v>64</v>
      </c>
      <c r="B7104" t="s">
        <v>67</v>
      </c>
      <c r="C7104" s="23">
        <v>0.23112051709346931</v>
      </c>
      <c r="D7104" s="23">
        <v>0.21551724137931</v>
      </c>
      <c r="E7104" s="23">
        <v>7.4349442379182201E-2</v>
      </c>
      <c r="F7104" s="23">
        <v>0.38461538461538503</v>
      </c>
      <c r="G7104">
        <v>4</v>
      </c>
      <c r="H7104">
        <v>4</v>
      </c>
    </row>
    <row r="7105" spans="1:8" x14ac:dyDescent="0.3">
      <c r="C7105" s="23"/>
      <c r="D7105" s="23"/>
      <c r="E7105" s="23"/>
      <c r="F7105" s="23"/>
    </row>
    <row r="7106" spans="1:8" ht="72" x14ac:dyDescent="0.3">
      <c r="A7106" s="22" t="s">
        <v>1566</v>
      </c>
      <c r="C7106" s="23"/>
      <c r="D7106" s="23"/>
      <c r="E7106" s="23"/>
      <c r="F7106" s="23"/>
    </row>
    <row r="7107" spans="1:8" x14ac:dyDescent="0.3">
      <c r="A7107" s="22" t="s">
        <v>57</v>
      </c>
      <c r="B7107" t="s">
        <v>66</v>
      </c>
      <c r="C7107" s="23" t="s">
        <v>58</v>
      </c>
      <c r="D7107" s="23" t="s">
        <v>59</v>
      </c>
      <c r="E7107" s="23" t="s">
        <v>60</v>
      </c>
      <c r="F7107" s="23" t="s">
        <v>61</v>
      </c>
      <c r="G7107" t="s">
        <v>62</v>
      </c>
      <c r="H7107" t="s">
        <v>63</v>
      </c>
    </row>
    <row r="7108" spans="1:8" x14ac:dyDescent="0.3">
      <c r="A7108" s="22" t="s">
        <v>64</v>
      </c>
      <c r="B7108" t="s">
        <v>67</v>
      </c>
      <c r="C7108" s="23">
        <v>0.23112051709346931</v>
      </c>
      <c r="D7108" s="23">
        <v>0.21551724137931</v>
      </c>
      <c r="E7108" s="23">
        <v>7.4349442379182201E-2</v>
      </c>
      <c r="F7108" s="23">
        <v>0.38461538461538503</v>
      </c>
      <c r="G7108">
        <v>4</v>
      </c>
      <c r="H7108">
        <v>4</v>
      </c>
    </row>
    <row r="7109" spans="1:8" x14ac:dyDescent="0.3">
      <c r="C7109" s="23"/>
      <c r="D7109" s="23"/>
      <c r="E7109" s="23"/>
      <c r="F7109" s="23"/>
    </row>
    <row r="7110" spans="1:8" ht="72" x14ac:dyDescent="0.3">
      <c r="A7110" s="22" t="s">
        <v>1567</v>
      </c>
      <c r="C7110" s="23"/>
      <c r="D7110" s="23"/>
      <c r="E7110" s="23"/>
      <c r="F7110" s="23"/>
    </row>
    <row r="7111" spans="1:8" x14ac:dyDescent="0.3">
      <c r="A7111" s="22" t="s">
        <v>57</v>
      </c>
      <c r="B7111" t="s">
        <v>66</v>
      </c>
      <c r="C7111" s="23" t="s">
        <v>58</v>
      </c>
      <c r="D7111" s="23" t="s">
        <v>59</v>
      </c>
      <c r="E7111" s="23" t="s">
        <v>60</v>
      </c>
      <c r="F7111" s="23" t="s">
        <v>61</v>
      </c>
      <c r="G7111" t="s">
        <v>62</v>
      </c>
      <c r="H7111" t="s">
        <v>63</v>
      </c>
    </row>
    <row r="7112" spans="1:8" x14ac:dyDescent="0.3">
      <c r="A7112" s="22" t="s">
        <v>64</v>
      </c>
      <c r="B7112" t="s">
        <v>68</v>
      </c>
      <c r="C7112" s="23">
        <v>0.23112051709346931</v>
      </c>
      <c r="D7112" s="23">
        <v>0.21551724137931</v>
      </c>
      <c r="E7112" s="23">
        <v>7.4349442379182201E-2</v>
      </c>
      <c r="F7112" s="23">
        <v>0.38461538461538503</v>
      </c>
      <c r="G7112">
        <v>4</v>
      </c>
      <c r="H7112">
        <v>4</v>
      </c>
    </row>
    <row r="7113" spans="1:8" x14ac:dyDescent="0.3">
      <c r="C7113" s="23"/>
      <c r="D7113" s="23"/>
      <c r="E7113" s="23"/>
      <c r="F7113" s="23"/>
    </row>
    <row r="7114" spans="1:8" ht="72" x14ac:dyDescent="0.3">
      <c r="A7114" s="22" t="s">
        <v>1568</v>
      </c>
      <c r="C7114" s="23"/>
      <c r="D7114" s="23"/>
      <c r="E7114" s="23"/>
      <c r="F7114" s="23"/>
    </row>
    <row r="7115" spans="1:8" x14ac:dyDescent="0.3">
      <c r="A7115" s="22" t="s">
        <v>57</v>
      </c>
      <c r="B7115" t="s">
        <v>66</v>
      </c>
      <c r="C7115" s="23" t="s">
        <v>58</v>
      </c>
      <c r="D7115" s="23" t="s">
        <v>59</v>
      </c>
      <c r="E7115" s="23" t="s">
        <v>60</v>
      </c>
      <c r="F7115" s="23" t="s">
        <v>61</v>
      </c>
      <c r="G7115" t="s">
        <v>62</v>
      </c>
      <c r="H7115" t="s">
        <v>63</v>
      </c>
    </row>
    <row r="7116" spans="1:8" x14ac:dyDescent="0.3">
      <c r="A7116" s="22" t="s">
        <v>64</v>
      </c>
      <c r="B7116" t="s">
        <v>67</v>
      </c>
      <c r="C7116" s="23">
        <v>0.22482735612462579</v>
      </c>
      <c r="D7116" s="23">
        <v>0.38461538461538503</v>
      </c>
      <c r="E7116" s="23">
        <v>7.4349442379182201E-2</v>
      </c>
      <c r="F7116" s="23">
        <v>0.38461538461538503</v>
      </c>
      <c r="G7116">
        <v>3</v>
      </c>
      <c r="H7116">
        <v>4</v>
      </c>
    </row>
    <row r="7117" spans="1:8" x14ac:dyDescent="0.3">
      <c r="A7117" s="22" t="s">
        <v>64</v>
      </c>
      <c r="B7117" t="s">
        <v>68</v>
      </c>
      <c r="C7117" s="23">
        <v>0.25</v>
      </c>
      <c r="D7117" s="23">
        <v>0.25</v>
      </c>
      <c r="E7117" s="23">
        <v>0.25</v>
      </c>
      <c r="F7117" s="23">
        <v>0.25</v>
      </c>
      <c r="G7117">
        <v>1</v>
      </c>
      <c r="H7117">
        <v>4</v>
      </c>
    </row>
    <row r="7118" spans="1:8" x14ac:dyDescent="0.3">
      <c r="C7118" s="23"/>
      <c r="D7118" s="23"/>
      <c r="E7118" s="23"/>
      <c r="F7118" s="23"/>
    </row>
    <row r="7119" spans="1:8" ht="72" x14ac:dyDescent="0.3">
      <c r="A7119" s="22" t="s">
        <v>1569</v>
      </c>
      <c r="C7119" s="23"/>
      <c r="D7119" s="23"/>
      <c r="E7119" s="23"/>
      <c r="F7119" s="23"/>
    </row>
    <row r="7120" spans="1:8" x14ac:dyDescent="0.3">
      <c r="A7120" s="22" t="s">
        <v>57</v>
      </c>
      <c r="B7120" t="s">
        <v>66</v>
      </c>
      <c r="C7120" s="23" t="s">
        <v>58</v>
      </c>
      <c r="D7120" s="23" t="s">
        <v>59</v>
      </c>
      <c r="E7120" s="23" t="s">
        <v>60</v>
      </c>
      <c r="F7120" s="23" t="s">
        <v>61</v>
      </c>
      <c r="G7120" t="s">
        <v>62</v>
      </c>
      <c r="H7120" t="s">
        <v>63</v>
      </c>
    </row>
    <row r="7121" spans="1:8" x14ac:dyDescent="0.3">
      <c r="A7121" s="22" t="s">
        <v>64</v>
      </c>
      <c r="B7121" t="s">
        <v>67</v>
      </c>
      <c r="C7121" s="23">
        <v>0.17995556125283069</v>
      </c>
      <c r="D7121" s="23">
        <v>0.25</v>
      </c>
      <c r="E7121" s="23">
        <v>7.4349442379182201E-2</v>
      </c>
      <c r="F7121" s="23">
        <v>0.25</v>
      </c>
      <c r="G7121">
        <v>3</v>
      </c>
      <c r="H7121">
        <v>4</v>
      </c>
    </row>
    <row r="7122" spans="1:8" x14ac:dyDescent="0.3">
      <c r="A7122" s="22" t="s">
        <v>64</v>
      </c>
      <c r="B7122" t="s">
        <v>68</v>
      </c>
      <c r="C7122" s="23">
        <v>0.38461538461538503</v>
      </c>
      <c r="D7122" s="23">
        <v>0.38461538461538503</v>
      </c>
      <c r="E7122" s="23">
        <v>0.38461538461538503</v>
      </c>
      <c r="F7122" s="23">
        <v>0.38461538461538503</v>
      </c>
      <c r="G7122">
        <v>1</v>
      </c>
      <c r="H7122">
        <v>4</v>
      </c>
    </row>
    <row r="7123" spans="1:8" x14ac:dyDescent="0.3">
      <c r="C7123" s="23"/>
      <c r="D7123" s="23"/>
      <c r="E7123" s="23"/>
      <c r="F7123" s="23"/>
    </row>
    <row r="7124" spans="1:8" ht="72" x14ac:dyDescent="0.3">
      <c r="A7124" s="22" t="s">
        <v>1570</v>
      </c>
      <c r="C7124" s="23"/>
      <c r="D7124" s="23"/>
      <c r="E7124" s="23"/>
      <c r="F7124" s="23"/>
    </row>
    <row r="7125" spans="1:8" x14ac:dyDescent="0.3">
      <c r="A7125" s="22" t="s">
        <v>57</v>
      </c>
      <c r="B7125" t="s">
        <v>66</v>
      </c>
      <c r="C7125" s="23" t="s">
        <v>58</v>
      </c>
      <c r="D7125" s="23" t="s">
        <v>59</v>
      </c>
      <c r="E7125" s="23" t="s">
        <v>60</v>
      </c>
      <c r="F7125" s="23" t="s">
        <v>61</v>
      </c>
      <c r="G7125" t="s">
        <v>62</v>
      </c>
      <c r="H7125" t="s">
        <v>63</v>
      </c>
    </row>
    <row r="7126" spans="1:8" x14ac:dyDescent="0.3">
      <c r="A7126" s="22" t="s">
        <v>64</v>
      </c>
      <c r="B7126" t="s">
        <v>67</v>
      </c>
      <c r="C7126" s="23">
        <v>0.23112051709346931</v>
      </c>
      <c r="D7126" s="23">
        <v>0.21551724137931</v>
      </c>
      <c r="E7126" s="23">
        <v>7.4349442379182201E-2</v>
      </c>
      <c r="F7126" s="23">
        <v>0.38461538461538503</v>
      </c>
      <c r="G7126">
        <v>4</v>
      </c>
      <c r="H7126">
        <v>4</v>
      </c>
    </row>
    <row r="7127" spans="1:8" x14ac:dyDescent="0.3">
      <c r="C7127" s="23"/>
      <c r="D7127" s="23"/>
      <c r="E7127" s="23"/>
      <c r="F7127" s="23"/>
    </row>
    <row r="7128" spans="1:8" ht="86.4" x14ac:dyDescent="0.3">
      <c r="A7128" s="22" t="s">
        <v>1571</v>
      </c>
      <c r="C7128" s="23"/>
      <c r="D7128" s="23"/>
      <c r="E7128" s="23"/>
      <c r="F7128" s="23"/>
    </row>
    <row r="7129" spans="1:8" x14ac:dyDescent="0.3">
      <c r="A7129" s="22" t="s">
        <v>57</v>
      </c>
      <c r="B7129" t="s">
        <v>66</v>
      </c>
      <c r="C7129" s="23" t="s">
        <v>58</v>
      </c>
      <c r="D7129" s="23" t="s">
        <v>59</v>
      </c>
      <c r="E7129" s="23" t="s">
        <v>60</v>
      </c>
      <c r="F7129" s="23" t="s">
        <v>61</v>
      </c>
      <c r="G7129" t="s">
        <v>62</v>
      </c>
      <c r="H7129" t="s">
        <v>63</v>
      </c>
    </row>
    <row r="7130" spans="1:8" x14ac:dyDescent="0.3">
      <c r="A7130" s="22" t="s">
        <v>64</v>
      </c>
      <c r="B7130" t="s">
        <v>67</v>
      </c>
      <c r="C7130" s="23">
        <v>0.23112051709346931</v>
      </c>
      <c r="D7130" s="23">
        <v>0.21551724137931</v>
      </c>
      <c r="E7130" s="23">
        <v>7.4349442379182201E-2</v>
      </c>
      <c r="F7130" s="23">
        <v>0.38461538461538503</v>
      </c>
      <c r="G7130">
        <v>4</v>
      </c>
      <c r="H7130">
        <v>4</v>
      </c>
    </row>
    <row r="7131" spans="1:8" x14ac:dyDescent="0.3">
      <c r="C7131" s="23"/>
      <c r="D7131" s="23"/>
      <c r="E7131" s="23"/>
      <c r="F7131" s="23"/>
    </row>
    <row r="7132" spans="1:8" ht="86.4" x14ac:dyDescent="0.3">
      <c r="A7132" s="22" t="s">
        <v>1572</v>
      </c>
      <c r="C7132" s="23"/>
      <c r="D7132" s="23"/>
      <c r="E7132" s="23"/>
      <c r="F7132" s="23"/>
    </row>
    <row r="7133" spans="1:8" x14ac:dyDescent="0.3">
      <c r="A7133" s="22" t="s">
        <v>57</v>
      </c>
      <c r="B7133" t="s">
        <v>66</v>
      </c>
      <c r="C7133" s="23" t="s">
        <v>58</v>
      </c>
      <c r="D7133" s="23" t="s">
        <v>59</v>
      </c>
      <c r="E7133" s="23" t="s">
        <v>60</v>
      </c>
      <c r="F7133" s="23" t="s">
        <v>61</v>
      </c>
      <c r="G7133" t="s">
        <v>62</v>
      </c>
      <c r="H7133" t="s">
        <v>63</v>
      </c>
    </row>
    <row r="7134" spans="1:8" x14ac:dyDescent="0.3">
      <c r="A7134" s="22" t="s">
        <v>64</v>
      </c>
      <c r="B7134" t="s">
        <v>67</v>
      </c>
      <c r="C7134" s="23">
        <v>0.23112051709346931</v>
      </c>
      <c r="D7134" s="23">
        <v>0.21551724137931</v>
      </c>
      <c r="E7134" s="23">
        <v>7.4349442379182201E-2</v>
      </c>
      <c r="F7134" s="23">
        <v>0.38461538461538503</v>
      </c>
      <c r="G7134">
        <v>4</v>
      </c>
      <c r="H7134">
        <v>4</v>
      </c>
    </row>
    <row r="7135" spans="1:8" x14ac:dyDescent="0.3">
      <c r="C7135" s="23"/>
      <c r="D7135" s="23"/>
      <c r="E7135" s="23"/>
      <c r="F7135" s="23"/>
    </row>
    <row r="7136" spans="1:8" ht="72" x14ac:dyDescent="0.3">
      <c r="A7136" s="22" t="s">
        <v>1573</v>
      </c>
      <c r="C7136" s="23"/>
      <c r="D7136" s="23"/>
      <c r="E7136" s="23"/>
      <c r="F7136" s="23"/>
    </row>
    <row r="7137" spans="1:8" x14ac:dyDescent="0.3">
      <c r="A7137" s="22" t="s">
        <v>57</v>
      </c>
      <c r="B7137" t="s">
        <v>66</v>
      </c>
      <c r="C7137" s="23" t="s">
        <v>58</v>
      </c>
      <c r="D7137" s="23" t="s">
        <v>59</v>
      </c>
      <c r="E7137" s="23" t="s">
        <v>60</v>
      </c>
      <c r="F7137" s="23" t="s">
        <v>61</v>
      </c>
      <c r="G7137" t="s">
        <v>62</v>
      </c>
      <c r="H7137" t="s">
        <v>63</v>
      </c>
    </row>
    <row r="7138" spans="1:8" x14ac:dyDescent="0.3">
      <c r="A7138" s="22" t="s">
        <v>64</v>
      </c>
      <c r="B7138" t="s">
        <v>67</v>
      </c>
      <c r="C7138" s="23">
        <v>0.16217472118959109</v>
      </c>
      <c r="D7138" s="23">
        <v>7.4349442379182201E-2</v>
      </c>
      <c r="E7138" s="23">
        <v>7.4349442379182201E-2</v>
      </c>
      <c r="F7138" s="23">
        <v>0.25</v>
      </c>
      <c r="G7138">
        <v>2</v>
      </c>
      <c r="H7138">
        <v>4</v>
      </c>
    </row>
    <row r="7139" spans="1:8" x14ac:dyDescent="0.3">
      <c r="A7139" s="22" t="s">
        <v>64</v>
      </c>
      <c r="B7139" t="s">
        <v>68</v>
      </c>
      <c r="C7139" s="23">
        <v>0.30006631299734748</v>
      </c>
      <c r="D7139" s="23">
        <v>0.21551724137931</v>
      </c>
      <c r="E7139" s="23">
        <v>0.21551724137931</v>
      </c>
      <c r="F7139" s="23">
        <v>0.38461538461538503</v>
      </c>
      <c r="G7139">
        <v>2</v>
      </c>
      <c r="H7139">
        <v>4</v>
      </c>
    </row>
    <row r="7140" spans="1:8" x14ac:dyDescent="0.3">
      <c r="C7140" s="23"/>
      <c r="D7140" s="23"/>
      <c r="E7140" s="23"/>
      <c r="F7140" s="23"/>
    </row>
    <row r="7141" spans="1:8" ht="72" x14ac:dyDescent="0.3">
      <c r="A7141" s="22" t="s">
        <v>1574</v>
      </c>
      <c r="C7141" s="23"/>
      <c r="D7141" s="23"/>
      <c r="E7141" s="23"/>
      <c r="F7141" s="23"/>
    </row>
    <row r="7142" spans="1:8" x14ac:dyDescent="0.3">
      <c r="A7142" s="22" t="s">
        <v>57</v>
      </c>
      <c r="B7142" t="s">
        <v>66</v>
      </c>
      <c r="C7142" s="23" t="s">
        <v>58</v>
      </c>
      <c r="D7142" s="23" t="s">
        <v>59</v>
      </c>
      <c r="E7142" s="23" t="s">
        <v>60</v>
      </c>
      <c r="F7142" s="23" t="s">
        <v>61</v>
      </c>
      <c r="G7142" t="s">
        <v>62</v>
      </c>
      <c r="H7142" t="s">
        <v>63</v>
      </c>
    </row>
    <row r="7143" spans="1:8" x14ac:dyDescent="0.3">
      <c r="A7143" s="22" t="s">
        <v>64</v>
      </c>
      <c r="B7143" t="s">
        <v>67</v>
      </c>
      <c r="C7143" s="23">
        <v>0.22482735612462579</v>
      </c>
      <c r="D7143" s="23">
        <v>0.38461538461538503</v>
      </c>
      <c r="E7143" s="23">
        <v>7.4349442379182201E-2</v>
      </c>
      <c r="F7143" s="23">
        <v>0.38461538461538503</v>
      </c>
      <c r="G7143">
        <v>3</v>
      </c>
      <c r="H7143">
        <v>4</v>
      </c>
    </row>
    <row r="7144" spans="1:8" x14ac:dyDescent="0.3">
      <c r="A7144" s="22" t="s">
        <v>64</v>
      </c>
      <c r="B7144" t="s">
        <v>68</v>
      </c>
      <c r="C7144" s="23">
        <v>0.25</v>
      </c>
      <c r="D7144" s="23">
        <v>0.25</v>
      </c>
      <c r="E7144" s="23">
        <v>0.25</v>
      </c>
      <c r="F7144" s="23">
        <v>0.25</v>
      </c>
      <c r="G7144">
        <v>1</v>
      </c>
      <c r="H7144">
        <v>4</v>
      </c>
    </row>
    <row r="7145" spans="1:8" x14ac:dyDescent="0.3">
      <c r="C7145" s="23"/>
      <c r="D7145" s="23"/>
      <c r="E7145" s="23"/>
      <c r="F7145" s="23"/>
    </row>
    <row r="7146" spans="1:8" ht="57.6" x14ac:dyDescent="0.3">
      <c r="A7146" s="22" t="s">
        <v>1575</v>
      </c>
      <c r="C7146" s="23"/>
      <c r="D7146" s="23"/>
      <c r="E7146" s="23"/>
      <c r="F7146" s="23"/>
    </row>
    <row r="7147" spans="1:8" x14ac:dyDescent="0.3">
      <c r="A7147" s="22" t="s">
        <v>57</v>
      </c>
      <c r="B7147" t="s">
        <v>66</v>
      </c>
      <c r="C7147" s="23" t="s">
        <v>58</v>
      </c>
      <c r="D7147" s="23" t="s">
        <v>59</v>
      </c>
      <c r="E7147" s="23" t="s">
        <v>60</v>
      </c>
      <c r="F7147" s="23" t="s">
        <v>61</v>
      </c>
      <c r="G7147" t="s">
        <v>62</v>
      </c>
      <c r="H7147" t="s">
        <v>63</v>
      </c>
    </row>
    <row r="7148" spans="1:8" x14ac:dyDescent="0.3">
      <c r="A7148" s="22" t="s">
        <v>64</v>
      </c>
      <c r="B7148" t="s">
        <v>81</v>
      </c>
      <c r="C7148" s="23">
        <v>0.38461538461538503</v>
      </c>
      <c r="D7148" s="23">
        <v>0.38461538461538503</v>
      </c>
      <c r="E7148" s="23">
        <v>0.38461538461538503</v>
      </c>
      <c r="F7148" s="23">
        <v>0.38461538461538503</v>
      </c>
      <c r="G7148">
        <v>1</v>
      </c>
      <c r="H7148">
        <v>4</v>
      </c>
    </row>
    <row r="7149" spans="1:8" x14ac:dyDescent="0.3">
      <c r="A7149" s="22" t="s">
        <v>64</v>
      </c>
      <c r="B7149" t="s">
        <v>83</v>
      </c>
      <c r="C7149" s="23">
        <v>0.21551724137931</v>
      </c>
      <c r="D7149" s="23">
        <v>0.21551724137931</v>
      </c>
      <c r="E7149" s="23">
        <v>0.21551724137931</v>
      </c>
      <c r="F7149" s="23">
        <v>0.21551724137931</v>
      </c>
      <c r="G7149">
        <v>1</v>
      </c>
      <c r="H7149">
        <v>4</v>
      </c>
    </row>
    <row r="7150" spans="1:8" x14ac:dyDescent="0.3">
      <c r="A7150" s="22" t="s">
        <v>64</v>
      </c>
      <c r="B7150" t="s">
        <v>84</v>
      </c>
      <c r="C7150" s="23">
        <v>0.16217472118959109</v>
      </c>
      <c r="D7150" s="23">
        <v>7.4349442379182201E-2</v>
      </c>
      <c r="E7150" s="23">
        <v>7.4349442379182201E-2</v>
      </c>
      <c r="F7150" s="23">
        <v>0.25</v>
      </c>
      <c r="G7150">
        <v>2</v>
      </c>
      <c r="H7150">
        <v>4</v>
      </c>
    </row>
    <row r="7151" spans="1:8" x14ac:dyDescent="0.3">
      <c r="C7151" s="23"/>
      <c r="D7151" s="23"/>
      <c r="E7151" s="23"/>
      <c r="F7151" s="23"/>
    </row>
    <row r="7152" spans="1:8" ht="57.6" x14ac:dyDescent="0.3">
      <c r="A7152" s="22" t="s">
        <v>1576</v>
      </c>
      <c r="C7152" s="23"/>
      <c r="D7152" s="23"/>
      <c r="E7152" s="23"/>
      <c r="F7152" s="23"/>
    </row>
    <row r="7153" spans="1:8" x14ac:dyDescent="0.3">
      <c r="A7153" s="22" t="s">
        <v>57</v>
      </c>
      <c r="B7153" t="s">
        <v>58</v>
      </c>
      <c r="C7153" t="s">
        <v>59</v>
      </c>
      <c r="D7153" t="s">
        <v>60</v>
      </c>
      <c r="E7153" t="s">
        <v>61</v>
      </c>
      <c r="F7153" t="s">
        <v>62</v>
      </c>
      <c r="G7153" t="s">
        <v>63</v>
      </c>
    </row>
    <row r="7154" spans="1:8" x14ac:dyDescent="0.3">
      <c r="A7154" s="22" t="s">
        <v>64</v>
      </c>
      <c r="B7154" s="23">
        <v>0.35569416267012322</v>
      </c>
      <c r="C7154" s="23">
        <v>0.3125</v>
      </c>
      <c r="D7154" s="23">
        <v>3.6866359447004601E-2</v>
      </c>
      <c r="E7154" s="23">
        <v>1</v>
      </c>
      <c r="F7154">
        <v>166</v>
      </c>
      <c r="G7154">
        <v>166</v>
      </c>
    </row>
    <row r="7156" spans="1:8" ht="72" x14ac:dyDescent="0.3">
      <c r="A7156" s="22" t="s">
        <v>1577</v>
      </c>
      <c r="C7156" s="23"/>
      <c r="D7156" s="23"/>
      <c r="E7156" s="23"/>
      <c r="F7156" s="23"/>
    </row>
    <row r="7157" spans="1:8" x14ac:dyDescent="0.3">
      <c r="A7157" s="22" t="s">
        <v>57</v>
      </c>
      <c r="B7157" t="s">
        <v>66</v>
      </c>
      <c r="C7157" s="23" t="s">
        <v>58</v>
      </c>
      <c r="D7157" s="23" t="s">
        <v>59</v>
      </c>
      <c r="E7157" s="23" t="s">
        <v>60</v>
      </c>
      <c r="F7157" s="23" t="s">
        <v>61</v>
      </c>
      <c r="G7157" t="s">
        <v>62</v>
      </c>
      <c r="H7157" t="s">
        <v>63</v>
      </c>
    </row>
    <row r="7158" spans="1:8" x14ac:dyDescent="0.3">
      <c r="A7158" s="22" t="s">
        <v>64</v>
      </c>
      <c r="B7158" t="s">
        <v>67</v>
      </c>
      <c r="C7158" s="23">
        <v>0.34674847812345211</v>
      </c>
      <c r="D7158" s="23">
        <v>0.31055900621117999</v>
      </c>
      <c r="E7158" s="23">
        <v>3.6866359447004601E-2</v>
      </c>
      <c r="F7158" s="23">
        <v>1</v>
      </c>
      <c r="G7158">
        <v>159</v>
      </c>
      <c r="H7158">
        <v>166</v>
      </c>
    </row>
    <row r="7159" spans="1:8" x14ac:dyDescent="0.3">
      <c r="A7159" s="22" t="s">
        <v>64</v>
      </c>
      <c r="B7159" t="s">
        <v>68</v>
      </c>
      <c r="C7159" s="23">
        <v>0.55888899737307995</v>
      </c>
      <c r="D7159" s="23">
        <v>0.57971014492753603</v>
      </c>
      <c r="E7159" s="23">
        <v>0.15463917525773199</v>
      </c>
      <c r="F7159" s="23">
        <v>0.9375</v>
      </c>
      <c r="G7159">
        <v>7</v>
      </c>
      <c r="H7159">
        <v>166</v>
      </c>
    </row>
    <row r="7160" spans="1:8" x14ac:dyDescent="0.3">
      <c r="C7160" s="23"/>
      <c r="D7160" s="23"/>
      <c r="E7160" s="23"/>
      <c r="F7160" s="23"/>
    </row>
    <row r="7161" spans="1:8" x14ac:dyDescent="0.3">
      <c r="A7161"/>
      <c r="C7161" s="23"/>
      <c r="D7161" s="23"/>
      <c r="E7161" s="23"/>
      <c r="F7161" s="23"/>
    </row>
    <row r="7162" spans="1:8" x14ac:dyDescent="0.3">
      <c r="A7162"/>
      <c r="C7162" s="23"/>
      <c r="D7162" s="23"/>
      <c r="E7162" s="23"/>
      <c r="F7162" s="23"/>
    </row>
    <row r="7163" spans="1:8" x14ac:dyDescent="0.3">
      <c r="A7163"/>
      <c r="C7163" s="23"/>
      <c r="D7163" s="23"/>
      <c r="E7163" s="23"/>
      <c r="F7163" s="23"/>
    </row>
    <row r="7164" spans="1:8" x14ac:dyDescent="0.3">
      <c r="C7164" s="23"/>
      <c r="D7164" s="23"/>
      <c r="E7164" s="23"/>
      <c r="F7164" s="23"/>
    </row>
    <row r="7165" spans="1:8" ht="72" x14ac:dyDescent="0.3">
      <c r="A7165" s="22" t="s">
        <v>1578</v>
      </c>
      <c r="C7165" s="23"/>
      <c r="D7165" s="23"/>
      <c r="E7165" s="23"/>
      <c r="F7165" s="23"/>
    </row>
    <row r="7166" spans="1:8" x14ac:dyDescent="0.3">
      <c r="A7166" s="22" t="s">
        <v>57</v>
      </c>
      <c r="B7166" t="s">
        <v>66</v>
      </c>
      <c r="C7166" s="23" t="s">
        <v>58</v>
      </c>
      <c r="D7166" s="23" t="s">
        <v>59</v>
      </c>
      <c r="E7166" s="23" t="s">
        <v>60</v>
      </c>
      <c r="F7166" s="23" t="s">
        <v>61</v>
      </c>
      <c r="G7166" t="s">
        <v>62</v>
      </c>
      <c r="H7166" t="s">
        <v>63</v>
      </c>
    </row>
    <row r="7167" spans="1:8" x14ac:dyDescent="0.3">
      <c r="A7167" s="22" t="s">
        <v>64</v>
      </c>
      <c r="B7167" t="s">
        <v>67</v>
      </c>
      <c r="C7167" s="23">
        <v>0.35668376571252841</v>
      </c>
      <c r="D7167" s="23">
        <v>0.31055900621117999</v>
      </c>
      <c r="E7167" s="23">
        <v>3.6866359447004601E-2</v>
      </c>
      <c r="F7167" s="23">
        <v>1</v>
      </c>
      <c r="G7167">
        <v>158</v>
      </c>
      <c r="H7167">
        <v>166</v>
      </c>
    </row>
    <row r="7168" spans="1:8" x14ac:dyDescent="0.3">
      <c r="A7168" s="22" t="s">
        <v>64</v>
      </c>
      <c r="B7168" t="s">
        <v>68</v>
      </c>
      <c r="C7168" s="23">
        <v>0.33614950258261928</v>
      </c>
      <c r="D7168" s="23">
        <v>0.36697247706421998</v>
      </c>
      <c r="E7168" s="23">
        <v>7.5187969924811998E-2</v>
      </c>
      <c r="F7168" s="23">
        <v>0.5</v>
      </c>
      <c r="G7168">
        <v>8</v>
      </c>
      <c r="H7168">
        <v>166</v>
      </c>
    </row>
    <row r="7169" spans="1:8" x14ac:dyDescent="0.3">
      <c r="C7169" s="23"/>
      <c r="D7169" s="23"/>
      <c r="E7169" s="23"/>
      <c r="F7169" s="23"/>
    </row>
    <row r="7170" spans="1:8" ht="72" x14ac:dyDescent="0.3">
      <c r="A7170" s="22" t="s">
        <v>1579</v>
      </c>
      <c r="C7170" s="23"/>
      <c r="D7170" s="23"/>
      <c r="E7170" s="23"/>
      <c r="F7170" s="23"/>
    </row>
    <row r="7171" spans="1:8" x14ac:dyDescent="0.3">
      <c r="A7171" s="22" t="s">
        <v>57</v>
      </c>
      <c r="B7171" t="s">
        <v>66</v>
      </c>
      <c r="C7171" s="23" t="s">
        <v>58</v>
      </c>
      <c r="D7171" s="23" t="s">
        <v>59</v>
      </c>
      <c r="E7171" s="23" t="s">
        <v>60</v>
      </c>
      <c r="F7171" s="23" t="s">
        <v>61</v>
      </c>
      <c r="G7171" t="s">
        <v>62</v>
      </c>
      <c r="H7171" t="s">
        <v>63</v>
      </c>
    </row>
    <row r="7172" spans="1:8" x14ac:dyDescent="0.3">
      <c r="A7172" s="22" t="s">
        <v>64</v>
      </c>
      <c r="B7172" t="s">
        <v>67</v>
      </c>
      <c r="C7172" s="23">
        <v>0.35568538270362171</v>
      </c>
      <c r="D7172" s="23">
        <v>0.3125</v>
      </c>
      <c r="E7172" s="23">
        <v>3.6866359447004601E-2</v>
      </c>
      <c r="F7172" s="23">
        <v>1</v>
      </c>
      <c r="G7172">
        <v>165</v>
      </c>
      <c r="H7172">
        <v>166</v>
      </c>
    </row>
    <row r="7173" spans="1:8" x14ac:dyDescent="0.3">
      <c r="A7173" s="22" t="s">
        <v>64</v>
      </c>
      <c r="B7173" t="s">
        <v>68</v>
      </c>
      <c r="C7173" s="23">
        <v>0.35714285714285698</v>
      </c>
      <c r="D7173" s="23">
        <v>0.35714285714285698</v>
      </c>
      <c r="E7173" s="23">
        <v>0.35714285714285698</v>
      </c>
      <c r="F7173" s="23">
        <v>0.35714285714285698</v>
      </c>
      <c r="G7173">
        <v>1</v>
      </c>
      <c r="H7173">
        <v>166</v>
      </c>
    </row>
    <row r="7174" spans="1:8" x14ac:dyDescent="0.3">
      <c r="C7174" s="23"/>
      <c r="D7174" s="23"/>
      <c r="E7174" s="23"/>
      <c r="F7174" s="23"/>
    </row>
    <row r="7175" spans="1:8" ht="72" x14ac:dyDescent="0.3">
      <c r="A7175" s="22" t="s">
        <v>1580</v>
      </c>
      <c r="C7175" s="23"/>
      <c r="D7175" s="23"/>
      <c r="E7175" s="23"/>
      <c r="F7175" s="23"/>
    </row>
    <row r="7176" spans="1:8" x14ac:dyDescent="0.3">
      <c r="A7176" s="22" t="s">
        <v>57</v>
      </c>
      <c r="B7176" t="s">
        <v>66</v>
      </c>
      <c r="C7176" s="23" t="s">
        <v>58</v>
      </c>
      <c r="D7176" s="23" t="s">
        <v>59</v>
      </c>
      <c r="E7176" s="23" t="s">
        <v>60</v>
      </c>
      <c r="F7176" s="23" t="s">
        <v>61</v>
      </c>
      <c r="G7176" t="s">
        <v>62</v>
      </c>
      <c r="H7176" t="s">
        <v>63</v>
      </c>
    </row>
    <row r="7177" spans="1:8" x14ac:dyDescent="0.3">
      <c r="A7177" s="22" t="s">
        <v>64</v>
      </c>
      <c r="B7177" t="s">
        <v>67</v>
      </c>
      <c r="C7177" s="23">
        <v>0.35725955678012039</v>
      </c>
      <c r="D7177" s="23">
        <v>0.338983050847458</v>
      </c>
      <c r="E7177" s="23">
        <v>3.6866359447004601E-2</v>
      </c>
      <c r="F7177" s="23">
        <v>1</v>
      </c>
      <c r="G7177">
        <v>157</v>
      </c>
      <c r="H7177">
        <v>166</v>
      </c>
    </row>
    <row r="7178" spans="1:8" x14ac:dyDescent="0.3">
      <c r="A7178" s="22" t="s">
        <v>64</v>
      </c>
      <c r="B7178" t="s">
        <v>68</v>
      </c>
      <c r="C7178" s="23">
        <v>0.328386732084615</v>
      </c>
      <c r="D7178" s="23">
        <v>0.48</v>
      </c>
      <c r="E7178" s="23">
        <v>4.71698113207547E-2</v>
      </c>
      <c r="F7178" s="23">
        <v>0.60606060606060597</v>
      </c>
      <c r="G7178">
        <v>9</v>
      </c>
      <c r="H7178">
        <v>166</v>
      </c>
    </row>
    <row r="7179" spans="1:8" x14ac:dyDescent="0.3">
      <c r="C7179" s="23"/>
      <c r="D7179" s="23"/>
      <c r="E7179" s="23"/>
      <c r="F7179" s="23"/>
    </row>
    <row r="7180" spans="1:8" ht="72" x14ac:dyDescent="0.3">
      <c r="A7180" s="22" t="s">
        <v>1581</v>
      </c>
      <c r="C7180" s="23"/>
      <c r="D7180" s="23"/>
      <c r="E7180" s="23"/>
      <c r="F7180" s="23"/>
    </row>
    <row r="7181" spans="1:8" x14ac:dyDescent="0.3">
      <c r="A7181" s="22" t="s">
        <v>57</v>
      </c>
      <c r="B7181" t="s">
        <v>66</v>
      </c>
      <c r="C7181" s="23" t="s">
        <v>58</v>
      </c>
      <c r="D7181" s="23" t="s">
        <v>59</v>
      </c>
      <c r="E7181" s="23" t="s">
        <v>60</v>
      </c>
      <c r="F7181" s="23" t="s">
        <v>61</v>
      </c>
      <c r="G7181" t="s">
        <v>62</v>
      </c>
      <c r="H7181" t="s">
        <v>63</v>
      </c>
    </row>
    <row r="7182" spans="1:8" x14ac:dyDescent="0.3">
      <c r="A7182" s="22" t="s">
        <v>64</v>
      </c>
      <c r="B7182" t="s">
        <v>67</v>
      </c>
      <c r="C7182" s="23">
        <v>0.60926916221033867</v>
      </c>
      <c r="D7182" s="23">
        <v>1</v>
      </c>
      <c r="E7182" s="23">
        <v>0.4</v>
      </c>
      <c r="F7182" s="23">
        <v>1</v>
      </c>
      <c r="G7182">
        <v>3</v>
      </c>
      <c r="H7182">
        <v>166</v>
      </c>
    </row>
    <row r="7183" spans="1:8" x14ac:dyDescent="0.3">
      <c r="A7183" s="22" t="s">
        <v>64</v>
      </c>
      <c r="B7183" t="s">
        <v>68</v>
      </c>
      <c r="C7183" s="23">
        <v>0.35102713813870817</v>
      </c>
      <c r="D7183" s="23">
        <v>0.3125</v>
      </c>
      <c r="E7183" s="23">
        <v>3.6866359447004601E-2</v>
      </c>
      <c r="F7183" s="23">
        <v>1</v>
      </c>
      <c r="G7183">
        <v>163</v>
      </c>
      <c r="H7183">
        <v>166</v>
      </c>
    </row>
    <row r="7184" spans="1:8" x14ac:dyDescent="0.3">
      <c r="C7184" s="23"/>
      <c r="D7184" s="23"/>
      <c r="E7184" s="23"/>
      <c r="F7184" s="23"/>
    </row>
    <row r="7185" spans="1:8" ht="72" x14ac:dyDescent="0.3">
      <c r="A7185" s="22" t="s">
        <v>1582</v>
      </c>
      <c r="C7185" s="23"/>
      <c r="D7185" s="23"/>
      <c r="E7185" s="23"/>
      <c r="F7185" s="23"/>
    </row>
    <row r="7186" spans="1:8" x14ac:dyDescent="0.3">
      <c r="A7186" s="22" t="s">
        <v>57</v>
      </c>
      <c r="B7186" t="s">
        <v>66</v>
      </c>
      <c r="C7186" s="23" t="s">
        <v>58</v>
      </c>
      <c r="D7186" s="23" t="s">
        <v>59</v>
      </c>
      <c r="E7186" s="23" t="s">
        <v>60</v>
      </c>
      <c r="F7186" s="23" t="s">
        <v>61</v>
      </c>
      <c r="G7186" t="s">
        <v>62</v>
      </c>
      <c r="H7186" t="s">
        <v>63</v>
      </c>
    </row>
    <row r="7187" spans="1:8" x14ac:dyDescent="0.3">
      <c r="A7187" s="22" t="s">
        <v>64</v>
      </c>
      <c r="B7187" t="s">
        <v>67</v>
      </c>
      <c r="C7187" s="23">
        <v>0.35708387382435203</v>
      </c>
      <c r="D7187" s="23">
        <v>0.34090909090909099</v>
      </c>
      <c r="E7187" s="23">
        <v>3.6866359447004601E-2</v>
      </c>
      <c r="F7187" s="23">
        <v>1</v>
      </c>
      <c r="G7187">
        <v>129</v>
      </c>
      <c r="H7187">
        <v>166</v>
      </c>
    </row>
    <row r="7188" spans="1:8" x14ac:dyDescent="0.3">
      <c r="A7188" s="22" t="s">
        <v>64</v>
      </c>
      <c r="B7188" t="s">
        <v>68</v>
      </c>
      <c r="C7188" s="23">
        <v>0.35084895351078471</v>
      </c>
      <c r="D7188" s="23">
        <v>0.3</v>
      </c>
      <c r="E7188" s="23">
        <v>3.8167938931297697E-2</v>
      </c>
      <c r="F7188" s="23">
        <v>0.75</v>
      </c>
      <c r="G7188">
        <v>37</v>
      </c>
      <c r="H7188">
        <v>166</v>
      </c>
    </row>
    <row r="7189" spans="1:8" x14ac:dyDescent="0.3">
      <c r="C7189" s="23"/>
      <c r="D7189" s="23"/>
      <c r="E7189" s="23"/>
      <c r="F7189" s="23"/>
    </row>
    <row r="7190" spans="1:8" ht="72" x14ac:dyDescent="0.3">
      <c r="A7190" s="22" t="s">
        <v>1583</v>
      </c>
      <c r="C7190" s="23"/>
      <c r="D7190" s="23"/>
      <c r="E7190" s="23"/>
      <c r="F7190" s="23"/>
    </row>
    <row r="7191" spans="1:8" x14ac:dyDescent="0.3">
      <c r="A7191" s="22" t="s">
        <v>57</v>
      </c>
      <c r="B7191" t="s">
        <v>66</v>
      </c>
      <c r="C7191" s="23" t="s">
        <v>58</v>
      </c>
      <c r="D7191" s="23" t="s">
        <v>59</v>
      </c>
      <c r="E7191" s="23" t="s">
        <v>60</v>
      </c>
      <c r="F7191" s="23" t="s">
        <v>61</v>
      </c>
      <c r="G7191" t="s">
        <v>62</v>
      </c>
      <c r="H7191" t="s">
        <v>63</v>
      </c>
    </row>
    <row r="7192" spans="1:8" x14ac:dyDescent="0.3">
      <c r="A7192" s="22" t="s">
        <v>64</v>
      </c>
      <c r="B7192" t="s">
        <v>67</v>
      </c>
      <c r="C7192" s="23">
        <v>0.35455397830746921</v>
      </c>
      <c r="D7192" s="23">
        <v>0.31055900621117999</v>
      </c>
      <c r="E7192" s="23">
        <v>3.6866359447004601E-2</v>
      </c>
      <c r="F7192" s="23">
        <v>1</v>
      </c>
      <c r="G7192">
        <v>128</v>
      </c>
      <c r="H7192">
        <v>166</v>
      </c>
    </row>
    <row r="7193" spans="1:8" x14ac:dyDescent="0.3">
      <c r="A7193" s="22" t="s">
        <v>64</v>
      </c>
      <c r="B7193" t="s">
        <v>68</v>
      </c>
      <c r="C7193" s="23">
        <v>0.3595347836811682</v>
      </c>
      <c r="D7193" s="23">
        <v>0.34013605442176897</v>
      </c>
      <c r="E7193" s="23">
        <v>8.0482897384305793E-2</v>
      </c>
      <c r="F7193" s="23">
        <v>1</v>
      </c>
      <c r="G7193">
        <v>38</v>
      </c>
      <c r="H7193">
        <v>166</v>
      </c>
    </row>
    <row r="7194" spans="1:8" x14ac:dyDescent="0.3">
      <c r="C7194" s="23"/>
      <c r="D7194" s="23"/>
      <c r="E7194" s="23"/>
      <c r="F7194" s="23"/>
    </row>
    <row r="7195" spans="1:8" ht="72" x14ac:dyDescent="0.3">
      <c r="A7195" s="22" t="s">
        <v>1584</v>
      </c>
      <c r="C7195" s="23"/>
      <c r="D7195" s="23"/>
      <c r="E7195" s="23"/>
      <c r="F7195" s="23"/>
    </row>
    <row r="7196" spans="1:8" x14ac:dyDescent="0.3">
      <c r="A7196" s="22" t="s">
        <v>57</v>
      </c>
      <c r="B7196" t="s">
        <v>66</v>
      </c>
      <c r="C7196" s="23" t="s">
        <v>58</v>
      </c>
      <c r="D7196" s="23" t="s">
        <v>59</v>
      </c>
      <c r="E7196" s="23" t="s">
        <v>60</v>
      </c>
      <c r="F7196" s="23" t="s">
        <v>61</v>
      </c>
      <c r="G7196" t="s">
        <v>62</v>
      </c>
      <c r="H7196" t="s">
        <v>63</v>
      </c>
    </row>
    <row r="7197" spans="1:8" x14ac:dyDescent="0.3">
      <c r="A7197" s="22" t="s">
        <v>64</v>
      </c>
      <c r="B7197" t="s">
        <v>67</v>
      </c>
      <c r="C7197" s="23">
        <v>0.35277318394417778</v>
      </c>
      <c r="D7197" s="23">
        <v>0.30769230769230799</v>
      </c>
      <c r="E7197" s="23">
        <v>3.6866359447004601E-2</v>
      </c>
      <c r="F7197" s="23">
        <v>1</v>
      </c>
      <c r="G7197">
        <v>124</v>
      </c>
      <c r="H7197">
        <v>166</v>
      </c>
    </row>
    <row r="7198" spans="1:8" x14ac:dyDescent="0.3">
      <c r="A7198" s="22" t="s">
        <v>64</v>
      </c>
      <c r="B7198" t="s">
        <v>68</v>
      </c>
      <c r="C7198" s="23">
        <v>0.36431800462291419</v>
      </c>
      <c r="D7198" s="23">
        <v>0.34013605442176897</v>
      </c>
      <c r="E7198" s="23">
        <v>4.6296296296296301E-2</v>
      </c>
      <c r="F7198" s="23">
        <v>1</v>
      </c>
      <c r="G7198">
        <v>42</v>
      </c>
      <c r="H7198">
        <v>166</v>
      </c>
    </row>
    <row r="7199" spans="1:8" x14ac:dyDescent="0.3">
      <c r="C7199" s="23"/>
      <c r="D7199" s="23"/>
      <c r="E7199" s="23"/>
      <c r="F7199" s="23"/>
    </row>
    <row r="7200" spans="1:8" ht="86.4" x14ac:dyDescent="0.3">
      <c r="A7200" s="22" t="s">
        <v>1585</v>
      </c>
      <c r="C7200" s="23"/>
      <c r="D7200" s="23"/>
      <c r="E7200" s="23"/>
      <c r="F7200" s="23"/>
    </row>
    <row r="7201" spans="1:8" x14ac:dyDescent="0.3">
      <c r="A7201" s="22" t="s">
        <v>57</v>
      </c>
      <c r="B7201" t="s">
        <v>66</v>
      </c>
      <c r="C7201" s="23" t="s">
        <v>58</v>
      </c>
      <c r="D7201" s="23" t="s">
        <v>59</v>
      </c>
      <c r="E7201" s="23" t="s">
        <v>60</v>
      </c>
      <c r="F7201" s="23" t="s">
        <v>61</v>
      </c>
      <c r="G7201" t="s">
        <v>62</v>
      </c>
      <c r="H7201" t="s">
        <v>63</v>
      </c>
    </row>
    <row r="7202" spans="1:8" x14ac:dyDescent="0.3">
      <c r="A7202" s="22" t="s">
        <v>64</v>
      </c>
      <c r="B7202" t="s">
        <v>67</v>
      </c>
      <c r="C7202" s="23">
        <v>0.35232357324499203</v>
      </c>
      <c r="D7202" s="23">
        <v>0.338983050847458</v>
      </c>
      <c r="E7202" s="23">
        <v>3.6866359447004601E-2</v>
      </c>
      <c r="F7202" s="23">
        <v>1</v>
      </c>
      <c r="G7202">
        <v>155</v>
      </c>
      <c r="H7202">
        <v>166</v>
      </c>
    </row>
    <row r="7203" spans="1:8" x14ac:dyDescent="0.3">
      <c r="A7203" s="22" t="s">
        <v>64</v>
      </c>
      <c r="B7203" t="s">
        <v>68</v>
      </c>
      <c r="C7203" s="23">
        <v>0.40318883184242582</v>
      </c>
      <c r="D7203" s="23">
        <v>0.35897435897435898</v>
      </c>
      <c r="E7203" s="23">
        <v>0.10101010101010099</v>
      </c>
      <c r="F7203" s="23">
        <v>1</v>
      </c>
      <c r="G7203">
        <v>11</v>
      </c>
      <c r="H7203">
        <v>166</v>
      </c>
    </row>
    <row r="7204" spans="1:8" x14ac:dyDescent="0.3">
      <c r="C7204" s="23"/>
      <c r="D7204" s="23"/>
      <c r="E7204" s="23"/>
      <c r="F7204" s="23"/>
    </row>
    <row r="7205" spans="1:8" ht="86.4" x14ac:dyDescent="0.3">
      <c r="A7205" s="22" t="s">
        <v>1586</v>
      </c>
      <c r="C7205" s="23"/>
      <c r="D7205" s="23"/>
      <c r="E7205" s="23"/>
      <c r="F7205" s="23"/>
    </row>
    <row r="7206" spans="1:8" x14ac:dyDescent="0.3">
      <c r="A7206" s="22" t="s">
        <v>57</v>
      </c>
      <c r="B7206" t="s">
        <v>66</v>
      </c>
      <c r="C7206" s="23" t="s">
        <v>58</v>
      </c>
      <c r="D7206" s="23" t="s">
        <v>59</v>
      </c>
      <c r="E7206" s="23" t="s">
        <v>60</v>
      </c>
      <c r="F7206" s="23" t="s">
        <v>61</v>
      </c>
      <c r="G7206" t="s">
        <v>62</v>
      </c>
      <c r="H7206" t="s">
        <v>63</v>
      </c>
    </row>
    <row r="7207" spans="1:8" x14ac:dyDescent="0.3">
      <c r="A7207" s="22" t="s">
        <v>64</v>
      </c>
      <c r="B7207" t="s">
        <v>67</v>
      </c>
      <c r="C7207" s="23">
        <v>0.35569416267012322</v>
      </c>
      <c r="D7207" s="23">
        <v>0.3125</v>
      </c>
      <c r="E7207" s="23">
        <v>3.6866359447004601E-2</v>
      </c>
      <c r="F7207" s="23">
        <v>1</v>
      </c>
      <c r="G7207">
        <v>166</v>
      </c>
      <c r="H7207">
        <v>166</v>
      </c>
    </row>
    <row r="7208" spans="1:8" x14ac:dyDescent="0.3">
      <c r="C7208" s="23"/>
      <c r="D7208" s="23"/>
      <c r="E7208" s="23"/>
      <c r="F7208" s="23"/>
    </row>
    <row r="7209" spans="1:8" ht="72" x14ac:dyDescent="0.3">
      <c r="A7209" s="22" t="s">
        <v>1587</v>
      </c>
      <c r="C7209" s="23"/>
      <c r="D7209" s="23"/>
      <c r="E7209" s="23"/>
      <c r="F7209" s="23"/>
    </row>
    <row r="7210" spans="1:8" x14ac:dyDescent="0.3">
      <c r="A7210" s="22" t="s">
        <v>57</v>
      </c>
      <c r="B7210" t="s">
        <v>66</v>
      </c>
      <c r="C7210" s="23" t="s">
        <v>58</v>
      </c>
      <c r="D7210" s="23" t="s">
        <v>59</v>
      </c>
      <c r="E7210" s="23" t="s">
        <v>60</v>
      </c>
      <c r="F7210" s="23" t="s">
        <v>61</v>
      </c>
      <c r="G7210" t="s">
        <v>62</v>
      </c>
      <c r="H7210" t="s">
        <v>63</v>
      </c>
    </row>
    <row r="7211" spans="1:8" x14ac:dyDescent="0.3">
      <c r="A7211" s="22" t="s">
        <v>64</v>
      </c>
      <c r="B7211" t="s">
        <v>67</v>
      </c>
      <c r="C7211" s="23">
        <v>0.36619273510847128</v>
      </c>
      <c r="D7211" s="23">
        <v>0.34482758620689702</v>
      </c>
      <c r="E7211" s="23">
        <v>3.6866359447004601E-2</v>
      </c>
      <c r="F7211" s="23">
        <v>1</v>
      </c>
      <c r="G7211">
        <v>106</v>
      </c>
      <c r="H7211">
        <v>166</v>
      </c>
    </row>
    <row r="7212" spans="1:8" x14ac:dyDescent="0.3">
      <c r="A7212" s="22" t="s">
        <v>64</v>
      </c>
      <c r="B7212" t="s">
        <v>68</v>
      </c>
      <c r="C7212" s="23">
        <v>0.33714668469570802</v>
      </c>
      <c r="D7212" s="23">
        <v>0.26178010471204199</v>
      </c>
      <c r="E7212" s="23">
        <v>7.1839080459770097E-2</v>
      </c>
      <c r="F7212" s="23">
        <v>1</v>
      </c>
      <c r="G7212">
        <v>60</v>
      </c>
      <c r="H7212">
        <v>166</v>
      </c>
    </row>
    <row r="7213" spans="1:8" x14ac:dyDescent="0.3">
      <c r="C7213" s="23"/>
      <c r="D7213" s="23"/>
      <c r="E7213" s="23"/>
      <c r="F7213" s="23"/>
    </row>
    <row r="7214" spans="1:8" ht="72" x14ac:dyDescent="0.3">
      <c r="A7214" s="22" t="s">
        <v>1588</v>
      </c>
      <c r="C7214" s="23"/>
      <c r="D7214" s="23"/>
      <c r="E7214" s="23"/>
      <c r="F7214" s="23"/>
    </row>
    <row r="7215" spans="1:8" x14ac:dyDescent="0.3">
      <c r="A7215" s="22" t="s">
        <v>57</v>
      </c>
      <c r="B7215" t="s">
        <v>66</v>
      </c>
      <c r="C7215" s="23" t="s">
        <v>58</v>
      </c>
      <c r="D7215" s="23" t="s">
        <v>59</v>
      </c>
      <c r="E7215" s="23" t="s">
        <v>60</v>
      </c>
      <c r="F7215" s="23" t="s">
        <v>61</v>
      </c>
      <c r="G7215" t="s">
        <v>62</v>
      </c>
      <c r="H7215" t="s">
        <v>63</v>
      </c>
    </row>
    <row r="7216" spans="1:8" x14ac:dyDescent="0.3">
      <c r="A7216" s="22" t="s">
        <v>64</v>
      </c>
      <c r="B7216" t="s">
        <v>67</v>
      </c>
      <c r="C7216" s="23">
        <v>0.36304798600604349</v>
      </c>
      <c r="D7216" s="23">
        <v>0.34013605442176897</v>
      </c>
      <c r="E7216" s="23">
        <v>3.6866359447004601E-2</v>
      </c>
      <c r="F7216" s="23">
        <v>1</v>
      </c>
      <c r="G7216">
        <v>150</v>
      </c>
      <c r="H7216">
        <v>166</v>
      </c>
    </row>
    <row r="7217" spans="1:8" x14ac:dyDescent="0.3">
      <c r="A7217" s="22" t="s">
        <v>64</v>
      </c>
      <c r="B7217" t="s">
        <v>68</v>
      </c>
      <c r="C7217" s="23">
        <v>0.28675206889587013</v>
      </c>
      <c r="D7217" s="23">
        <v>0.26490066225165598</v>
      </c>
      <c r="E7217" s="23">
        <v>3.8167938931297697E-2</v>
      </c>
      <c r="F7217" s="23">
        <v>0.75</v>
      </c>
      <c r="G7217">
        <v>16</v>
      </c>
      <c r="H7217">
        <v>166</v>
      </c>
    </row>
    <row r="7218" spans="1:8" x14ac:dyDescent="0.3">
      <c r="C7218" s="23"/>
      <c r="D7218" s="23"/>
      <c r="E7218" s="23"/>
      <c r="F7218" s="23"/>
    </row>
    <row r="7219" spans="1:8" ht="57.6" x14ac:dyDescent="0.3">
      <c r="A7219" s="22" t="s">
        <v>1589</v>
      </c>
      <c r="C7219" s="23"/>
      <c r="D7219" s="23"/>
      <c r="E7219" s="23"/>
      <c r="F7219" s="23"/>
    </row>
    <row r="7220" spans="1:8" x14ac:dyDescent="0.3">
      <c r="A7220" s="22" t="s">
        <v>57</v>
      </c>
      <c r="B7220" t="s">
        <v>66</v>
      </c>
      <c r="C7220" s="23" t="s">
        <v>58</v>
      </c>
      <c r="D7220" s="23" t="s">
        <v>59</v>
      </c>
      <c r="E7220" s="23" t="s">
        <v>60</v>
      </c>
      <c r="F7220" s="23" t="s">
        <v>61</v>
      </c>
      <c r="G7220" t="s">
        <v>62</v>
      </c>
      <c r="H7220" t="s">
        <v>63</v>
      </c>
    </row>
    <row r="7221" spans="1:8" x14ac:dyDescent="0.3">
      <c r="A7221" s="22" t="s">
        <v>64</v>
      </c>
      <c r="B7221" t="s">
        <v>81</v>
      </c>
      <c r="C7221" s="23">
        <v>0.40182614811930828</v>
      </c>
      <c r="D7221" s="23">
        <v>0.38461538461538503</v>
      </c>
      <c r="E7221" s="23">
        <v>4.71698113207547E-2</v>
      </c>
      <c r="F7221" s="23">
        <v>1</v>
      </c>
      <c r="G7221">
        <v>53</v>
      </c>
      <c r="H7221">
        <v>166</v>
      </c>
    </row>
    <row r="7222" spans="1:8" x14ac:dyDescent="0.3">
      <c r="A7222" s="22" t="s">
        <v>64</v>
      </c>
      <c r="B7222" t="s">
        <v>82</v>
      </c>
      <c r="C7222" s="23">
        <v>0.31818613666774648</v>
      </c>
      <c r="D7222" s="23">
        <v>0.26490066225165598</v>
      </c>
      <c r="E7222" s="23">
        <v>6.6666666666666693E-2</v>
      </c>
      <c r="F7222" s="23">
        <v>0.83333333333333304</v>
      </c>
      <c r="G7222">
        <v>37</v>
      </c>
      <c r="H7222">
        <v>166</v>
      </c>
    </row>
    <row r="7223" spans="1:8" x14ac:dyDescent="0.3">
      <c r="A7223" s="22" t="s">
        <v>64</v>
      </c>
      <c r="B7223" t="s">
        <v>83</v>
      </c>
      <c r="C7223" s="23">
        <v>0.32651703057885512</v>
      </c>
      <c r="D7223" s="23">
        <v>0.28571428571428598</v>
      </c>
      <c r="E7223" s="23">
        <v>3.6866359447004601E-2</v>
      </c>
      <c r="F7223" s="23">
        <v>1</v>
      </c>
      <c r="G7223">
        <v>40</v>
      </c>
      <c r="H7223">
        <v>166</v>
      </c>
    </row>
    <row r="7224" spans="1:8" x14ac:dyDescent="0.3">
      <c r="A7224" s="22" t="s">
        <v>64</v>
      </c>
      <c r="B7224" t="s">
        <v>84</v>
      </c>
      <c r="C7224" s="23">
        <v>0.35874657980711899</v>
      </c>
      <c r="D7224" s="23">
        <v>0.31055900621117999</v>
      </c>
      <c r="E7224" s="23">
        <v>7.9365079365079402E-2</v>
      </c>
      <c r="F7224" s="23">
        <v>1</v>
      </c>
      <c r="G7224">
        <v>36</v>
      </c>
      <c r="H7224">
        <v>166</v>
      </c>
    </row>
    <row r="7226" spans="1:8" ht="57.6" x14ac:dyDescent="0.3">
      <c r="A7226" s="22" t="s">
        <v>1590</v>
      </c>
    </row>
    <row r="7227" spans="1:8" x14ac:dyDescent="0.3">
      <c r="A7227" s="22" t="s">
        <v>57</v>
      </c>
      <c r="B7227" t="s">
        <v>58</v>
      </c>
      <c r="C7227" t="s">
        <v>59</v>
      </c>
      <c r="D7227" t="s">
        <v>60</v>
      </c>
      <c r="E7227" t="s">
        <v>61</v>
      </c>
      <c r="F7227" t="s">
        <v>62</v>
      </c>
      <c r="G7227" t="s">
        <v>63</v>
      </c>
    </row>
    <row r="7228" spans="1:8" x14ac:dyDescent="0.3">
      <c r="A7228" s="22" t="s">
        <v>64</v>
      </c>
      <c r="B7228" s="23">
        <v>9.4643287728378961E-2</v>
      </c>
      <c r="C7228" s="23">
        <v>7.8534031413612607E-2</v>
      </c>
      <c r="D7228" s="23">
        <v>0</v>
      </c>
      <c r="E7228" s="23">
        <v>0.4</v>
      </c>
      <c r="F7228">
        <v>91</v>
      </c>
      <c r="G7228">
        <v>91</v>
      </c>
    </row>
    <row r="7229" spans="1:8" x14ac:dyDescent="0.3">
      <c r="B7229" s="23"/>
      <c r="C7229" s="23"/>
      <c r="D7229" s="23"/>
      <c r="E7229" s="23"/>
    </row>
    <row r="7230" spans="1:8" ht="72" x14ac:dyDescent="0.3">
      <c r="A7230" s="22" t="s">
        <v>1591</v>
      </c>
      <c r="C7230" s="23"/>
      <c r="D7230" s="23"/>
      <c r="E7230" s="23"/>
      <c r="F7230" s="23"/>
    </row>
    <row r="7231" spans="1:8" x14ac:dyDescent="0.3">
      <c r="A7231" s="22" t="s">
        <v>57</v>
      </c>
      <c r="B7231" t="s">
        <v>66</v>
      </c>
      <c r="C7231" s="23" t="s">
        <v>58</v>
      </c>
      <c r="D7231" s="23" t="s">
        <v>59</v>
      </c>
      <c r="E7231" s="23" t="s">
        <v>60</v>
      </c>
      <c r="F7231" s="23" t="s">
        <v>61</v>
      </c>
      <c r="G7231" t="s">
        <v>62</v>
      </c>
      <c r="H7231" t="s">
        <v>63</v>
      </c>
    </row>
    <row r="7232" spans="1:8" x14ac:dyDescent="0.3">
      <c r="A7232" s="22" t="s">
        <v>64</v>
      </c>
      <c r="B7232" t="s">
        <v>67</v>
      </c>
      <c r="C7232" s="23">
        <v>9.5831213568719625E-2</v>
      </c>
      <c r="D7232" s="23">
        <v>0.08</v>
      </c>
      <c r="E7232" s="23">
        <v>0</v>
      </c>
      <c r="F7232" s="23">
        <v>0.4</v>
      </c>
      <c r="G7232">
        <v>89</v>
      </c>
      <c r="H7232">
        <v>91</v>
      </c>
    </row>
    <row r="7233" spans="1:8" x14ac:dyDescent="0.3">
      <c r="A7233" s="22" t="s">
        <v>64</v>
      </c>
      <c r="B7233" t="s">
        <v>68</v>
      </c>
      <c r="C7233" s="23">
        <v>4.1780587833219397E-2</v>
      </c>
      <c r="D7233" s="23">
        <v>3.5714285714285698E-2</v>
      </c>
      <c r="E7233" s="23">
        <v>3.5714285714285698E-2</v>
      </c>
      <c r="F7233" s="23">
        <v>4.7846889952153103E-2</v>
      </c>
      <c r="G7233">
        <v>2</v>
      </c>
      <c r="H7233">
        <v>91</v>
      </c>
    </row>
    <row r="7234" spans="1:8" x14ac:dyDescent="0.3">
      <c r="C7234" s="23"/>
      <c r="D7234" s="23"/>
      <c r="E7234" s="23"/>
      <c r="F7234" s="23"/>
    </row>
    <row r="7235" spans="1:8" x14ac:dyDescent="0.3">
      <c r="A7235"/>
      <c r="C7235" s="23"/>
      <c r="D7235" s="23"/>
      <c r="E7235" s="23"/>
      <c r="F7235" s="23"/>
    </row>
    <row r="7236" spans="1:8" x14ac:dyDescent="0.3">
      <c r="A7236"/>
      <c r="C7236" s="23"/>
      <c r="D7236" s="23"/>
      <c r="E7236" s="23"/>
      <c r="F7236" s="23"/>
    </row>
    <row r="7237" spans="1:8" x14ac:dyDescent="0.3">
      <c r="A7237"/>
      <c r="C7237" s="23"/>
      <c r="D7237" s="23"/>
      <c r="E7237" s="23"/>
      <c r="F7237" s="23"/>
    </row>
    <row r="7238" spans="1:8" x14ac:dyDescent="0.3">
      <c r="C7238" s="23"/>
      <c r="D7238" s="23"/>
      <c r="E7238" s="23"/>
      <c r="F7238" s="23"/>
    </row>
    <row r="7239" spans="1:8" ht="72" x14ac:dyDescent="0.3">
      <c r="A7239" s="22" t="s">
        <v>1592</v>
      </c>
      <c r="C7239" s="23"/>
      <c r="D7239" s="23"/>
      <c r="E7239" s="23"/>
      <c r="F7239" s="23"/>
    </row>
    <row r="7240" spans="1:8" x14ac:dyDescent="0.3">
      <c r="A7240" s="22" t="s">
        <v>57</v>
      </c>
      <c r="B7240" t="s">
        <v>66</v>
      </c>
      <c r="C7240" s="23" t="s">
        <v>58</v>
      </c>
      <c r="D7240" s="23" t="s">
        <v>59</v>
      </c>
      <c r="E7240" s="23" t="s">
        <v>60</v>
      </c>
      <c r="F7240" s="23" t="s">
        <v>61</v>
      </c>
      <c r="G7240" t="s">
        <v>62</v>
      </c>
      <c r="H7240" t="s">
        <v>63</v>
      </c>
    </row>
    <row r="7241" spans="1:8" x14ac:dyDescent="0.3">
      <c r="A7241" s="22" t="s">
        <v>64</v>
      </c>
      <c r="B7241" t="s">
        <v>67</v>
      </c>
      <c r="C7241" s="23">
        <v>9.1131054750005949E-2</v>
      </c>
      <c r="D7241" s="23">
        <v>7.7519379844961198E-2</v>
      </c>
      <c r="E7241" s="23">
        <v>0</v>
      </c>
      <c r="F7241" s="23">
        <v>0.4</v>
      </c>
      <c r="G7241">
        <v>88</v>
      </c>
      <c r="H7241">
        <v>91</v>
      </c>
    </row>
    <row r="7242" spans="1:8" x14ac:dyDescent="0.3">
      <c r="A7242" s="22" t="s">
        <v>64</v>
      </c>
      <c r="B7242" t="s">
        <v>68</v>
      </c>
      <c r="C7242" s="23">
        <v>0.1976687884273205</v>
      </c>
      <c r="D7242" s="23">
        <v>0.3359375</v>
      </c>
      <c r="E7242" s="23">
        <v>6.6592674805771399E-2</v>
      </c>
      <c r="F7242" s="23">
        <v>0.3359375</v>
      </c>
      <c r="G7242">
        <v>3</v>
      </c>
      <c r="H7242">
        <v>91</v>
      </c>
    </row>
    <row r="7243" spans="1:8" x14ac:dyDescent="0.3">
      <c r="C7243" s="23"/>
      <c r="D7243" s="23"/>
      <c r="E7243" s="23"/>
      <c r="F7243" s="23"/>
    </row>
    <row r="7244" spans="1:8" ht="72" x14ac:dyDescent="0.3">
      <c r="A7244" s="22" t="s">
        <v>1593</v>
      </c>
      <c r="C7244" s="23"/>
      <c r="D7244" s="23"/>
      <c r="E7244" s="23"/>
      <c r="F7244" s="23"/>
    </row>
    <row r="7245" spans="1:8" x14ac:dyDescent="0.3">
      <c r="A7245" s="22" t="s">
        <v>57</v>
      </c>
      <c r="B7245" t="s">
        <v>66</v>
      </c>
      <c r="C7245" s="23" t="s">
        <v>58</v>
      </c>
      <c r="D7245" s="23" t="s">
        <v>59</v>
      </c>
      <c r="E7245" s="23" t="s">
        <v>60</v>
      </c>
      <c r="F7245" s="23" t="s">
        <v>61</v>
      </c>
      <c r="G7245" t="s">
        <v>62</v>
      </c>
      <c r="H7245" t="s">
        <v>63</v>
      </c>
    </row>
    <row r="7246" spans="1:8" x14ac:dyDescent="0.3">
      <c r="A7246" s="22" t="s">
        <v>64</v>
      </c>
      <c r="B7246" t="s">
        <v>67</v>
      </c>
      <c r="C7246" s="23">
        <v>9.4643287728378961E-2</v>
      </c>
      <c r="D7246" s="23">
        <v>7.8534031413612607E-2</v>
      </c>
      <c r="E7246" s="23">
        <v>0</v>
      </c>
      <c r="F7246" s="23">
        <v>0.4</v>
      </c>
      <c r="G7246">
        <v>91</v>
      </c>
      <c r="H7246">
        <v>91</v>
      </c>
    </row>
    <row r="7247" spans="1:8" x14ac:dyDescent="0.3">
      <c r="C7247" s="23"/>
      <c r="D7247" s="23"/>
      <c r="E7247" s="23"/>
      <c r="F7247" s="23"/>
    </row>
    <row r="7248" spans="1:8" ht="72" x14ac:dyDescent="0.3">
      <c r="A7248" s="22" t="s">
        <v>1594</v>
      </c>
      <c r="C7248" s="23"/>
      <c r="D7248" s="23"/>
      <c r="E7248" s="23"/>
      <c r="F7248" s="23"/>
    </row>
    <row r="7249" spans="1:8" x14ac:dyDescent="0.3">
      <c r="A7249" s="22" t="s">
        <v>57</v>
      </c>
      <c r="B7249" t="s">
        <v>66</v>
      </c>
      <c r="C7249" s="23" t="s">
        <v>58</v>
      </c>
      <c r="D7249" s="23" t="s">
        <v>59</v>
      </c>
      <c r="E7249" s="23" t="s">
        <v>60</v>
      </c>
      <c r="F7249" s="23" t="s">
        <v>61</v>
      </c>
      <c r="G7249" t="s">
        <v>62</v>
      </c>
      <c r="H7249" t="s">
        <v>63</v>
      </c>
    </row>
    <row r="7250" spans="1:8" x14ac:dyDescent="0.3">
      <c r="A7250" s="22" t="s">
        <v>64</v>
      </c>
      <c r="B7250" t="s">
        <v>67</v>
      </c>
      <c r="C7250" s="23">
        <v>9.5958102155108235E-2</v>
      </c>
      <c r="D7250" s="23">
        <v>0.08</v>
      </c>
      <c r="E7250" s="23">
        <v>0</v>
      </c>
      <c r="F7250" s="23">
        <v>0.4</v>
      </c>
      <c r="G7250">
        <v>87</v>
      </c>
      <c r="H7250">
        <v>91</v>
      </c>
    </row>
    <row r="7251" spans="1:8" x14ac:dyDescent="0.3">
      <c r="A7251" s="22" t="s">
        <v>64</v>
      </c>
      <c r="B7251" t="s">
        <v>68</v>
      </c>
      <c r="C7251" s="23">
        <v>6.6046073947017295E-2</v>
      </c>
      <c r="D7251" s="23">
        <v>4.71698113207547E-2</v>
      </c>
      <c r="E7251" s="23">
        <v>2.5000000000000001E-2</v>
      </c>
      <c r="F7251" s="23">
        <v>0.14150943396226401</v>
      </c>
      <c r="G7251">
        <v>4</v>
      </c>
      <c r="H7251">
        <v>91</v>
      </c>
    </row>
    <row r="7252" spans="1:8" x14ac:dyDescent="0.3">
      <c r="C7252" s="23"/>
      <c r="D7252" s="23"/>
      <c r="E7252" s="23"/>
      <c r="F7252" s="23"/>
    </row>
    <row r="7253" spans="1:8" ht="72" x14ac:dyDescent="0.3">
      <c r="A7253" s="22" t="s">
        <v>1595</v>
      </c>
      <c r="C7253" s="23"/>
      <c r="D7253" s="23"/>
      <c r="E7253" s="23"/>
      <c r="F7253" s="23"/>
    </row>
    <row r="7254" spans="1:8" x14ac:dyDescent="0.3">
      <c r="A7254" s="22" t="s">
        <v>57</v>
      </c>
      <c r="B7254" t="s">
        <v>66</v>
      </c>
      <c r="C7254" s="23" t="s">
        <v>58</v>
      </c>
      <c r="D7254" s="23" t="s">
        <v>59</v>
      </c>
      <c r="E7254" s="23" t="s">
        <v>60</v>
      </c>
      <c r="F7254" s="23" t="s">
        <v>61</v>
      </c>
      <c r="G7254" t="s">
        <v>62</v>
      </c>
      <c r="H7254" t="s">
        <v>63</v>
      </c>
    </row>
    <row r="7255" spans="1:8" x14ac:dyDescent="0.3">
      <c r="A7255" s="22" t="s">
        <v>64</v>
      </c>
      <c r="B7255" t="s">
        <v>67</v>
      </c>
      <c r="C7255" s="23">
        <v>0.2</v>
      </c>
      <c r="D7255" s="23">
        <v>0.2</v>
      </c>
      <c r="E7255" s="23">
        <v>0.2</v>
      </c>
      <c r="F7255" s="23">
        <v>0.2</v>
      </c>
      <c r="G7255">
        <v>1</v>
      </c>
      <c r="H7255">
        <v>91</v>
      </c>
    </row>
    <row r="7256" spans="1:8" x14ac:dyDescent="0.3">
      <c r="A7256" s="22" t="s">
        <v>64</v>
      </c>
      <c r="B7256" t="s">
        <v>68</v>
      </c>
      <c r="C7256" s="23">
        <v>9.3472657592027608E-2</v>
      </c>
      <c r="D7256" s="23">
        <v>7.7519379844961198E-2</v>
      </c>
      <c r="E7256" s="23">
        <v>0</v>
      </c>
      <c r="F7256" s="23">
        <v>0.4</v>
      </c>
      <c r="G7256">
        <v>90</v>
      </c>
      <c r="H7256">
        <v>91</v>
      </c>
    </row>
    <row r="7257" spans="1:8" x14ac:dyDescent="0.3">
      <c r="C7257" s="23"/>
      <c r="D7257" s="23"/>
      <c r="E7257" s="23"/>
      <c r="F7257" s="23"/>
    </row>
    <row r="7258" spans="1:8" ht="72" x14ac:dyDescent="0.3">
      <c r="A7258" s="22" t="s">
        <v>1596</v>
      </c>
      <c r="C7258" s="23"/>
      <c r="D7258" s="23"/>
      <c r="E7258" s="23"/>
      <c r="F7258" s="23"/>
    </row>
    <row r="7259" spans="1:8" x14ac:dyDescent="0.3">
      <c r="A7259" s="22" t="s">
        <v>57</v>
      </c>
      <c r="B7259" t="s">
        <v>66</v>
      </c>
      <c r="C7259" s="23" t="s">
        <v>58</v>
      </c>
      <c r="D7259" s="23" t="s">
        <v>59</v>
      </c>
      <c r="E7259" s="23" t="s">
        <v>60</v>
      </c>
      <c r="F7259" s="23" t="s">
        <v>61</v>
      </c>
      <c r="G7259" t="s">
        <v>62</v>
      </c>
      <c r="H7259" t="s">
        <v>63</v>
      </c>
    </row>
    <row r="7260" spans="1:8" x14ac:dyDescent="0.3">
      <c r="A7260" s="22" t="s">
        <v>64</v>
      </c>
      <c r="B7260" t="s">
        <v>67</v>
      </c>
      <c r="C7260" s="23">
        <v>9.8279228283651335E-2</v>
      </c>
      <c r="D7260" s="23">
        <v>7.8534031413612607E-2</v>
      </c>
      <c r="E7260" s="23">
        <v>1.4367816091954E-2</v>
      </c>
      <c r="F7260" s="23">
        <v>0.4</v>
      </c>
      <c r="G7260">
        <v>70</v>
      </c>
      <c r="H7260">
        <v>91</v>
      </c>
    </row>
    <row r="7261" spans="1:8" x14ac:dyDescent="0.3">
      <c r="A7261" s="22" t="s">
        <v>64</v>
      </c>
      <c r="B7261" t="s">
        <v>68</v>
      </c>
      <c r="C7261" s="23">
        <v>8.2523485877471117E-2</v>
      </c>
      <c r="D7261" s="23">
        <v>7.7519379844961198E-2</v>
      </c>
      <c r="E7261" s="23">
        <v>0</v>
      </c>
      <c r="F7261" s="23">
        <v>0.232558139534884</v>
      </c>
      <c r="G7261">
        <v>21</v>
      </c>
      <c r="H7261">
        <v>91</v>
      </c>
    </row>
    <row r="7262" spans="1:8" x14ac:dyDescent="0.3">
      <c r="C7262" s="23"/>
      <c r="D7262" s="23"/>
      <c r="E7262" s="23"/>
      <c r="F7262" s="23"/>
    </row>
    <row r="7263" spans="1:8" ht="72" x14ac:dyDescent="0.3">
      <c r="A7263" s="22" t="s">
        <v>1597</v>
      </c>
      <c r="C7263" s="23"/>
      <c r="D7263" s="23"/>
      <c r="E7263" s="23"/>
      <c r="F7263" s="23"/>
    </row>
    <row r="7264" spans="1:8" x14ac:dyDescent="0.3">
      <c r="A7264" s="22" t="s">
        <v>57</v>
      </c>
      <c r="B7264" t="s">
        <v>66</v>
      </c>
      <c r="C7264" s="23" t="s">
        <v>58</v>
      </c>
      <c r="D7264" s="23" t="s">
        <v>59</v>
      </c>
      <c r="E7264" s="23" t="s">
        <v>60</v>
      </c>
      <c r="F7264" s="23" t="s">
        <v>61</v>
      </c>
      <c r="G7264" t="s">
        <v>62</v>
      </c>
      <c r="H7264" t="s">
        <v>63</v>
      </c>
    </row>
    <row r="7265" spans="1:8" x14ac:dyDescent="0.3">
      <c r="A7265" s="22" t="s">
        <v>64</v>
      </c>
      <c r="B7265" t="s">
        <v>67</v>
      </c>
      <c r="C7265" s="23">
        <v>9.1175167236755422E-2</v>
      </c>
      <c r="D7265" s="23">
        <v>7.5046904315197005E-2</v>
      </c>
      <c r="E7265" s="23">
        <v>0</v>
      </c>
      <c r="F7265" s="23">
        <v>0.4</v>
      </c>
      <c r="G7265">
        <v>70</v>
      </c>
      <c r="H7265">
        <v>91</v>
      </c>
    </row>
    <row r="7266" spans="1:8" x14ac:dyDescent="0.3">
      <c r="A7266" s="22" t="s">
        <v>64</v>
      </c>
      <c r="B7266" t="s">
        <v>68</v>
      </c>
      <c r="C7266" s="23">
        <v>0.106203689367124</v>
      </c>
      <c r="D7266" s="23">
        <v>9.6551724137931005E-2</v>
      </c>
      <c r="E7266" s="23">
        <v>1.2072434607645901E-2</v>
      </c>
      <c r="F7266" s="23">
        <v>0.34482758620689702</v>
      </c>
      <c r="G7266">
        <v>21</v>
      </c>
      <c r="H7266">
        <v>91</v>
      </c>
    </row>
    <row r="7267" spans="1:8" x14ac:dyDescent="0.3">
      <c r="C7267" s="23"/>
      <c r="D7267" s="23"/>
      <c r="E7267" s="23"/>
      <c r="F7267" s="23"/>
    </row>
    <row r="7268" spans="1:8" ht="72" x14ac:dyDescent="0.3">
      <c r="A7268" s="22" t="s">
        <v>1598</v>
      </c>
      <c r="C7268" s="23"/>
      <c r="D7268" s="23"/>
      <c r="E7268" s="23"/>
      <c r="F7268" s="23"/>
    </row>
    <row r="7269" spans="1:8" x14ac:dyDescent="0.3">
      <c r="A7269" s="22" t="s">
        <v>57</v>
      </c>
      <c r="B7269" t="s">
        <v>66</v>
      </c>
      <c r="C7269" s="23" t="s">
        <v>58</v>
      </c>
      <c r="D7269" s="23" t="s">
        <v>59</v>
      </c>
      <c r="E7269" s="23" t="s">
        <v>60</v>
      </c>
      <c r="F7269" s="23" t="s">
        <v>61</v>
      </c>
      <c r="G7269" t="s">
        <v>62</v>
      </c>
      <c r="H7269" t="s">
        <v>63</v>
      </c>
    </row>
    <row r="7270" spans="1:8" x14ac:dyDescent="0.3">
      <c r="A7270" s="22" t="s">
        <v>64</v>
      </c>
      <c r="B7270" t="s">
        <v>67</v>
      </c>
      <c r="C7270" s="23">
        <v>9.5545855156988158E-2</v>
      </c>
      <c r="D7270" s="23">
        <v>7.7519379844961198E-2</v>
      </c>
      <c r="E7270" s="23">
        <v>0</v>
      </c>
      <c r="F7270" s="23">
        <v>0.4</v>
      </c>
      <c r="G7270">
        <v>70</v>
      </c>
      <c r="H7270">
        <v>91</v>
      </c>
    </row>
    <row r="7271" spans="1:8" x14ac:dyDescent="0.3">
      <c r="A7271" s="22" t="s">
        <v>64</v>
      </c>
      <c r="B7271" t="s">
        <v>68</v>
      </c>
      <c r="C7271" s="23">
        <v>9.1634729633014944E-2</v>
      </c>
      <c r="D7271" s="23">
        <v>8.4388185654008394E-2</v>
      </c>
      <c r="E7271" s="23">
        <v>1.6203078584931099E-2</v>
      </c>
      <c r="F7271" s="23">
        <v>0.34482758620689702</v>
      </c>
      <c r="G7271">
        <v>21</v>
      </c>
      <c r="H7271">
        <v>91</v>
      </c>
    </row>
    <row r="7272" spans="1:8" x14ac:dyDescent="0.3">
      <c r="C7272" s="23"/>
      <c r="D7272" s="23"/>
      <c r="E7272" s="23"/>
      <c r="F7272" s="23"/>
    </row>
    <row r="7273" spans="1:8" ht="86.4" x14ac:dyDescent="0.3">
      <c r="A7273" s="22" t="s">
        <v>1599</v>
      </c>
      <c r="C7273" s="23"/>
      <c r="D7273" s="23"/>
      <c r="E7273" s="23"/>
      <c r="F7273" s="23"/>
    </row>
    <row r="7274" spans="1:8" x14ac:dyDescent="0.3">
      <c r="A7274" s="22" t="s">
        <v>57</v>
      </c>
      <c r="B7274" t="s">
        <v>66</v>
      </c>
      <c r="C7274" s="23" t="s">
        <v>58</v>
      </c>
      <c r="D7274" s="23" t="s">
        <v>59</v>
      </c>
      <c r="E7274" s="23" t="s">
        <v>60</v>
      </c>
      <c r="F7274" s="23" t="s">
        <v>61</v>
      </c>
      <c r="G7274" t="s">
        <v>62</v>
      </c>
      <c r="H7274" t="s">
        <v>63</v>
      </c>
    </row>
    <row r="7275" spans="1:8" x14ac:dyDescent="0.3">
      <c r="A7275" s="22" t="s">
        <v>64</v>
      </c>
      <c r="B7275" t="s">
        <v>67</v>
      </c>
      <c r="C7275" s="23">
        <v>9.5718073798461839E-2</v>
      </c>
      <c r="D7275" s="23">
        <v>7.8125E-2</v>
      </c>
      <c r="E7275" s="23">
        <v>0</v>
      </c>
      <c r="F7275" s="23">
        <v>0.4</v>
      </c>
      <c r="G7275">
        <v>85</v>
      </c>
      <c r="H7275">
        <v>91</v>
      </c>
    </row>
    <row r="7276" spans="1:8" x14ac:dyDescent="0.3">
      <c r="A7276" s="22" t="s">
        <v>64</v>
      </c>
      <c r="B7276" t="s">
        <v>68</v>
      </c>
      <c r="C7276" s="23">
        <v>7.941715173553808E-2</v>
      </c>
      <c r="D7276" s="23">
        <v>8.2644628099173598E-2</v>
      </c>
      <c r="E7276" s="23">
        <v>4.7619047619047603E-2</v>
      </c>
      <c r="F7276" s="23">
        <v>0.102564102564103</v>
      </c>
      <c r="G7276">
        <v>6</v>
      </c>
      <c r="H7276">
        <v>91</v>
      </c>
    </row>
    <row r="7277" spans="1:8" x14ac:dyDescent="0.3">
      <c r="C7277" s="23"/>
      <c r="D7277" s="23"/>
      <c r="E7277" s="23"/>
      <c r="F7277" s="23"/>
    </row>
    <row r="7278" spans="1:8" ht="86.4" x14ac:dyDescent="0.3">
      <c r="A7278" s="22" t="s">
        <v>1600</v>
      </c>
      <c r="C7278" s="23"/>
      <c r="D7278" s="23"/>
      <c r="E7278" s="23"/>
      <c r="F7278" s="23"/>
    </row>
    <row r="7279" spans="1:8" x14ac:dyDescent="0.3">
      <c r="A7279" s="22" t="s">
        <v>57</v>
      </c>
      <c r="B7279" t="s">
        <v>66</v>
      </c>
      <c r="C7279" s="23" t="s">
        <v>58</v>
      </c>
      <c r="D7279" s="23" t="s">
        <v>59</v>
      </c>
      <c r="E7279" s="23" t="s">
        <v>60</v>
      </c>
      <c r="F7279" s="23" t="s">
        <v>61</v>
      </c>
      <c r="G7279" t="s">
        <v>62</v>
      </c>
      <c r="H7279" t="s">
        <v>63</v>
      </c>
    </row>
    <row r="7280" spans="1:8" x14ac:dyDescent="0.3">
      <c r="A7280" s="22" t="s">
        <v>64</v>
      </c>
      <c r="B7280" t="s">
        <v>67</v>
      </c>
      <c r="C7280" s="23">
        <v>9.4643287728378961E-2</v>
      </c>
      <c r="D7280" s="23">
        <v>7.8534031413612607E-2</v>
      </c>
      <c r="E7280" s="23">
        <v>0</v>
      </c>
      <c r="F7280" s="23">
        <v>0.4</v>
      </c>
      <c r="G7280">
        <v>91</v>
      </c>
      <c r="H7280">
        <v>91</v>
      </c>
    </row>
    <row r="7281" spans="1:8" x14ac:dyDescent="0.3">
      <c r="C7281" s="23"/>
      <c r="D7281" s="23"/>
      <c r="E7281" s="23"/>
      <c r="F7281" s="23"/>
    </row>
    <row r="7282" spans="1:8" ht="72" x14ac:dyDescent="0.3">
      <c r="A7282" s="22" t="s">
        <v>1601</v>
      </c>
      <c r="C7282" s="23"/>
      <c r="D7282" s="23"/>
      <c r="E7282" s="23"/>
      <c r="F7282" s="23"/>
    </row>
    <row r="7283" spans="1:8" x14ac:dyDescent="0.3">
      <c r="A7283" s="22" t="s">
        <v>57</v>
      </c>
      <c r="B7283" t="s">
        <v>66</v>
      </c>
      <c r="C7283" s="23" t="s">
        <v>58</v>
      </c>
      <c r="D7283" s="23" t="s">
        <v>59</v>
      </c>
      <c r="E7283" s="23" t="s">
        <v>60</v>
      </c>
      <c r="F7283" s="23" t="s">
        <v>61</v>
      </c>
      <c r="G7283" t="s">
        <v>62</v>
      </c>
      <c r="H7283" t="s">
        <v>63</v>
      </c>
    </row>
    <row r="7284" spans="1:8" x14ac:dyDescent="0.3">
      <c r="A7284" s="22" t="s">
        <v>64</v>
      </c>
      <c r="B7284" t="s">
        <v>67</v>
      </c>
      <c r="C7284" s="23">
        <v>9.4162136202861776E-2</v>
      </c>
      <c r="D7284" s="23">
        <v>7.4349442379182201E-2</v>
      </c>
      <c r="E7284" s="23">
        <v>1.6203078584931099E-2</v>
      </c>
      <c r="F7284" s="23">
        <v>0.34482758620689702</v>
      </c>
      <c r="G7284">
        <v>55</v>
      </c>
      <c r="H7284">
        <v>91</v>
      </c>
    </row>
    <row r="7285" spans="1:8" x14ac:dyDescent="0.3">
      <c r="A7285" s="22" t="s">
        <v>64</v>
      </c>
      <c r="B7285" t="s">
        <v>68</v>
      </c>
      <c r="C7285" s="23">
        <v>9.5378380336807955E-2</v>
      </c>
      <c r="D7285" s="23">
        <v>8.2644628099173598E-2</v>
      </c>
      <c r="E7285" s="23">
        <v>0</v>
      </c>
      <c r="F7285" s="23">
        <v>0.4</v>
      </c>
      <c r="G7285">
        <v>36</v>
      </c>
      <c r="H7285">
        <v>91</v>
      </c>
    </row>
    <row r="7286" spans="1:8" x14ac:dyDescent="0.3">
      <c r="C7286" s="23"/>
      <c r="D7286" s="23"/>
      <c r="E7286" s="23"/>
      <c r="F7286" s="23"/>
    </row>
    <row r="7287" spans="1:8" ht="86.4" x14ac:dyDescent="0.3">
      <c r="A7287" s="22" t="s">
        <v>1602</v>
      </c>
      <c r="C7287" s="23"/>
      <c r="D7287" s="23"/>
      <c r="E7287" s="23"/>
      <c r="F7287" s="23"/>
    </row>
    <row r="7288" spans="1:8" x14ac:dyDescent="0.3">
      <c r="A7288" s="22" t="s">
        <v>57</v>
      </c>
      <c r="B7288" t="s">
        <v>66</v>
      </c>
      <c r="C7288" s="23" t="s">
        <v>58</v>
      </c>
      <c r="D7288" s="23" t="s">
        <v>59</v>
      </c>
      <c r="E7288" s="23" t="s">
        <v>60</v>
      </c>
      <c r="F7288" s="23" t="s">
        <v>61</v>
      </c>
      <c r="G7288" t="s">
        <v>62</v>
      </c>
      <c r="H7288" t="s">
        <v>63</v>
      </c>
    </row>
    <row r="7289" spans="1:8" x14ac:dyDescent="0.3">
      <c r="A7289" s="22" t="s">
        <v>64</v>
      </c>
      <c r="B7289" t="s">
        <v>67</v>
      </c>
      <c r="C7289" s="23">
        <v>9.5659158974828087E-2</v>
      </c>
      <c r="D7289" s="23">
        <v>7.8534031413612607E-2</v>
      </c>
      <c r="E7289" s="23">
        <v>0</v>
      </c>
      <c r="F7289" s="23">
        <v>0.4</v>
      </c>
      <c r="G7289">
        <v>83</v>
      </c>
      <c r="H7289">
        <v>91</v>
      </c>
    </row>
    <row r="7290" spans="1:8" x14ac:dyDescent="0.3">
      <c r="A7290" s="22" t="s">
        <v>64</v>
      </c>
      <c r="B7290" t="s">
        <v>68</v>
      </c>
      <c r="C7290" s="23">
        <v>8.4103623546469386E-2</v>
      </c>
      <c r="D7290" s="23">
        <v>5.0505050505050497E-2</v>
      </c>
      <c r="E7290" s="23">
        <v>2.9585798816568001E-2</v>
      </c>
      <c r="F7290" s="23">
        <v>0.14150943396226401</v>
      </c>
      <c r="G7290">
        <v>8</v>
      </c>
      <c r="H7290">
        <v>91</v>
      </c>
    </row>
    <row r="7291" spans="1:8" x14ac:dyDescent="0.3">
      <c r="C7291" s="23"/>
      <c r="D7291" s="23"/>
      <c r="E7291" s="23"/>
      <c r="F7291" s="23"/>
    </row>
    <row r="7292" spans="1:8" ht="72" x14ac:dyDescent="0.3">
      <c r="A7292" s="22" t="s">
        <v>1603</v>
      </c>
      <c r="C7292" s="23"/>
      <c r="D7292" s="23"/>
      <c r="E7292" s="23"/>
      <c r="F7292" s="23"/>
    </row>
    <row r="7293" spans="1:8" x14ac:dyDescent="0.3">
      <c r="A7293" s="22" t="s">
        <v>57</v>
      </c>
      <c r="B7293" t="s">
        <v>66</v>
      </c>
      <c r="C7293" s="23" t="s">
        <v>58</v>
      </c>
      <c r="D7293" s="23" t="s">
        <v>59</v>
      </c>
      <c r="E7293" s="23" t="s">
        <v>60</v>
      </c>
      <c r="F7293" s="23" t="s">
        <v>61</v>
      </c>
      <c r="G7293" t="s">
        <v>62</v>
      </c>
      <c r="H7293" t="s">
        <v>63</v>
      </c>
    </row>
    <row r="7294" spans="1:8" x14ac:dyDescent="0.3">
      <c r="A7294" s="22" t="s">
        <v>64</v>
      </c>
      <c r="B7294" t="s">
        <v>81</v>
      </c>
      <c r="C7294" s="23">
        <v>9.8126002326887785E-2</v>
      </c>
      <c r="D7294" s="23">
        <v>6.5934065934065894E-2</v>
      </c>
      <c r="E7294" s="23">
        <v>1.2072434607645901E-2</v>
      </c>
      <c r="F7294" s="23">
        <v>0.3359375</v>
      </c>
      <c r="G7294">
        <v>30</v>
      </c>
      <c r="H7294">
        <v>91</v>
      </c>
    </row>
    <row r="7295" spans="1:8" x14ac:dyDescent="0.3">
      <c r="A7295" s="22" t="s">
        <v>64</v>
      </c>
      <c r="B7295" t="s">
        <v>82</v>
      </c>
      <c r="C7295" s="23">
        <v>8.6429940093047511E-2</v>
      </c>
      <c r="D7295" s="23">
        <v>7.5046904315197005E-2</v>
      </c>
      <c r="E7295" s="23">
        <v>2.0576131687242798E-2</v>
      </c>
      <c r="F7295" s="23">
        <v>0.34482758620689702</v>
      </c>
      <c r="G7295">
        <v>17</v>
      </c>
      <c r="H7295">
        <v>91</v>
      </c>
    </row>
    <row r="7296" spans="1:8" x14ac:dyDescent="0.3">
      <c r="A7296" s="22" t="s">
        <v>64</v>
      </c>
      <c r="B7296" t="s">
        <v>83</v>
      </c>
      <c r="C7296" s="23">
        <v>0.1027924350309003</v>
      </c>
      <c r="D7296" s="23">
        <v>8.6206896551724102E-2</v>
      </c>
      <c r="E7296" s="23">
        <v>0</v>
      </c>
      <c r="F7296" s="23">
        <v>0.4</v>
      </c>
      <c r="G7296">
        <v>24</v>
      </c>
      <c r="H7296">
        <v>91</v>
      </c>
    </row>
    <row r="7297" spans="1:8" x14ac:dyDescent="0.3">
      <c r="A7297" s="22" t="s">
        <v>64</v>
      </c>
      <c r="B7297" t="s">
        <v>84</v>
      </c>
      <c r="C7297" s="23">
        <v>8.6621584557621867E-2</v>
      </c>
      <c r="D7297" s="23">
        <v>7.8125E-2</v>
      </c>
      <c r="E7297" s="23">
        <v>2.9585798816568001E-2</v>
      </c>
      <c r="F7297" s="23">
        <v>0.18181818181818199</v>
      </c>
      <c r="G7297">
        <v>20</v>
      </c>
      <c r="H7297">
        <v>91</v>
      </c>
    </row>
    <row r="7298" spans="1:8" x14ac:dyDescent="0.3">
      <c r="C7298" s="23"/>
      <c r="D7298" s="23"/>
      <c r="E7298" s="23"/>
      <c r="F7298" s="23"/>
    </row>
    <row r="7299" spans="1:8" ht="57.6" x14ac:dyDescent="0.3">
      <c r="A7299" s="22" t="s">
        <v>1604</v>
      </c>
    </row>
    <row r="7300" spans="1:8" x14ac:dyDescent="0.3">
      <c r="A7300" s="22" t="s">
        <v>57</v>
      </c>
      <c r="B7300" t="s">
        <v>58</v>
      </c>
      <c r="C7300" t="s">
        <v>59</v>
      </c>
      <c r="D7300" t="s">
        <v>60</v>
      </c>
      <c r="E7300" t="s">
        <v>61</v>
      </c>
      <c r="F7300" t="s">
        <v>62</v>
      </c>
      <c r="G7300" t="s">
        <v>63</v>
      </c>
    </row>
    <row r="7301" spans="1:8" x14ac:dyDescent="0.3">
      <c r="A7301" s="22" t="s">
        <v>64</v>
      </c>
      <c r="B7301" s="23">
        <v>4.7617345825138893E-2</v>
      </c>
      <c r="C7301" s="23">
        <v>3.6982248520710102E-2</v>
      </c>
      <c r="D7301" s="23">
        <v>0</v>
      </c>
      <c r="E7301" s="23">
        <v>0.183150183150183</v>
      </c>
      <c r="F7301">
        <v>88</v>
      </c>
      <c r="G7301">
        <v>88</v>
      </c>
    </row>
    <row r="7303" spans="1:8" ht="72" x14ac:dyDescent="0.3">
      <c r="A7303" s="22" t="s">
        <v>1605</v>
      </c>
      <c r="C7303" s="23"/>
      <c r="D7303" s="23"/>
      <c r="E7303" s="23"/>
      <c r="F7303" s="23"/>
    </row>
    <row r="7304" spans="1:8" x14ac:dyDescent="0.3">
      <c r="A7304" s="22" t="s">
        <v>57</v>
      </c>
      <c r="B7304" t="s">
        <v>66</v>
      </c>
      <c r="C7304" s="23" t="s">
        <v>58</v>
      </c>
      <c r="D7304" s="23" t="s">
        <v>59</v>
      </c>
      <c r="E7304" s="23" t="s">
        <v>60</v>
      </c>
      <c r="F7304" s="23" t="s">
        <v>61</v>
      </c>
      <c r="G7304" t="s">
        <v>62</v>
      </c>
      <c r="H7304" t="s">
        <v>63</v>
      </c>
    </row>
    <row r="7305" spans="1:8" x14ac:dyDescent="0.3">
      <c r="A7305" s="22" t="s">
        <v>64</v>
      </c>
      <c r="B7305" t="s">
        <v>67</v>
      </c>
      <c r="C7305" s="23">
        <v>4.8280963276942479E-2</v>
      </c>
      <c r="D7305" s="23">
        <v>3.7174721189591101E-2</v>
      </c>
      <c r="E7305" s="23">
        <v>0</v>
      </c>
      <c r="F7305" s="23">
        <v>0.183150183150183</v>
      </c>
      <c r="G7305">
        <v>86</v>
      </c>
      <c r="H7305">
        <v>88</v>
      </c>
    </row>
    <row r="7306" spans="1:8" x14ac:dyDescent="0.3">
      <c r="A7306" s="22" t="s">
        <v>64</v>
      </c>
      <c r="B7306" t="s">
        <v>68</v>
      </c>
      <c r="C7306" s="23">
        <v>1.9081795397584849E-2</v>
      </c>
      <c r="D7306" s="23">
        <v>1.43540669856459E-2</v>
      </c>
      <c r="E7306" s="23">
        <v>1.43540669856459E-2</v>
      </c>
      <c r="F7306" s="23">
        <v>2.3809523809523801E-2</v>
      </c>
      <c r="G7306">
        <v>2</v>
      </c>
      <c r="H7306">
        <v>88</v>
      </c>
    </row>
    <row r="7307" spans="1:8" x14ac:dyDescent="0.3">
      <c r="C7307" s="23"/>
      <c r="D7307" s="23"/>
      <c r="E7307" s="23"/>
      <c r="F7307" s="23"/>
    </row>
    <row r="7308" spans="1:8" x14ac:dyDescent="0.3">
      <c r="A7308"/>
      <c r="C7308" s="23"/>
      <c r="D7308" s="23"/>
      <c r="E7308" s="23"/>
      <c r="F7308" s="23"/>
    </row>
    <row r="7309" spans="1:8" x14ac:dyDescent="0.3">
      <c r="A7309"/>
      <c r="C7309" s="23"/>
      <c r="D7309" s="23"/>
      <c r="E7309" s="23"/>
      <c r="F7309" s="23"/>
    </row>
    <row r="7310" spans="1:8" x14ac:dyDescent="0.3">
      <c r="A7310"/>
      <c r="C7310" s="23"/>
      <c r="D7310" s="23"/>
      <c r="E7310" s="23"/>
      <c r="F7310" s="23"/>
    </row>
    <row r="7311" spans="1:8" x14ac:dyDescent="0.3">
      <c r="C7311" s="23"/>
      <c r="D7311" s="23"/>
      <c r="E7311" s="23"/>
      <c r="F7311" s="23"/>
    </row>
    <row r="7312" spans="1:8" ht="72" x14ac:dyDescent="0.3">
      <c r="A7312" s="22" t="s">
        <v>1606</v>
      </c>
      <c r="C7312" s="23"/>
      <c r="D7312" s="23"/>
      <c r="E7312" s="23"/>
      <c r="F7312" s="23"/>
    </row>
    <row r="7313" spans="1:8" x14ac:dyDescent="0.3">
      <c r="A7313" s="22" t="s">
        <v>57</v>
      </c>
      <c r="B7313" t="s">
        <v>66</v>
      </c>
      <c r="C7313" s="23" t="s">
        <v>58</v>
      </c>
      <c r="D7313" s="23" t="s">
        <v>59</v>
      </c>
      <c r="E7313" s="23" t="s">
        <v>60</v>
      </c>
      <c r="F7313" s="23" t="s">
        <v>61</v>
      </c>
      <c r="G7313" t="s">
        <v>62</v>
      </c>
      <c r="H7313" t="s">
        <v>63</v>
      </c>
    </row>
    <row r="7314" spans="1:8" x14ac:dyDescent="0.3">
      <c r="A7314" s="22" t="s">
        <v>64</v>
      </c>
      <c r="B7314" t="s">
        <v>67</v>
      </c>
      <c r="C7314" s="23">
        <v>4.8248045137935243E-2</v>
      </c>
      <c r="D7314" s="23">
        <v>3.7174721189591101E-2</v>
      </c>
      <c r="E7314" s="23">
        <v>0</v>
      </c>
      <c r="F7314" s="23">
        <v>0.183150183150183</v>
      </c>
      <c r="G7314">
        <v>86</v>
      </c>
      <c r="H7314">
        <v>88</v>
      </c>
    </row>
    <row r="7315" spans="1:8" x14ac:dyDescent="0.3">
      <c r="A7315" s="22" t="s">
        <v>64</v>
      </c>
      <c r="B7315" t="s">
        <v>68</v>
      </c>
      <c r="C7315" s="23">
        <v>2.0497275374896751E-2</v>
      </c>
      <c r="D7315" s="23">
        <v>1.8796992481203E-2</v>
      </c>
      <c r="E7315" s="23">
        <v>1.8796992481203E-2</v>
      </c>
      <c r="F7315" s="23">
        <v>2.21975582685905E-2</v>
      </c>
      <c r="G7315">
        <v>2</v>
      </c>
      <c r="H7315">
        <v>88</v>
      </c>
    </row>
    <row r="7316" spans="1:8" x14ac:dyDescent="0.3">
      <c r="C7316" s="23"/>
      <c r="D7316" s="23"/>
      <c r="E7316" s="23"/>
      <c r="F7316" s="23"/>
    </row>
    <row r="7317" spans="1:8" ht="72" x14ac:dyDescent="0.3">
      <c r="A7317" s="22" t="s">
        <v>1607</v>
      </c>
      <c r="C7317" s="23"/>
      <c r="D7317" s="23"/>
      <c r="E7317" s="23"/>
      <c r="F7317" s="23"/>
    </row>
    <row r="7318" spans="1:8" x14ac:dyDescent="0.3">
      <c r="A7318" s="22" t="s">
        <v>57</v>
      </c>
      <c r="B7318" t="s">
        <v>66</v>
      </c>
      <c r="C7318" s="23" t="s">
        <v>58</v>
      </c>
      <c r="D7318" s="23" t="s">
        <v>59</v>
      </c>
      <c r="E7318" s="23" t="s">
        <v>60</v>
      </c>
      <c r="F7318" s="23" t="s">
        <v>61</v>
      </c>
      <c r="G7318" t="s">
        <v>62</v>
      </c>
      <c r="H7318" t="s">
        <v>63</v>
      </c>
    </row>
    <row r="7319" spans="1:8" x14ac:dyDescent="0.3">
      <c r="A7319" s="22" t="s">
        <v>64</v>
      </c>
      <c r="B7319" t="s">
        <v>67</v>
      </c>
      <c r="C7319" s="23">
        <v>4.7617345825138893E-2</v>
      </c>
      <c r="D7319" s="23">
        <v>3.6982248520710102E-2</v>
      </c>
      <c r="E7319" s="23">
        <v>0</v>
      </c>
      <c r="F7319" s="23">
        <v>0.183150183150183</v>
      </c>
      <c r="G7319">
        <v>88</v>
      </c>
      <c r="H7319">
        <v>88</v>
      </c>
    </row>
    <row r="7320" spans="1:8" x14ac:dyDescent="0.3">
      <c r="C7320" s="23"/>
      <c r="D7320" s="23"/>
      <c r="E7320" s="23"/>
      <c r="F7320" s="23"/>
    </row>
    <row r="7321" spans="1:8" ht="72" x14ac:dyDescent="0.3">
      <c r="A7321" s="22" t="s">
        <v>1608</v>
      </c>
      <c r="C7321" s="23"/>
      <c r="D7321" s="23"/>
      <c r="E7321" s="23"/>
      <c r="F7321" s="23"/>
    </row>
    <row r="7322" spans="1:8" x14ac:dyDescent="0.3">
      <c r="A7322" s="22" t="s">
        <v>57</v>
      </c>
      <c r="B7322" t="s">
        <v>66</v>
      </c>
      <c r="C7322" s="23" t="s">
        <v>58</v>
      </c>
      <c r="D7322" s="23" t="s">
        <v>59</v>
      </c>
      <c r="E7322" s="23" t="s">
        <v>60</v>
      </c>
      <c r="F7322" s="23" t="s">
        <v>61</v>
      </c>
      <c r="G7322" t="s">
        <v>62</v>
      </c>
      <c r="H7322" t="s">
        <v>63</v>
      </c>
    </row>
    <row r="7323" spans="1:8" x14ac:dyDescent="0.3">
      <c r="A7323" s="22" t="s">
        <v>64</v>
      </c>
      <c r="B7323" t="s">
        <v>67</v>
      </c>
      <c r="C7323" s="23">
        <v>4.7299785405478391E-2</v>
      </c>
      <c r="D7323" s="23">
        <v>3.7174721189591101E-2</v>
      </c>
      <c r="E7323" s="23">
        <v>0</v>
      </c>
      <c r="F7323" s="23">
        <v>0.183150183150183</v>
      </c>
      <c r="G7323">
        <v>85</v>
      </c>
      <c r="H7323">
        <v>88</v>
      </c>
    </row>
    <row r="7324" spans="1:8" x14ac:dyDescent="0.3">
      <c r="A7324" s="22" t="s">
        <v>64</v>
      </c>
      <c r="B7324" t="s">
        <v>68</v>
      </c>
      <c r="C7324" s="23">
        <v>5.661489104885329E-2</v>
      </c>
      <c r="D7324" s="23">
        <v>9.4339622641509399E-2</v>
      </c>
      <c r="E7324" s="23">
        <v>2.5000000000000001E-2</v>
      </c>
      <c r="F7324" s="23">
        <v>9.4339622641509399E-2</v>
      </c>
      <c r="G7324">
        <v>3</v>
      </c>
      <c r="H7324">
        <v>88</v>
      </c>
    </row>
    <row r="7325" spans="1:8" x14ac:dyDescent="0.3">
      <c r="C7325" s="23"/>
      <c r="D7325" s="23"/>
      <c r="E7325" s="23"/>
      <c r="F7325" s="23"/>
    </row>
    <row r="7326" spans="1:8" ht="72" x14ac:dyDescent="0.3">
      <c r="A7326" s="22" t="s">
        <v>1609</v>
      </c>
      <c r="C7326" s="23"/>
      <c r="D7326" s="23"/>
      <c r="E7326" s="23"/>
      <c r="F7326" s="23"/>
    </row>
    <row r="7327" spans="1:8" x14ac:dyDescent="0.3">
      <c r="A7327" s="22" t="s">
        <v>57</v>
      </c>
      <c r="B7327" t="s">
        <v>66</v>
      </c>
      <c r="C7327" s="23" t="s">
        <v>58</v>
      </c>
      <c r="D7327" s="23" t="s">
        <v>59</v>
      </c>
      <c r="E7327" s="23" t="s">
        <v>60</v>
      </c>
      <c r="F7327" s="23" t="s">
        <v>61</v>
      </c>
      <c r="G7327" t="s">
        <v>62</v>
      </c>
      <c r="H7327" t="s">
        <v>63</v>
      </c>
    </row>
    <row r="7328" spans="1:8" x14ac:dyDescent="0.3">
      <c r="A7328" s="22" t="s">
        <v>64</v>
      </c>
      <c r="B7328" t="s">
        <v>67</v>
      </c>
      <c r="C7328" s="23">
        <v>0.12</v>
      </c>
      <c r="D7328" s="23">
        <v>0.12</v>
      </c>
      <c r="E7328" s="23">
        <v>0.12</v>
      </c>
      <c r="F7328" s="23">
        <v>0.12</v>
      </c>
      <c r="G7328">
        <v>1</v>
      </c>
      <c r="H7328">
        <v>88</v>
      </c>
    </row>
    <row r="7329" spans="1:8" x14ac:dyDescent="0.3">
      <c r="A7329" s="22" t="s">
        <v>64</v>
      </c>
      <c r="B7329" t="s">
        <v>68</v>
      </c>
      <c r="C7329" s="23">
        <v>4.6785361294393368E-2</v>
      </c>
      <c r="D7329" s="23">
        <v>3.7174721189591101E-2</v>
      </c>
      <c r="E7329" s="23">
        <v>0</v>
      </c>
      <c r="F7329" s="23">
        <v>0.183150183150183</v>
      </c>
      <c r="G7329">
        <v>87</v>
      </c>
      <c r="H7329">
        <v>88</v>
      </c>
    </row>
    <row r="7330" spans="1:8" x14ac:dyDescent="0.3">
      <c r="C7330" s="23"/>
      <c r="D7330" s="23"/>
      <c r="E7330" s="23"/>
      <c r="F7330" s="23"/>
    </row>
    <row r="7331" spans="1:8" ht="72" x14ac:dyDescent="0.3">
      <c r="A7331" s="22" t="s">
        <v>1610</v>
      </c>
      <c r="C7331" s="23"/>
      <c r="D7331" s="23"/>
      <c r="E7331" s="23"/>
      <c r="F7331" s="23"/>
    </row>
    <row r="7332" spans="1:8" x14ac:dyDescent="0.3">
      <c r="A7332" s="22" t="s">
        <v>57</v>
      </c>
      <c r="B7332" t="s">
        <v>66</v>
      </c>
      <c r="C7332" s="23" t="s">
        <v>58</v>
      </c>
      <c r="D7332" s="23" t="s">
        <v>59</v>
      </c>
      <c r="E7332" s="23" t="s">
        <v>60</v>
      </c>
      <c r="F7332" s="23" t="s">
        <v>61</v>
      </c>
      <c r="G7332" t="s">
        <v>62</v>
      </c>
      <c r="H7332" t="s">
        <v>63</v>
      </c>
    </row>
    <row r="7333" spans="1:8" x14ac:dyDescent="0.3">
      <c r="A7333" s="22" t="s">
        <v>64</v>
      </c>
      <c r="B7333" t="s">
        <v>67</v>
      </c>
      <c r="C7333" s="23">
        <v>4.6076350851177901E-2</v>
      </c>
      <c r="D7333" s="23">
        <v>3.3140016570008299E-2</v>
      </c>
      <c r="E7333" s="23">
        <v>2.2489598560665701E-3</v>
      </c>
      <c r="F7333" s="23">
        <v>0.183150183150183</v>
      </c>
      <c r="G7333">
        <v>68</v>
      </c>
      <c r="H7333">
        <v>88</v>
      </c>
    </row>
    <row r="7334" spans="1:8" x14ac:dyDescent="0.3">
      <c r="A7334" s="22" t="s">
        <v>64</v>
      </c>
      <c r="B7334" t="s">
        <v>68</v>
      </c>
      <c r="C7334" s="23">
        <v>5.2856728736606268E-2</v>
      </c>
      <c r="D7334" s="23">
        <v>3.8759689922480599E-2</v>
      </c>
      <c r="E7334" s="23">
        <v>0</v>
      </c>
      <c r="F7334" s="23">
        <v>0.160642570281124</v>
      </c>
      <c r="G7334">
        <v>20</v>
      </c>
      <c r="H7334">
        <v>88</v>
      </c>
    </row>
    <row r="7335" spans="1:8" x14ac:dyDescent="0.3">
      <c r="C7335" s="23"/>
      <c r="D7335" s="23"/>
      <c r="E7335" s="23"/>
      <c r="F7335" s="23"/>
    </row>
    <row r="7336" spans="1:8" ht="72" x14ac:dyDescent="0.3">
      <c r="A7336" s="22" t="s">
        <v>1611</v>
      </c>
      <c r="C7336" s="23"/>
      <c r="D7336" s="23"/>
      <c r="E7336" s="23"/>
      <c r="F7336" s="23"/>
    </row>
    <row r="7337" spans="1:8" x14ac:dyDescent="0.3">
      <c r="A7337" s="22" t="s">
        <v>57</v>
      </c>
      <c r="B7337" t="s">
        <v>66</v>
      </c>
      <c r="C7337" s="23" t="s">
        <v>58</v>
      </c>
      <c r="D7337" s="23" t="s">
        <v>59</v>
      </c>
      <c r="E7337" s="23" t="s">
        <v>60</v>
      </c>
      <c r="F7337" s="23" t="s">
        <v>61</v>
      </c>
      <c r="G7337" t="s">
        <v>62</v>
      </c>
      <c r="H7337" t="s">
        <v>63</v>
      </c>
    </row>
    <row r="7338" spans="1:8" x14ac:dyDescent="0.3">
      <c r="A7338" s="22" t="s">
        <v>64</v>
      </c>
      <c r="B7338" t="s">
        <v>67</v>
      </c>
      <c r="C7338" s="23">
        <v>4.4766762603655523E-2</v>
      </c>
      <c r="D7338" s="23">
        <v>3.7174721189591101E-2</v>
      </c>
      <c r="E7338" s="23">
        <v>0</v>
      </c>
      <c r="F7338" s="23">
        <v>0.183150183150183</v>
      </c>
      <c r="G7338">
        <v>65</v>
      </c>
      <c r="H7338">
        <v>88</v>
      </c>
    </row>
    <row r="7339" spans="1:8" x14ac:dyDescent="0.3">
      <c r="A7339" s="22" t="s">
        <v>64</v>
      </c>
      <c r="B7339" t="s">
        <v>68</v>
      </c>
      <c r="C7339" s="23">
        <v>5.5673341885852802E-2</v>
      </c>
      <c r="D7339" s="23">
        <v>4.3478260869565202E-2</v>
      </c>
      <c r="E7339" s="23">
        <v>9.3023255813953504E-3</v>
      </c>
      <c r="F7339" s="23">
        <v>0.160642570281124</v>
      </c>
      <c r="G7339">
        <v>23</v>
      </c>
      <c r="H7339">
        <v>88</v>
      </c>
    </row>
    <row r="7340" spans="1:8" x14ac:dyDescent="0.3">
      <c r="C7340" s="23"/>
      <c r="D7340" s="23"/>
      <c r="E7340" s="23"/>
      <c r="F7340" s="23"/>
    </row>
    <row r="7341" spans="1:8" ht="72" x14ac:dyDescent="0.3">
      <c r="A7341" s="22" t="s">
        <v>1612</v>
      </c>
      <c r="C7341" s="23"/>
      <c r="D7341" s="23"/>
      <c r="E7341" s="23"/>
      <c r="F7341" s="23"/>
    </row>
    <row r="7342" spans="1:8" x14ac:dyDescent="0.3">
      <c r="A7342" s="22" t="s">
        <v>57</v>
      </c>
      <c r="B7342" t="s">
        <v>66</v>
      </c>
      <c r="C7342" s="23" t="s">
        <v>58</v>
      </c>
      <c r="D7342" s="23" t="s">
        <v>59</v>
      </c>
      <c r="E7342" s="23" t="s">
        <v>60</v>
      </c>
      <c r="F7342" s="23" t="s">
        <v>61</v>
      </c>
      <c r="G7342" t="s">
        <v>62</v>
      </c>
      <c r="H7342" t="s">
        <v>63</v>
      </c>
    </row>
    <row r="7343" spans="1:8" x14ac:dyDescent="0.3">
      <c r="A7343" s="22" t="s">
        <v>64</v>
      </c>
      <c r="B7343" t="s">
        <v>67</v>
      </c>
      <c r="C7343" s="23">
        <v>4.8119615290532727E-2</v>
      </c>
      <c r="D7343" s="23">
        <v>3.7174721189591101E-2</v>
      </c>
      <c r="E7343" s="23">
        <v>0</v>
      </c>
      <c r="F7343" s="23">
        <v>0.183150183150183</v>
      </c>
      <c r="G7343">
        <v>66</v>
      </c>
      <c r="H7343">
        <v>88</v>
      </c>
    </row>
    <row r="7344" spans="1:8" x14ac:dyDescent="0.3">
      <c r="A7344" s="22" t="s">
        <v>64</v>
      </c>
      <c r="B7344" t="s">
        <v>68</v>
      </c>
      <c r="C7344" s="23">
        <v>4.611053742895737E-2</v>
      </c>
      <c r="D7344" s="23">
        <v>2.7586206896551699E-2</v>
      </c>
      <c r="E7344" s="23">
        <v>2.2489598560665701E-3</v>
      </c>
      <c r="F7344" s="23">
        <v>0.15625</v>
      </c>
      <c r="G7344">
        <v>22</v>
      </c>
      <c r="H7344">
        <v>88</v>
      </c>
    </row>
    <row r="7345" spans="1:8" x14ac:dyDescent="0.3">
      <c r="C7345" s="23"/>
      <c r="D7345" s="23"/>
      <c r="E7345" s="23"/>
      <c r="F7345" s="23"/>
    </row>
    <row r="7346" spans="1:8" ht="86.4" x14ac:dyDescent="0.3">
      <c r="A7346" s="22" t="s">
        <v>1613</v>
      </c>
      <c r="C7346" s="23"/>
      <c r="D7346" s="23"/>
      <c r="E7346" s="23"/>
      <c r="F7346" s="23"/>
    </row>
    <row r="7347" spans="1:8" x14ac:dyDescent="0.3">
      <c r="A7347" s="22" t="s">
        <v>57</v>
      </c>
      <c r="B7347" t="s">
        <v>66</v>
      </c>
      <c r="C7347" s="23" t="s">
        <v>58</v>
      </c>
      <c r="D7347" s="23" t="s">
        <v>59</v>
      </c>
      <c r="E7347" s="23" t="s">
        <v>60</v>
      </c>
      <c r="F7347" s="23" t="s">
        <v>61</v>
      </c>
      <c r="G7347" t="s">
        <v>62</v>
      </c>
      <c r="H7347" t="s">
        <v>63</v>
      </c>
    </row>
    <row r="7348" spans="1:8" x14ac:dyDescent="0.3">
      <c r="A7348" s="22" t="s">
        <v>64</v>
      </c>
      <c r="B7348" t="s">
        <v>67</v>
      </c>
      <c r="C7348" s="23">
        <v>4.7694532902900183E-2</v>
      </c>
      <c r="D7348" s="23">
        <v>3.3140016570008299E-2</v>
      </c>
      <c r="E7348" s="23">
        <v>0</v>
      </c>
      <c r="F7348" s="23">
        <v>0.183150183150183</v>
      </c>
      <c r="G7348">
        <v>82</v>
      </c>
      <c r="H7348">
        <v>88</v>
      </c>
    </row>
    <row r="7349" spans="1:8" x14ac:dyDescent="0.3">
      <c r="A7349" s="22" t="s">
        <v>64</v>
      </c>
      <c r="B7349" t="s">
        <v>68</v>
      </c>
      <c r="C7349" s="23">
        <v>4.6562455762401263E-2</v>
      </c>
      <c r="D7349" s="23">
        <v>4.8309178743961401E-2</v>
      </c>
      <c r="E7349" s="23">
        <v>1.9047619047619001E-2</v>
      </c>
      <c r="F7349" s="23">
        <v>8.2644628099173598E-2</v>
      </c>
      <c r="G7349">
        <v>6</v>
      </c>
      <c r="H7349">
        <v>88</v>
      </c>
    </row>
    <row r="7350" spans="1:8" x14ac:dyDescent="0.3">
      <c r="C7350" s="23"/>
      <c r="D7350" s="23"/>
      <c r="E7350" s="23"/>
      <c r="F7350" s="23"/>
    </row>
    <row r="7351" spans="1:8" ht="86.4" x14ac:dyDescent="0.3">
      <c r="A7351" s="22" t="s">
        <v>1614</v>
      </c>
      <c r="C7351" s="23"/>
      <c r="D7351" s="23"/>
      <c r="E7351" s="23"/>
      <c r="F7351" s="23"/>
    </row>
    <row r="7352" spans="1:8" x14ac:dyDescent="0.3">
      <c r="A7352" s="22" t="s">
        <v>57</v>
      </c>
      <c r="B7352" t="s">
        <v>66</v>
      </c>
      <c r="C7352" s="23" t="s">
        <v>58</v>
      </c>
      <c r="D7352" s="23" t="s">
        <v>59</v>
      </c>
      <c r="E7352" s="23" t="s">
        <v>60</v>
      </c>
      <c r="F7352" s="23" t="s">
        <v>61</v>
      </c>
      <c r="G7352" t="s">
        <v>62</v>
      </c>
      <c r="H7352" t="s">
        <v>63</v>
      </c>
    </row>
    <row r="7353" spans="1:8" x14ac:dyDescent="0.3">
      <c r="A7353" s="22" t="s">
        <v>64</v>
      </c>
      <c r="B7353" t="s">
        <v>67</v>
      </c>
      <c r="C7353" s="23">
        <v>4.7617345825138893E-2</v>
      </c>
      <c r="D7353" s="23">
        <v>3.6982248520710102E-2</v>
      </c>
      <c r="E7353" s="23">
        <v>0</v>
      </c>
      <c r="F7353" s="23">
        <v>0.183150183150183</v>
      </c>
      <c r="G7353">
        <v>88</v>
      </c>
      <c r="H7353">
        <v>88</v>
      </c>
    </row>
    <row r="7354" spans="1:8" x14ac:dyDescent="0.3">
      <c r="C7354" s="23"/>
      <c r="D7354" s="23"/>
      <c r="E7354" s="23"/>
      <c r="F7354" s="23"/>
    </row>
    <row r="7355" spans="1:8" ht="72" x14ac:dyDescent="0.3">
      <c r="A7355" s="22" t="s">
        <v>1615</v>
      </c>
      <c r="C7355" s="23"/>
      <c r="D7355" s="23"/>
      <c r="E7355" s="23"/>
      <c r="F7355" s="23"/>
    </row>
    <row r="7356" spans="1:8" x14ac:dyDescent="0.3">
      <c r="A7356" s="22" t="s">
        <v>57</v>
      </c>
      <c r="B7356" t="s">
        <v>66</v>
      </c>
      <c r="C7356" s="23" t="s">
        <v>58</v>
      </c>
      <c r="D7356" s="23" t="s">
        <v>59</v>
      </c>
      <c r="E7356" s="23" t="s">
        <v>60</v>
      </c>
      <c r="F7356" s="23" t="s">
        <v>61</v>
      </c>
      <c r="G7356" t="s">
        <v>62</v>
      </c>
      <c r="H7356" t="s">
        <v>63</v>
      </c>
    </row>
    <row r="7357" spans="1:8" x14ac:dyDescent="0.3">
      <c r="A7357" s="22" t="s">
        <v>64</v>
      </c>
      <c r="B7357" t="s">
        <v>67</v>
      </c>
      <c r="C7357" s="23">
        <v>4.7248146831370519E-2</v>
      </c>
      <c r="D7357" s="23">
        <v>3.7499999999999999E-2</v>
      </c>
      <c r="E7357" s="23">
        <v>2.2489598560665701E-3</v>
      </c>
      <c r="F7357" s="23">
        <v>0.183150183150183</v>
      </c>
      <c r="G7357">
        <v>57</v>
      </c>
      <c r="H7357">
        <v>88</v>
      </c>
    </row>
    <row r="7358" spans="1:8" x14ac:dyDescent="0.3">
      <c r="A7358" s="22" t="s">
        <v>64</v>
      </c>
      <c r="B7358" t="s">
        <v>68</v>
      </c>
      <c r="C7358" s="23">
        <v>4.8296195587874298E-2</v>
      </c>
      <c r="D7358" s="23">
        <v>3.8759689922480599E-2</v>
      </c>
      <c r="E7358" s="23">
        <v>0</v>
      </c>
      <c r="F7358" s="23">
        <v>0.160642570281124</v>
      </c>
      <c r="G7358">
        <v>31</v>
      </c>
      <c r="H7358">
        <v>88</v>
      </c>
    </row>
    <row r="7359" spans="1:8" x14ac:dyDescent="0.3">
      <c r="C7359" s="23"/>
      <c r="D7359" s="23"/>
      <c r="E7359" s="23"/>
      <c r="F7359" s="23"/>
    </row>
    <row r="7360" spans="1:8" ht="86.4" x14ac:dyDescent="0.3">
      <c r="A7360" s="22" t="s">
        <v>1616</v>
      </c>
      <c r="C7360" s="23"/>
      <c r="D7360" s="23"/>
      <c r="E7360" s="23"/>
      <c r="F7360" s="23"/>
    </row>
    <row r="7361" spans="1:8" x14ac:dyDescent="0.3">
      <c r="A7361" s="22" t="s">
        <v>57</v>
      </c>
      <c r="B7361" t="s">
        <v>66</v>
      </c>
      <c r="C7361" s="23" t="s">
        <v>58</v>
      </c>
      <c r="D7361" s="23" t="s">
        <v>59</v>
      </c>
      <c r="E7361" s="23" t="s">
        <v>60</v>
      </c>
      <c r="F7361" s="23" t="s">
        <v>61</v>
      </c>
      <c r="G7361" t="s">
        <v>62</v>
      </c>
      <c r="H7361" t="s">
        <v>63</v>
      </c>
    </row>
    <row r="7362" spans="1:8" x14ac:dyDescent="0.3">
      <c r="A7362" s="22" t="s">
        <v>64</v>
      </c>
      <c r="B7362" t="s">
        <v>67</v>
      </c>
      <c r="C7362" s="23">
        <v>4.793234794734242E-2</v>
      </c>
      <c r="D7362" s="23">
        <v>3.3140016570008299E-2</v>
      </c>
      <c r="E7362" s="23">
        <v>0</v>
      </c>
      <c r="F7362" s="23">
        <v>0.183150183150183</v>
      </c>
      <c r="G7362">
        <v>76</v>
      </c>
      <c r="H7362">
        <v>88</v>
      </c>
    </row>
    <row r="7363" spans="1:8" x14ac:dyDescent="0.3">
      <c r="A7363" s="22" t="s">
        <v>64</v>
      </c>
      <c r="B7363" t="s">
        <v>68</v>
      </c>
      <c r="C7363" s="23">
        <v>4.5622332384516517E-2</v>
      </c>
      <c r="D7363" s="23">
        <v>3.6982248520710102E-2</v>
      </c>
      <c r="E7363" s="23">
        <v>2.2489598560665701E-3</v>
      </c>
      <c r="F7363" s="23">
        <v>0.1</v>
      </c>
      <c r="G7363">
        <v>12</v>
      </c>
      <c r="H7363">
        <v>88</v>
      </c>
    </row>
    <row r="7364" spans="1:8" x14ac:dyDescent="0.3">
      <c r="C7364" s="23"/>
      <c r="D7364" s="23"/>
      <c r="E7364" s="23"/>
      <c r="F7364" s="23"/>
    </row>
    <row r="7365" spans="1:8" ht="72" x14ac:dyDescent="0.3">
      <c r="A7365" s="22" t="s">
        <v>1617</v>
      </c>
      <c r="C7365" s="23"/>
      <c r="D7365" s="23"/>
      <c r="E7365" s="23"/>
      <c r="F7365" s="23"/>
    </row>
    <row r="7366" spans="1:8" x14ac:dyDescent="0.3">
      <c r="A7366" s="22" t="s">
        <v>57</v>
      </c>
      <c r="B7366" t="s">
        <v>66</v>
      </c>
      <c r="C7366" s="23" t="s">
        <v>58</v>
      </c>
      <c r="D7366" s="23" t="s">
        <v>59</v>
      </c>
      <c r="E7366" s="23" t="s">
        <v>60</v>
      </c>
      <c r="F7366" s="23" t="s">
        <v>61</v>
      </c>
      <c r="G7366" t="s">
        <v>62</v>
      </c>
      <c r="H7366" t="s">
        <v>63</v>
      </c>
    </row>
    <row r="7367" spans="1:8" x14ac:dyDescent="0.3">
      <c r="A7367" s="22" t="s">
        <v>64</v>
      </c>
      <c r="B7367" t="s">
        <v>81</v>
      </c>
      <c r="C7367" s="23">
        <v>5.4006796438370822E-2</v>
      </c>
      <c r="D7367" s="23">
        <v>3.3140016570008299E-2</v>
      </c>
      <c r="E7367" s="23">
        <v>1.00603621730382E-2</v>
      </c>
      <c r="F7367" s="23">
        <v>0.183150183150183</v>
      </c>
      <c r="G7367">
        <v>28</v>
      </c>
      <c r="H7367">
        <v>88</v>
      </c>
    </row>
    <row r="7368" spans="1:8" x14ac:dyDescent="0.3">
      <c r="A7368" s="22" t="s">
        <v>64</v>
      </c>
      <c r="B7368" t="s">
        <v>82</v>
      </c>
      <c r="C7368" s="23">
        <v>3.3294467987047903E-2</v>
      </c>
      <c r="D7368" s="23">
        <v>2.8806584362139901E-2</v>
      </c>
      <c r="E7368" s="23">
        <v>2.2489598560665701E-3</v>
      </c>
      <c r="F7368" s="23">
        <v>7.5046904315197005E-2</v>
      </c>
      <c r="G7368">
        <v>22</v>
      </c>
      <c r="H7368">
        <v>88</v>
      </c>
    </row>
    <row r="7369" spans="1:8" x14ac:dyDescent="0.3">
      <c r="A7369" s="22" t="s">
        <v>64</v>
      </c>
      <c r="B7369" t="s">
        <v>83</v>
      </c>
      <c r="C7369" s="23">
        <v>5.0817909415153843E-2</v>
      </c>
      <c r="D7369" s="23">
        <v>4.2553191489361701E-2</v>
      </c>
      <c r="E7369" s="23">
        <v>0</v>
      </c>
      <c r="F7369" s="23">
        <v>0.15625</v>
      </c>
      <c r="G7369">
        <v>19</v>
      </c>
      <c r="H7369">
        <v>88</v>
      </c>
    </row>
    <row r="7370" spans="1:8" x14ac:dyDescent="0.3">
      <c r="A7370" s="22" t="s">
        <v>64</v>
      </c>
      <c r="B7370" t="s">
        <v>84</v>
      </c>
      <c r="C7370" s="23">
        <v>5.1585134617624352E-2</v>
      </c>
      <c r="D7370" s="23">
        <v>4.71698113207547E-2</v>
      </c>
      <c r="E7370" s="23">
        <v>2.1613832853025899E-2</v>
      </c>
      <c r="F7370" s="23">
        <v>0.105263157894737</v>
      </c>
      <c r="G7370">
        <v>19</v>
      </c>
      <c r="H7370">
        <v>88</v>
      </c>
    </row>
    <row r="7371" spans="1:8" x14ac:dyDescent="0.3">
      <c r="C7371" s="23"/>
      <c r="D7371" s="23"/>
      <c r="E7371" s="23"/>
      <c r="F7371" s="23"/>
    </row>
    <row r="7372" spans="1:8" ht="57.6" x14ac:dyDescent="0.3">
      <c r="A7372" s="22" t="s">
        <v>1618</v>
      </c>
    </row>
    <row r="7373" spans="1:8" x14ac:dyDescent="0.3">
      <c r="A7373" s="22" t="s">
        <v>57</v>
      </c>
      <c r="B7373" t="s">
        <v>58</v>
      </c>
      <c r="C7373" t="s">
        <v>59</v>
      </c>
      <c r="D7373" t="s">
        <v>60</v>
      </c>
      <c r="E7373" t="s">
        <v>61</v>
      </c>
      <c r="F7373" t="s">
        <v>62</v>
      </c>
      <c r="G7373" t="s">
        <v>63</v>
      </c>
    </row>
    <row r="7374" spans="1:8" x14ac:dyDescent="0.3">
      <c r="A7374" s="22" t="s">
        <v>64</v>
      </c>
      <c r="B7374" s="23">
        <v>7.87046853163023E-2</v>
      </c>
      <c r="C7374" s="23">
        <v>6.8027210884353706E-2</v>
      </c>
      <c r="D7374" s="23">
        <v>0</v>
      </c>
      <c r="E7374" s="23">
        <v>0.19867549668874199</v>
      </c>
      <c r="F7374">
        <v>23</v>
      </c>
      <c r="G7374">
        <v>23</v>
      </c>
    </row>
    <row r="7375" spans="1:8" x14ac:dyDescent="0.3">
      <c r="B7375" s="23"/>
      <c r="C7375" s="23"/>
      <c r="D7375" s="23"/>
      <c r="E7375" s="23"/>
    </row>
    <row r="7376" spans="1:8" ht="72" x14ac:dyDescent="0.3">
      <c r="A7376" s="22" t="s">
        <v>1619</v>
      </c>
      <c r="C7376" s="23"/>
      <c r="D7376" s="23"/>
      <c r="E7376" s="23"/>
      <c r="F7376" s="23"/>
    </row>
    <row r="7377" spans="1:8" x14ac:dyDescent="0.3">
      <c r="A7377" s="22" t="s">
        <v>57</v>
      </c>
      <c r="B7377" t="s">
        <v>66</v>
      </c>
      <c r="C7377" s="23" t="s">
        <v>58</v>
      </c>
      <c r="D7377" s="23" t="s">
        <v>59</v>
      </c>
      <c r="E7377" s="23" t="s">
        <v>60</v>
      </c>
      <c r="F7377" s="23" t="s">
        <v>61</v>
      </c>
      <c r="G7377" t="s">
        <v>62</v>
      </c>
      <c r="H7377" t="s">
        <v>63</v>
      </c>
    </row>
    <row r="7378" spans="1:8" x14ac:dyDescent="0.3">
      <c r="A7378" s="22" t="s">
        <v>64</v>
      </c>
      <c r="B7378" t="s">
        <v>67</v>
      </c>
      <c r="C7378" s="23">
        <v>7.7932453744120306E-2</v>
      </c>
      <c r="D7378" s="23">
        <v>5.97609561752988E-2</v>
      </c>
      <c r="E7378" s="23">
        <v>0</v>
      </c>
      <c r="F7378" s="23">
        <v>0.19867549668874199</v>
      </c>
      <c r="G7378">
        <v>22</v>
      </c>
      <c r="H7378">
        <v>23</v>
      </c>
    </row>
    <row r="7379" spans="1:8" x14ac:dyDescent="0.3">
      <c r="A7379" s="22" t="s">
        <v>64</v>
      </c>
      <c r="B7379" t="s">
        <v>68</v>
      </c>
      <c r="C7379" s="23">
        <v>9.5693779904306206E-2</v>
      </c>
      <c r="D7379" s="23">
        <v>9.5693779904306206E-2</v>
      </c>
      <c r="E7379" s="23">
        <v>9.5693779904306206E-2</v>
      </c>
      <c r="F7379" s="23">
        <v>9.5693779904306206E-2</v>
      </c>
      <c r="G7379">
        <v>1</v>
      </c>
      <c r="H7379">
        <v>23</v>
      </c>
    </row>
    <row r="7380" spans="1:8" x14ac:dyDescent="0.3">
      <c r="C7380" s="23"/>
      <c r="D7380" s="23"/>
      <c r="E7380" s="23"/>
      <c r="F7380" s="23"/>
    </row>
    <row r="7381" spans="1:8" x14ac:dyDescent="0.3">
      <c r="A7381"/>
      <c r="C7381" s="23"/>
      <c r="D7381" s="23"/>
      <c r="E7381" s="23"/>
      <c r="F7381" s="23"/>
    </row>
    <row r="7382" spans="1:8" x14ac:dyDescent="0.3">
      <c r="A7382"/>
      <c r="C7382" s="23"/>
      <c r="D7382" s="23"/>
      <c r="E7382" s="23"/>
      <c r="F7382" s="23"/>
    </row>
    <row r="7383" spans="1:8" x14ac:dyDescent="0.3">
      <c r="A7383"/>
      <c r="C7383" s="23"/>
      <c r="D7383" s="23"/>
      <c r="E7383" s="23"/>
      <c r="F7383" s="23"/>
    </row>
    <row r="7384" spans="1:8" x14ac:dyDescent="0.3">
      <c r="A7384"/>
      <c r="C7384" s="23"/>
      <c r="D7384" s="23"/>
      <c r="E7384" s="23"/>
      <c r="F7384" s="23"/>
    </row>
    <row r="7385" spans="1:8" ht="72" x14ac:dyDescent="0.3">
      <c r="A7385" s="22" t="s">
        <v>1620</v>
      </c>
      <c r="C7385" s="23"/>
      <c r="D7385" s="23"/>
      <c r="E7385" s="23"/>
      <c r="F7385" s="23"/>
    </row>
    <row r="7386" spans="1:8" x14ac:dyDescent="0.3">
      <c r="A7386" s="22" t="s">
        <v>57</v>
      </c>
      <c r="B7386" t="s">
        <v>66</v>
      </c>
      <c r="C7386" s="23" t="s">
        <v>58</v>
      </c>
      <c r="D7386" s="23" t="s">
        <v>59</v>
      </c>
      <c r="E7386" s="23" t="s">
        <v>60</v>
      </c>
      <c r="F7386" s="23" t="s">
        <v>61</v>
      </c>
      <c r="G7386" t="s">
        <v>62</v>
      </c>
      <c r="H7386" t="s">
        <v>63</v>
      </c>
    </row>
    <row r="7387" spans="1:8" x14ac:dyDescent="0.3">
      <c r="A7387" s="22" t="s">
        <v>64</v>
      </c>
      <c r="B7387" t="s">
        <v>67</v>
      </c>
      <c r="C7387" s="23">
        <v>7.87046853163023E-2</v>
      </c>
      <c r="D7387" s="23">
        <v>6.8027210884353706E-2</v>
      </c>
      <c r="E7387" s="23">
        <v>0</v>
      </c>
      <c r="F7387" s="23">
        <v>0.19867549668874199</v>
      </c>
      <c r="G7387">
        <v>23</v>
      </c>
      <c r="H7387">
        <v>23</v>
      </c>
    </row>
    <row r="7388" spans="1:8" x14ac:dyDescent="0.3">
      <c r="C7388" s="23"/>
      <c r="D7388" s="23"/>
      <c r="E7388" s="23"/>
      <c r="F7388" s="23"/>
    </row>
    <row r="7389" spans="1:8" ht="72" x14ac:dyDescent="0.3">
      <c r="A7389" s="22" t="s">
        <v>1621</v>
      </c>
      <c r="C7389" s="23"/>
      <c r="D7389" s="23"/>
      <c r="E7389" s="23"/>
      <c r="F7389" s="23"/>
    </row>
    <row r="7390" spans="1:8" x14ac:dyDescent="0.3">
      <c r="A7390" s="22" t="s">
        <v>57</v>
      </c>
      <c r="B7390" t="s">
        <v>66</v>
      </c>
      <c r="C7390" s="23" t="s">
        <v>58</v>
      </c>
      <c r="D7390" s="23" t="s">
        <v>59</v>
      </c>
      <c r="E7390" s="23" t="s">
        <v>60</v>
      </c>
      <c r="F7390" s="23" t="s">
        <v>61</v>
      </c>
      <c r="G7390" t="s">
        <v>62</v>
      </c>
      <c r="H7390" t="s">
        <v>63</v>
      </c>
    </row>
    <row r="7391" spans="1:8" x14ac:dyDescent="0.3">
      <c r="A7391" s="22" t="s">
        <v>64</v>
      </c>
      <c r="B7391" t="s">
        <v>67</v>
      </c>
      <c r="C7391" s="23">
        <v>7.87046853163023E-2</v>
      </c>
      <c r="D7391" s="23">
        <v>6.8027210884353706E-2</v>
      </c>
      <c r="E7391" s="23">
        <v>0</v>
      </c>
      <c r="F7391" s="23">
        <v>0.19867549668874199</v>
      </c>
      <c r="G7391">
        <v>23</v>
      </c>
      <c r="H7391">
        <v>23</v>
      </c>
    </row>
    <row r="7392" spans="1:8" x14ac:dyDescent="0.3">
      <c r="C7392" s="23"/>
      <c r="D7392" s="23"/>
      <c r="E7392" s="23"/>
      <c r="F7392" s="23"/>
    </row>
    <row r="7393" spans="1:8" ht="72" x14ac:dyDescent="0.3">
      <c r="A7393" s="22" t="s">
        <v>1622</v>
      </c>
      <c r="C7393" s="23"/>
      <c r="D7393" s="23"/>
      <c r="E7393" s="23"/>
      <c r="F7393" s="23"/>
    </row>
    <row r="7394" spans="1:8" x14ac:dyDescent="0.3">
      <c r="A7394" s="22" t="s">
        <v>57</v>
      </c>
      <c r="B7394" t="s">
        <v>66</v>
      </c>
      <c r="C7394" s="23" t="s">
        <v>58</v>
      </c>
      <c r="D7394" s="23" t="s">
        <v>59</v>
      </c>
      <c r="E7394" s="23" t="s">
        <v>60</v>
      </c>
      <c r="F7394" s="23" t="s">
        <v>61</v>
      </c>
      <c r="G7394" t="s">
        <v>62</v>
      </c>
      <c r="H7394" t="s">
        <v>63</v>
      </c>
    </row>
    <row r="7395" spans="1:8" x14ac:dyDescent="0.3">
      <c r="A7395" s="22" t="s">
        <v>64</v>
      </c>
      <c r="B7395" t="s">
        <v>67</v>
      </c>
      <c r="C7395" s="23">
        <v>7.87046853163023E-2</v>
      </c>
      <c r="D7395" s="23">
        <v>6.8027210884353706E-2</v>
      </c>
      <c r="E7395" s="23">
        <v>0</v>
      </c>
      <c r="F7395" s="23">
        <v>0.19867549668874199</v>
      </c>
      <c r="G7395">
        <v>23</v>
      </c>
      <c r="H7395">
        <v>23</v>
      </c>
    </row>
    <row r="7396" spans="1:8" x14ac:dyDescent="0.3">
      <c r="C7396" s="23"/>
      <c r="D7396" s="23"/>
      <c r="E7396" s="23"/>
      <c r="F7396" s="23"/>
    </row>
    <row r="7397" spans="1:8" ht="72" x14ac:dyDescent="0.3">
      <c r="A7397" s="22" t="s">
        <v>1623</v>
      </c>
      <c r="C7397" s="23"/>
      <c r="D7397" s="23"/>
      <c r="E7397" s="23"/>
      <c r="F7397" s="23"/>
    </row>
    <row r="7398" spans="1:8" x14ac:dyDescent="0.3">
      <c r="A7398" s="22" t="s">
        <v>57</v>
      </c>
      <c r="B7398" t="s">
        <v>66</v>
      </c>
      <c r="C7398" s="23" t="s">
        <v>58</v>
      </c>
      <c r="D7398" s="23" t="s">
        <v>59</v>
      </c>
      <c r="E7398" s="23" t="s">
        <v>60</v>
      </c>
      <c r="F7398" s="23" t="s">
        <v>61</v>
      </c>
      <c r="G7398" t="s">
        <v>62</v>
      </c>
      <c r="H7398" t="s">
        <v>63</v>
      </c>
    </row>
    <row r="7399" spans="1:8" x14ac:dyDescent="0.3">
      <c r="A7399" s="22" t="s">
        <v>64</v>
      </c>
      <c r="B7399" t="s">
        <v>68</v>
      </c>
      <c r="C7399" s="23">
        <v>7.87046853163023E-2</v>
      </c>
      <c r="D7399" s="23">
        <v>6.8027210884353706E-2</v>
      </c>
      <c r="E7399" s="23">
        <v>0</v>
      </c>
      <c r="F7399" s="23">
        <v>0.19867549668874199</v>
      </c>
      <c r="G7399">
        <v>23</v>
      </c>
      <c r="H7399">
        <v>23</v>
      </c>
    </row>
    <row r="7400" spans="1:8" x14ac:dyDescent="0.3">
      <c r="C7400" s="23"/>
      <c r="D7400" s="23"/>
      <c r="E7400" s="23"/>
      <c r="F7400" s="23"/>
    </row>
    <row r="7401" spans="1:8" ht="72" x14ac:dyDescent="0.3">
      <c r="A7401" s="22" t="s">
        <v>1624</v>
      </c>
      <c r="C7401" s="23"/>
      <c r="D7401" s="23"/>
      <c r="E7401" s="23"/>
      <c r="F7401" s="23"/>
    </row>
    <row r="7402" spans="1:8" x14ac:dyDescent="0.3">
      <c r="A7402" s="22" t="s">
        <v>57</v>
      </c>
      <c r="B7402" t="s">
        <v>66</v>
      </c>
      <c r="C7402" s="23" t="s">
        <v>58</v>
      </c>
      <c r="D7402" s="23" t="s">
        <v>59</v>
      </c>
      <c r="E7402" s="23" t="s">
        <v>60</v>
      </c>
      <c r="F7402" s="23" t="s">
        <v>61</v>
      </c>
      <c r="G7402" t="s">
        <v>62</v>
      </c>
      <c r="H7402" t="s">
        <v>63</v>
      </c>
    </row>
    <row r="7403" spans="1:8" x14ac:dyDescent="0.3">
      <c r="A7403" s="22" t="s">
        <v>64</v>
      </c>
      <c r="B7403" t="s">
        <v>67</v>
      </c>
      <c r="C7403" s="23">
        <v>6.5052529828511396E-2</v>
      </c>
      <c r="D7403" s="23">
        <v>5.2356020942408397E-2</v>
      </c>
      <c r="E7403" s="23">
        <v>1.8604651162790701E-2</v>
      </c>
      <c r="F7403" s="23">
        <v>0.14492753623188401</v>
      </c>
      <c r="G7403">
        <v>16</v>
      </c>
      <c r="H7403">
        <v>23</v>
      </c>
    </row>
    <row r="7404" spans="1:8" x14ac:dyDescent="0.3">
      <c r="A7404" s="22" t="s">
        <v>64</v>
      </c>
      <c r="B7404" t="s">
        <v>68</v>
      </c>
      <c r="C7404" s="23">
        <v>0.1099096121455387</v>
      </c>
      <c r="D7404" s="23">
        <v>0.15384615384615399</v>
      </c>
      <c r="E7404" s="23">
        <v>0</v>
      </c>
      <c r="F7404" s="23">
        <v>0.19867549668874199</v>
      </c>
      <c r="G7404">
        <v>7</v>
      </c>
      <c r="H7404">
        <v>23</v>
      </c>
    </row>
    <row r="7405" spans="1:8" x14ac:dyDescent="0.3">
      <c r="C7405" s="23"/>
      <c r="D7405" s="23"/>
      <c r="E7405" s="23"/>
      <c r="F7405" s="23"/>
    </row>
    <row r="7406" spans="1:8" ht="72" x14ac:dyDescent="0.3">
      <c r="A7406" s="22" t="s">
        <v>1625</v>
      </c>
      <c r="C7406" s="23"/>
      <c r="D7406" s="23"/>
      <c r="E7406" s="23"/>
      <c r="F7406" s="23"/>
    </row>
    <row r="7407" spans="1:8" x14ac:dyDescent="0.3">
      <c r="A7407" s="22" t="s">
        <v>57</v>
      </c>
      <c r="B7407" t="s">
        <v>66</v>
      </c>
      <c r="C7407" s="23" t="s">
        <v>58</v>
      </c>
      <c r="D7407" s="23" t="s">
        <v>59</v>
      </c>
      <c r="E7407" s="23" t="s">
        <v>60</v>
      </c>
      <c r="F7407" s="23" t="s">
        <v>61</v>
      </c>
      <c r="G7407" t="s">
        <v>62</v>
      </c>
      <c r="H7407" t="s">
        <v>63</v>
      </c>
    </row>
    <row r="7408" spans="1:8" x14ac:dyDescent="0.3">
      <c r="A7408" s="22" t="s">
        <v>64</v>
      </c>
      <c r="B7408" t="s">
        <v>67</v>
      </c>
      <c r="C7408" s="23">
        <v>7.8440422322924488E-2</v>
      </c>
      <c r="D7408" s="23">
        <v>5.2356020942408397E-2</v>
      </c>
      <c r="E7408" s="23">
        <v>0</v>
      </c>
      <c r="F7408" s="23">
        <v>0.19867549668874199</v>
      </c>
      <c r="G7408">
        <v>16</v>
      </c>
      <c r="H7408">
        <v>23</v>
      </c>
    </row>
    <row r="7409" spans="1:8" x14ac:dyDescent="0.3">
      <c r="A7409" s="22" t="s">
        <v>64</v>
      </c>
      <c r="B7409" t="s">
        <v>68</v>
      </c>
      <c r="C7409" s="23">
        <v>7.9308715015451586E-2</v>
      </c>
      <c r="D7409" s="23">
        <v>9.5693779904306206E-2</v>
      </c>
      <c r="E7409" s="23">
        <v>1.8604651162790701E-2</v>
      </c>
      <c r="F7409" s="23">
        <v>0.14492753623188401</v>
      </c>
      <c r="G7409">
        <v>7</v>
      </c>
      <c r="H7409">
        <v>23</v>
      </c>
    </row>
    <row r="7410" spans="1:8" x14ac:dyDescent="0.3">
      <c r="C7410" s="23"/>
      <c r="D7410" s="23"/>
      <c r="E7410" s="23"/>
      <c r="F7410" s="23"/>
    </row>
    <row r="7411" spans="1:8" ht="72" x14ac:dyDescent="0.3">
      <c r="A7411" s="22" t="s">
        <v>1626</v>
      </c>
      <c r="C7411" s="23"/>
      <c r="D7411" s="23"/>
      <c r="E7411" s="23"/>
      <c r="F7411" s="23"/>
    </row>
    <row r="7412" spans="1:8" x14ac:dyDescent="0.3">
      <c r="A7412" s="22" t="s">
        <v>57</v>
      </c>
      <c r="B7412" t="s">
        <v>66</v>
      </c>
      <c r="C7412" s="23" t="s">
        <v>58</v>
      </c>
      <c r="D7412" s="23" t="s">
        <v>59</v>
      </c>
      <c r="E7412" s="23" t="s">
        <v>60</v>
      </c>
      <c r="F7412" s="23" t="s">
        <v>61</v>
      </c>
      <c r="G7412" t="s">
        <v>62</v>
      </c>
      <c r="H7412" t="s">
        <v>63</v>
      </c>
    </row>
    <row r="7413" spans="1:8" x14ac:dyDescent="0.3">
      <c r="A7413" s="22" t="s">
        <v>64</v>
      </c>
      <c r="B7413" t="s">
        <v>67</v>
      </c>
      <c r="C7413" s="23">
        <v>8.6104589619248592E-2</v>
      </c>
      <c r="D7413" s="23">
        <v>6.8027210884353706E-2</v>
      </c>
      <c r="E7413" s="23">
        <v>0</v>
      </c>
      <c r="F7413" s="23">
        <v>0.19867549668874199</v>
      </c>
      <c r="G7413">
        <v>18</v>
      </c>
      <c r="H7413">
        <v>23</v>
      </c>
    </row>
    <row r="7414" spans="1:8" x14ac:dyDescent="0.3">
      <c r="A7414" s="22" t="s">
        <v>64</v>
      </c>
      <c r="B7414" t="s">
        <v>68</v>
      </c>
      <c r="C7414" s="23">
        <v>5.206502982569565E-2</v>
      </c>
      <c r="D7414" s="23">
        <v>6.4935064935064901E-2</v>
      </c>
      <c r="E7414" s="23">
        <v>1.8604651162790701E-2</v>
      </c>
      <c r="F7414" s="23">
        <v>9.5693779904306206E-2</v>
      </c>
      <c r="G7414">
        <v>5</v>
      </c>
      <c r="H7414">
        <v>23</v>
      </c>
    </row>
    <row r="7415" spans="1:8" x14ac:dyDescent="0.3">
      <c r="C7415" s="23"/>
      <c r="D7415" s="23"/>
      <c r="E7415" s="23"/>
      <c r="F7415" s="23"/>
    </row>
    <row r="7416" spans="1:8" ht="86.4" x14ac:dyDescent="0.3">
      <c r="A7416" s="22" t="s">
        <v>1627</v>
      </c>
      <c r="C7416" s="23"/>
      <c r="D7416" s="23"/>
      <c r="E7416" s="23"/>
      <c r="F7416" s="23"/>
    </row>
    <row r="7417" spans="1:8" x14ac:dyDescent="0.3">
      <c r="A7417" s="22" t="s">
        <v>57</v>
      </c>
      <c r="B7417" t="s">
        <v>66</v>
      </c>
      <c r="C7417" s="23" t="s">
        <v>58</v>
      </c>
      <c r="D7417" s="23" t="s">
        <v>59</v>
      </c>
      <c r="E7417" s="23" t="s">
        <v>60</v>
      </c>
      <c r="F7417" s="23" t="s">
        <v>61</v>
      </c>
      <c r="G7417" t="s">
        <v>62</v>
      </c>
      <c r="H7417" t="s">
        <v>63</v>
      </c>
    </row>
    <row r="7418" spans="1:8" x14ac:dyDescent="0.3">
      <c r="A7418" s="22" t="s">
        <v>64</v>
      </c>
      <c r="B7418" t="s">
        <v>67</v>
      </c>
      <c r="C7418" s="23">
        <v>7.733132914254677E-2</v>
      </c>
      <c r="D7418" s="23">
        <v>6.8027210884353706E-2</v>
      </c>
      <c r="E7418" s="23">
        <v>0</v>
      </c>
      <c r="F7418" s="23">
        <v>0.19867549668874199</v>
      </c>
      <c r="G7418">
        <v>21</v>
      </c>
      <c r="H7418">
        <v>23</v>
      </c>
    </row>
    <row r="7419" spans="1:8" x14ac:dyDescent="0.3">
      <c r="A7419" s="22" t="s">
        <v>64</v>
      </c>
      <c r="B7419" t="s">
        <v>68</v>
      </c>
      <c r="C7419" s="23">
        <v>9.3124925140735407E-2</v>
      </c>
      <c r="D7419" s="23">
        <v>4.1322314049586799E-2</v>
      </c>
      <c r="E7419" s="23">
        <v>4.1322314049586799E-2</v>
      </c>
      <c r="F7419" s="23">
        <v>0.14492753623188401</v>
      </c>
      <c r="G7419">
        <v>2</v>
      </c>
      <c r="H7419">
        <v>23</v>
      </c>
    </row>
    <row r="7420" spans="1:8" x14ac:dyDescent="0.3">
      <c r="C7420" s="23"/>
      <c r="D7420" s="23"/>
      <c r="E7420" s="23"/>
      <c r="F7420" s="23"/>
    </row>
    <row r="7421" spans="1:8" ht="86.4" x14ac:dyDescent="0.3">
      <c r="A7421" s="22" t="s">
        <v>1628</v>
      </c>
      <c r="C7421" s="23"/>
      <c r="D7421" s="23"/>
      <c r="E7421" s="23"/>
      <c r="F7421" s="23"/>
    </row>
    <row r="7422" spans="1:8" x14ac:dyDescent="0.3">
      <c r="A7422" s="22" t="s">
        <v>57</v>
      </c>
      <c r="B7422" t="s">
        <v>66</v>
      </c>
      <c r="C7422" s="23" t="s">
        <v>58</v>
      </c>
      <c r="D7422" s="23" t="s">
        <v>59</v>
      </c>
      <c r="E7422" s="23" t="s">
        <v>60</v>
      </c>
      <c r="F7422" s="23" t="s">
        <v>61</v>
      </c>
      <c r="G7422" t="s">
        <v>62</v>
      </c>
      <c r="H7422" t="s">
        <v>63</v>
      </c>
    </row>
    <row r="7423" spans="1:8" x14ac:dyDescent="0.3">
      <c r="A7423" s="22" t="s">
        <v>64</v>
      </c>
      <c r="B7423" t="s">
        <v>67</v>
      </c>
      <c r="C7423" s="23">
        <v>7.87046853163023E-2</v>
      </c>
      <c r="D7423" s="23">
        <v>6.8027210884353706E-2</v>
      </c>
      <c r="E7423" s="23">
        <v>0</v>
      </c>
      <c r="F7423" s="23">
        <v>0.19867549668874199</v>
      </c>
      <c r="G7423">
        <v>23</v>
      </c>
      <c r="H7423">
        <v>23</v>
      </c>
    </row>
    <row r="7424" spans="1:8" x14ac:dyDescent="0.3">
      <c r="C7424" s="23"/>
      <c r="D7424" s="23"/>
      <c r="E7424" s="23"/>
      <c r="F7424" s="23"/>
    </row>
    <row r="7425" spans="1:8" ht="72" x14ac:dyDescent="0.3">
      <c r="A7425" s="22" t="s">
        <v>1629</v>
      </c>
      <c r="C7425" s="23"/>
      <c r="D7425" s="23"/>
      <c r="E7425" s="23"/>
      <c r="F7425" s="23"/>
    </row>
    <row r="7426" spans="1:8" x14ac:dyDescent="0.3">
      <c r="A7426" s="22" t="s">
        <v>57</v>
      </c>
      <c r="B7426" t="s">
        <v>66</v>
      </c>
      <c r="C7426" s="23" t="s">
        <v>58</v>
      </c>
      <c r="D7426" s="23" t="s">
        <v>59</v>
      </c>
      <c r="E7426" s="23" t="s">
        <v>60</v>
      </c>
      <c r="F7426" s="23" t="s">
        <v>61</v>
      </c>
      <c r="G7426" t="s">
        <v>62</v>
      </c>
      <c r="H7426" t="s">
        <v>63</v>
      </c>
    </row>
    <row r="7427" spans="1:8" x14ac:dyDescent="0.3">
      <c r="A7427" s="22" t="s">
        <v>64</v>
      </c>
      <c r="B7427" t="s">
        <v>67</v>
      </c>
      <c r="C7427" s="23">
        <v>9.2579468683698526E-2</v>
      </c>
      <c r="D7427" s="23">
        <v>0.112994350282486</v>
      </c>
      <c r="E7427" s="23">
        <v>1.8604651162790701E-2</v>
      </c>
      <c r="F7427" s="23">
        <v>0.19867549668874199</v>
      </c>
      <c r="G7427">
        <v>11</v>
      </c>
      <c r="H7427">
        <v>23</v>
      </c>
    </row>
    <row r="7428" spans="1:8" x14ac:dyDescent="0.3">
      <c r="A7428" s="22" t="s">
        <v>64</v>
      </c>
      <c r="B7428" t="s">
        <v>68</v>
      </c>
      <c r="C7428" s="23">
        <v>6.5986133896189111E-2</v>
      </c>
      <c r="D7428" s="23">
        <v>5.2356020942408397E-2</v>
      </c>
      <c r="E7428" s="23">
        <v>0</v>
      </c>
      <c r="F7428" s="23">
        <v>0.14492753623188401</v>
      </c>
      <c r="G7428">
        <v>12</v>
      </c>
      <c r="H7428">
        <v>23</v>
      </c>
    </row>
    <row r="7429" spans="1:8" x14ac:dyDescent="0.3">
      <c r="C7429" s="23"/>
      <c r="D7429" s="23"/>
      <c r="E7429" s="23"/>
      <c r="F7429" s="23"/>
    </row>
    <row r="7430" spans="1:8" ht="86.4" x14ac:dyDescent="0.3">
      <c r="A7430" s="22" t="s">
        <v>1630</v>
      </c>
      <c r="C7430" s="23"/>
      <c r="D7430" s="23"/>
      <c r="E7430" s="23"/>
      <c r="F7430" s="23"/>
    </row>
    <row r="7431" spans="1:8" x14ac:dyDescent="0.3">
      <c r="A7431" s="22" t="s">
        <v>57</v>
      </c>
      <c r="B7431" t="s">
        <v>66</v>
      </c>
      <c r="C7431" s="23" t="s">
        <v>58</v>
      </c>
      <c r="D7431" s="23" t="s">
        <v>59</v>
      </c>
      <c r="E7431" s="23" t="s">
        <v>60</v>
      </c>
      <c r="F7431" s="23" t="s">
        <v>61</v>
      </c>
      <c r="G7431" t="s">
        <v>62</v>
      </c>
      <c r="H7431" t="s">
        <v>63</v>
      </c>
    </row>
    <row r="7432" spans="1:8" x14ac:dyDescent="0.3">
      <c r="A7432" s="22" t="s">
        <v>64</v>
      </c>
      <c r="B7432" t="s">
        <v>67</v>
      </c>
      <c r="C7432" s="23">
        <v>7.325146661755505E-2</v>
      </c>
      <c r="D7432" s="23">
        <v>5.97609561752988E-2</v>
      </c>
      <c r="E7432" s="23">
        <v>0</v>
      </c>
      <c r="F7432" s="23">
        <v>0.19607843137254899</v>
      </c>
      <c r="G7432">
        <v>22</v>
      </c>
      <c r="H7432">
        <v>23</v>
      </c>
    </row>
    <row r="7433" spans="1:8" x14ac:dyDescent="0.3">
      <c r="A7433" s="22" t="s">
        <v>64</v>
      </c>
      <c r="B7433" t="s">
        <v>68</v>
      </c>
      <c r="C7433" s="23">
        <v>0.19867549668874199</v>
      </c>
      <c r="D7433" s="23">
        <v>0.19867549668874199</v>
      </c>
      <c r="E7433" s="23">
        <v>0.19867549668874199</v>
      </c>
      <c r="F7433" s="23">
        <v>0.19867549668874199</v>
      </c>
      <c r="G7433">
        <v>1</v>
      </c>
      <c r="H7433">
        <v>23</v>
      </c>
    </row>
    <row r="7434" spans="1:8" x14ac:dyDescent="0.3">
      <c r="C7434" s="23"/>
      <c r="D7434" s="23"/>
      <c r="E7434" s="23"/>
      <c r="F7434" s="23"/>
    </row>
    <row r="7435" spans="1:8" ht="72" x14ac:dyDescent="0.3">
      <c r="A7435" s="22" t="s">
        <v>1631</v>
      </c>
      <c r="C7435" s="23"/>
      <c r="D7435" s="23"/>
      <c r="E7435" s="23"/>
      <c r="F7435" s="23"/>
    </row>
    <row r="7436" spans="1:8" x14ac:dyDescent="0.3">
      <c r="A7436" s="22" t="s">
        <v>57</v>
      </c>
      <c r="B7436" t="s">
        <v>66</v>
      </c>
      <c r="C7436" s="23" t="s">
        <v>58</v>
      </c>
      <c r="D7436" s="23" t="s">
        <v>59</v>
      </c>
      <c r="E7436" s="23" t="s">
        <v>60</v>
      </c>
      <c r="F7436" s="23" t="s">
        <v>61</v>
      </c>
      <c r="G7436" t="s">
        <v>62</v>
      </c>
      <c r="H7436" t="s">
        <v>63</v>
      </c>
    </row>
    <row r="7437" spans="1:8" x14ac:dyDescent="0.3">
      <c r="A7437" s="22" t="s">
        <v>64</v>
      </c>
      <c r="B7437" t="s">
        <v>81</v>
      </c>
      <c r="C7437" s="23">
        <v>8.5577636899462101E-2</v>
      </c>
      <c r="D7437" s="23">
        <v>6.8027210884353706E-2</v>
      </c>
      <c r="E7437" s="23">
        <v>2.8735632183908E-2</v>
      </c>
      <c r="F7437" s="23">
        <v>0.19607843137254899</v>
      </c>
      <c r="G7437">
        <v>10</v>
      </c>
      <c r="H7437">
        <v>23</v>
      </c>
    </row>
    <row r="7438" spans="1:8" x14ac:dyDescent="0.3">
      <c r="A7438" s="22" t="s">
        <v>64</v>
      </c>
      <c r="B7438" t="s">
        <v>82</v>
      </c>
      <c r="C7438" s="23">
        <v>9.1207152337860989E-2</v>
      </c>
      <c r="D7438" s="23">
        <v>3.2258064516128997E-2</v>
      </c>
      <c r="E7438" s="23">
        <v>1.8604651162790701E-2</v>
      </c>
      <c r="F7438" s="23">
        <v>0.19867549668874199</v>
      </c>
      <c r="G7438">
        <v>6</v>
      </c>
      <c r="H7438">
        <v>23</v>
      </c>
    </row>
    <row r="7439" spans="1:8" x14ac:dyDescent="0.3">
      <c r="A7439" s="22" t="s">
        <v>64</v>
      </c>
      <c r="B7439" t="s">
        <v>83</v>
      </c>
      <c r="C7439" s="23">
        <v>6.357263408313242E-2</v>
      </c>
      <c r="D7439" s="23">
        <v>9.5693779904306206E-2</v>
      </c>
      <c r="E7439" s="23">
        <v>0</v>
      </c>
      <c r="F7439" s="23">
        <v>0.14492753623188401</v>
      </c>
      <c r="G7439">
        <v>5</v>
      </c>
      <c r="H7439">
        <v>23</v>
      </c>
    </row>
    <row r="7440" spans="1:8" x14ac:dyDescent="0.3">
      <c r="A7440" s="22" t="s">
        <v>64</v>
      </c>
      <c r="B7440" t="s">
        <v>84</v>
      </c>
      <c r="C7440" s="23">
        <v>4.4662654418751953E-2</v>
      </c>
      <c r="D7440" s="23">
        <v>2.4390243902439001E-2</v>
      </c>
      <c r="E7440" s="23">
        <v>2.4390243902439001E-2</v>
      </c>
      <c r="F7440" s="23">
        <v>6.4935064935064901E-2</v>
      </c>
      <c r="G7440">
        <v>2</v>
      </c>
      <c r="H7440">
        <v>23</v>
      </c>
    </row>
    <row r="7441" spans="1:8" x14ac:dyDescent="0.3">
      <c r="C7441" s="23"/>
      <c r="D7441" s="23"/>
      <c r="E7441" s="23"/>
      <c r="F7441" s="23"/>
    </row>
    <row r="7442" spans="1:8" ht="57.6" x14ac:dyDescent="0.3">
      <c r="A7442" s="22" t="s">
        <v>1632</v>
      </c>
      <c r="C7442" s="23"/>
      <c r="D7442" s="23"/>
      <c r="E7442" s="23"/>
      <c r="F7442" s="23"/>
    </row>
    <row r="7443" spans="1:8" x14ac:dyDescent="0.3">
      <c r="A7443" s="22" t="s">
        <v>57</v>
      </c>
      <c r="B7443" t="s">
        <v>58</v>
      </c>
      <c r="C7443" t="s">
        <v>59</v>
      </c>
      <c r="D7443" t="s">
        <v>60</v>
      </c>
      <c r="E7443" t="s">
        <v>61</v>
      </c>
      <c r="F7443" t="s">
        <v>62</v>
      </c>
      <c r="G7443" t="s">
        <v>63</v>
      </c>
    </row>
    <row r="7444" spans="1:8" x14ac:dyDescent="0.3">
      <c r="A7444" s="22" t="s">
        <v>64</v>
      </c>
      <c r="B7444" s="23">
        <v>0.1826181335886998</v>
      </c>
      <c r="C7444" s="23">
        <v>0.14150943396226401</v>
      </c>
      <c r="D7444" s="23">
        <v>3.3734397840998499E-3</v>
      </c>
      <c r="E7444" s="23">
        <v>0.61855670103092797</v>
      </c>
      <c r="F7444">
        <v>67</v>
      </c>
      <c r="G7444">
        <v>67</v>
      </c>
    </row>
    <row r="7446" spans="1:8" ht="72" x14ac:dyDescent="0.3">
      <c r="A7446" s="22" t="s">
        <v>1633</v>
      </c>
      <c r="C7446" s="23"/>
      <c r="D7446" s="23"/>
      <c r="E7446" s="23"/>
      <c r="F7446" s="23"/>
    </row>
    <row r="7447" spans="1:8" x14ac:dyDescent="0.3">
      <c r="A7447" s="22" t="s">
        <v>57</v>
      </c>
      <c r="B7447" t="s">
        <v>66</v>
      </c>
      <c r="C7447" s="23" t="s">
        <v>58</v>
      </c>
      <c r="D7447" s="23" t="s">
        <v>59</v>
      </c>
      <c r="E7447" s="23" t="s">
        <v>60</v>
      </c>
      <c r="F7447" s="23" t="s">
        <v>61</v>
      </c>
      <c r="G7447" t="s">
        <v>62</v>
      </c>
      <c r="H7447" t="s">
        <v>63</v>
      </c>
    </row>
    <row r="7448" spans="1:8" x14ac:dyDescent="0.3">
      <c r="A7448" s="22" t="s">
        <v>64</v>
      </c>
      <c r="B7448" t="s">
        <v>67</v>
      </c>
      <c r="C7448" s="23">
        <v>0.1741760275749587</v>
      </c>
      <c r="D7448" s="23">
        <v>0.13761467889908299</v>
      </c>
      <c r="E7448" s="23">
        <v>3.3734397840998499E-3</v>
      </c>
      <c r="F7448" s="23">
        <v>0.58823529411764697</v>
      </c>
      <c r="G7448">
        <v>63</v>
      </c>
      <c r="H7448">
        <v>67</v>
      </c>
    </row>
    <row r="7449" spans="1:8" x14ac:dyDescent="0.3">
      <c r="A7449" s="22" t="s">
        <v>64</v>
      </c>
      <c r="B7449" t="s">
        <v>68</v>
      </c>
      <c r="C7449" s="23">
        <v>0.31558130330512302</v>
      </c>
      <c r="D7449" s="23">
        <v>0.214285714285714</v>
      </c>
      <c r="E7449" s="23">
        <v>0.191387559808612</v>
      </c>
      <c r="F7449" s="23">
        <v>0.61855670103092797</v>
      </c>
      <c r="G7449">
        <v>4</v>
      </c>
      <c r="H7449">
        <v>67</v>
      </c>
    </row>
    <row r="7450" spans="1:8" x14ac:dyDescent="0.3">
      <c r="C7450" s="23"/>
      <c r="D7450" s="23"/>
      <c r="E7450" s="23"/>
      <c r="F7450" s="23"/>
    </row>
    <row r="7451" spans="1:8" x14ac:dyDescent="0.3">
      <c r="A7451"/>
      <c r="C7451" s="23"/>
      <c r="D7451" s="23"/>
      <c r="E7451" s="23"/>
      <c r="F7451" s="23"/>
    </row>
    <row r="7452" spans="1:8" x14ac:dyDescent="0.3">
      <c r="A7452"/>
      <c r="C7452" s="23"/>
      <c r="D7452" s="23"/>
      <c r="E7452" s="23"/>
      <c r="F7452" s="23"/>
    </row>
    <row r="7453" spans="1:8" x14ac:dyDescent="0.3">
      <c r="A7453"/>
      <c r="C7453" s="23"/>
      <c r="D7453" s="23"/>
      <c r="E7453" s="23"/>
      <c r="F7453" s="23"/>
    </row>
    <row r="7454" spans="1:8" x14ac:dyDescent="0.3">
      <c r="C7454" s="23"/>
      <c r="D7454" s="23"/>
      <c r="E7454" s="23"/>
      <c r="F7454" s="23"/>
    </row>
    <row r="7455" spans="1:8" ht="72" x14ac:dyDescent="0.3">
      <c r="A7455" s="22" t="s">
        <v>1634</v>
      </c>
      <c r="C7455" s="23"/>
      <c r="D7455" s="23"/>
      <c r="E7455" s="23"/>
      <c r="F7455" s="23"/>
    </row>
    <row r="7456" spans="1:8" x14ac:dyDescent="0.3">
      <c r="A7456" s="22" t="s">
        <v>57</v>
      </c>
      <c r="B7456" t="s">
        <v>66</v>
      </c>
      <c r="C7456" s="23" t="s">
        <v>58</v>
      </c>
      <c r="D7456" s="23" t="s">
        <v>59</v>
      </c>
      <c r="E7456" s="23" t="s">
        <v>60</v>
      </c>
      <c r="F7456" s="23" t="s">
        <v>61</v>
      </c>
      <c r="G7456" t="s">
        <v>62</v>
      </c>
      <c r="H7456" t="s">
        <v>63</v>
      </c>
    </row>
    <row r="7457" spans="1:8" x14ac:dyDescent="0.3">
      <c r="A7457" s="22" t="s">
        <v>64</v>
      </c>
      <c r="B7457" t="s">
        <v>67</v>
      </c>
      <c r="C7457" s="23">
        <v>0.18218737915678901</v>
      </c>
      <c r="D7457" s="23">
        <v>0.13953488372093001</v>
      </c>
      <c r="E7457" s="23">
        <v>3.3734397840998499E-3</v>
      </c>
      <c r="F7457" s="23">
        <v>0.61855670103092797</v>
      </c>
      <c r="G7457">
        <v>63</v>
      </c>
      <c r="H7457">
        <v>67</v>
      </c>
    </row>
    <row r="7458" spans="1:8" x14ac:dyDescent="0.3">
      <c r="A7458" s="22" t="s">
        <v>64</v>
      </c>
      <c r="B7458" t="s">
        <v>68</v>
      </c>
      <c r="C7458" s="23">
        <v>0.1894025158912965</v>
      </c>
      <c r="D7458" s="23">
        <v>0.198019801980198</v>
      </c>
      <c r="E7458" s="23">
        <v>0.13761467889908299</v>
      </c>
      <c r="F7458" s="23">
        <v>0.221975582685905</v>
      </c>
      <c r="G7458">
        <v>4</v>
      </c>
      <c r="H7458">
        <v>67</v>
      </c>
    </row>
    <row r="7459" spans="1:8" x14ac:dyDescent="0.3">
      <c r="C7459" s="23"/>
      <c r="D7459" s="23"/>
      <c r="E7459" s="23"/>
      <c r="F7459" s="23"/>
    </row>
    <row r="7460" spans="1:8" ht="72" x14ac:dyDescent="0.3">
      <c r="A7460" s="22" t="s">
        <v>1635</v>
      </c>
      <c r="C7460" s="23"/>
      <c r="D7460" s="23"/>
      <c r="E7460" s="23"/>
      <c r="F7460" s="23"/>
    </row>
    <row r="7461" spans="1:8" x14ac:dyDescent="0.3">
      <c r="A7461" s="22" t="s">
        <v>57</v>
      </c>
      <c r="B7461" t="s">
        <v>66</v>
      </c>
      <c r="C7461" s="23" t="s">
        <v>58</v>
      </c>
      <c r="D7461" s="23" t="s">
        <v>59</v>
      </c>
      <c r="E7461" s="23" t="s">
        <v>60</v>
      </c>
      <c r="F7461" s="23" t="s">
        <v>61</v>
      </c>
      <c r="G7461" t="s">
        <v>62</v>
      </c>
      <c r="H7461" t="s">
        <v>63</v>
      </c>
    </row>
    <row r="7462" spans="1:8" x14ac:dyDescent="0.3">
      <c r="A7462" s="22" t="s">
        <v>64</v>
      </c>
      <c r="B7462" t="s">
        <v>67</v>
      </c>
      <c r="C7462" s="23">
        <v>0.1826181335886998</v>
      </c>
      <c r="D7462" s="23">
        <v>0.14150943396226401</v>
      </c>
      <c r="E7462" s="23">
        <v>3.3734397840998499E-3</v>
      </c>
      <c r="F7462" s="23">
        <v>0.61855670103092797</v>
      </c>
      <c r="G7462">
        <v>67</v>
      </c>
      <c r="H7462">
        <v>67</v>
      </c>
    </row>
    <row r="7463" spans="1:8" x14ac:dyDescent="0.3">
      <c r="C7463" s="23"/>
      <c r="D7463" s="23"/>
      <c r="E7463" s="23"/>
      <c r="F7463" s="23"/>
    </row>
    <row r="7464" spans="1:8" ht="72" x14ac:dyDescent="0.3">
      <c r="A7464" s="22" t="s">
        <v>1636</v>
      </c>
      <c r="C7464" s="23"/>
      <c r="D7464" s="23"/>
      <c r="E7464" s="23"/>
      <c r="F7464" s="23"/>
    </row>
    <row r="7465" spans="1:8" x14ac:dyDescent="0.3">
      <c r="A7465" s="22" t="s">
        <v>57</v>
      </c>
      <c r="B7465" t="s">
        <v>66</v>
      </c>
      <c r="C7465" s="23" t="s">
        <v>58</v>
      </c>
      <c r="D7465" s="23" t="s">
        <v>59</v>
      </c>
      <c r="E7465" s="23" t="s">
        <v>60</v>
      </c>
      <c r="F7465" s="23" t="s">
        <v>61</v>
      </c>
      <c r="G7465" t="s">
        <v>62</v>
      </c>
      <c r="H7465" t="s">
        <v>63</v>
      </c>
    </row>
    <row r="7466" spans="1:8" x14ac:dyDescent="0.3">
      <c r="A7466" s="22" t="s">
        <v>64</v>
      </c>
      <c r="B7466" t="s">
        <v>67</v>
      </c>
      <c r="C7466" s="23">
        <v>0.17468768708555499</v>
      </c>
      <c r="D7466" s="23">
        <v>0.13953488372093001</v>
      </c>
      <c r="E7466" s="23">
        <v>3.3734397840998499E-3</v>
      </c>
      <c r="F7466" s="23">
        <v>0.61855670103092797</v>
      </c>
      <c r="G7466">
        <v>63</v>
      </c>
      <c r="H7466">
        <v>67</v>
      </c>
    </row>
    <row r="7467" spans="1:8" x14ac:dyDescent="0.3">
      <c r="A7467" s="22" t="s">
        <v>64</v>
      </c>
      <c r="B7467" t="s">
        <v>68</v>
      </c>
      <c r="C7467" s="23">
        <v>0.30752266601323192</v>
      </c>
      <c r="D7467" s="23">
        <v>0.14150943396226401</v>
      </c>
      <c r="E7467" s="23">
        <v>7.1428571428571397E-2</v>
      </c>
      <c r="F7467" s="23">
        <v>0.54545454545454497</v>
      </c>
      <c r="G7467">
        <v>4</v>
      </c>
      <c r="H7467">
        <v>67</v>
      </c>
    </row>
    <row r="7468" spans="1:8" x14ac:dyDescent="0.3">
      <c r="C7468" s="23"/>
      <c r="D7468" s="23"/>
      <c r="E7468" s="23"/>
      <c r="F7468" s="23"/>
    </row>
    <row r="7469" spans="1:8" ht="72" x14ac:dyDescent="0.3">
      <c r="A7469" s="22" t="s">
        <v>1637</v>
      </c>
      <c r="C7469" s="23"/>
      <c r="D7469" s="23"/>
      <c r="E7469" s="23"/>
      <c r="F7469" s="23"/>
    </row>
    <row r="7470" spans="1:8" x14ac:dyDescent="0.3">
      <c r="A7470" s="22" t="s">
        <v>57</v>
      </c>
      <c r="B7470" t="s">
        <v>66</v>
      </c>
      <c r="C7470" s="23" t="s">
        <v>58</v>
      </c>
      <c r="D7470" s="23" t="s">
        <v>59</v>
      </c>
      <c r="E7470" s="23" t="s">
        <v>60</v>
      </c>
      <c r="F7470" s="23" t="s">
        <v>61</v>
      </c>
      <c r="G7470" t="s">
        <v>62</v>
      </c>
      <c r="H7470" t="s">
        <v>63</v>
      </c>
    </row>
    <row r="7471" spans="1:8" x14ac:dyDescent="0.3">
      <c r="A7471" s="22" t="s">
        <v>64</v>
      </c>
      <c r="B7471" t="s">
        <v>67</v>
      </c>
      <c r="C7471" s="23">
        <v>0.12</v>
      </c>
      <c r="D7471" s="23">
        <v>0.12</v>
      </c>
      <c r="E7471" s="23">
        <v>0.12</v>
      </c>
      <c r="F7471" s="23">
        <v>0.12</v>
      </c>
      <c r="G7471">
        <v>1</v>
      </c>
      <c r="H7471">
        <v>67</v>
      </c>
    </row>
    <row r="7472" spans="1:8" x14ac:dyDescent="0.3">
      <c r="A7472" s="22" t="s">
        <v>64</v>
      </c>
      <c r="B7472" t="s">
        <v>68</v>
      </c>
      <c r="C7472" s="23">
        <v>0.18356689318852859</v>
      </c>
      <c r="D7472" s="23">
        <v>0.13953488372093001</v>
      </c>
      <c r="E7472" s="23">
        <v>3.3734397840998499E-3</v>
      </c>
      <c r="F7472" s="23">
        <v>0.61855670103092797</v>
      </c>
      <c r="G7472">
        <v>66</v>
      </c>
      <c r="H7472">
        <v>67</v>
      </c>
    </row>
    <row r="7473" spans="1:8" x14ac:dyDescent="0.3">
      <c r="C7473" s="23"/>
      <c r="D7473" s="23"/>
      <c r="E7473" s="23"/>
      <c r="F7473" s="23"/>
    </row>
    <row r="7474" spans="1:8" ht="72" x14ac:dyDescent="0.3">
      <c r="A7474" s="22" t="s">
        <v>1638</v>
      </c>
      <c r="C7474" s="23"/>
      <c r="D7474" s="23"/>
      <c r="E7474" s="23"/>
      <c r="F7474" s="23"/>
    </row>
    <row r="7475" spans="1:8" x14ac:dyDescent="0.3">
      <c r="A7475" s="22" t="s">
        <v>57</v>
      </c>
      <c r="B7475" t="s">
        <v>66</v>
      </c>
      <c r="C7475" s="23" t="s">
        <v>58</v>
      </c>
      <c r="D7475" s="23" t="s">
        <v>59</v>
      </c>
      <c r="E7475" s="23" t="s">
        <v>60</v>
      </c>
      <c r="F7475" s="23" t="s">
        <v>61</v>
      </c>
      <c r="G7475" t="s">
        <v>62</v>
      </c>
      <c r="H7475" t="s">
        <v>63</v>
      </c>
    </row>
    <row r="7476" spans="1:8" x14ac:dyDescent="0.3">
      <c r="A7476" s="22" t="s">
        <v>64</v>
      </c>
      <c r="B7476" t="s">
        <v>67</v>
      </c>
      <c r="C7476" s="23">
        <v>0.1808967511771257</v>
      </c>
      <c r="D7476" s="23">
        <v>0.169491525423729</v>
      </c>
      <c r="E7476" s="23">
        <v>3.3734397840998499E-3</v>
      </c>
      <c r="F7476" s="23">
        <v>0.61855670103092797</v>
      </c>
      <c r="G7476">
        <v>55</v>
      </c>
      <c r="H7476">
        <v>67</v>
      </c>
    </row>
    <row r="7477" spans="1:8" x14ac:dyDescent="0.3">
      <c r="A7477" s="22" t="s">
        <v>64</v>
      </c>
      <c r="B7477" t="s">
        <v>68</v>
      </c>
      <c r="C7477" s="23">
        <v>0.1905078029750811</v>
      </c>
      <c r="D7477" s="23">
        <v>0.11337868480725601</v>
      </c>
      <c r="E7477" s="23">
        <v>3.8167938931297697E-2</v>
      </c>
      <c r="F7477" s="23">
        <v>0.54545454545454497</v>
      </c>
      <c r="G7477">
        <v>12</v>
      </c>
      <c r="H7477">
        <v>67</v>
      </c>
    </row>
    <row r="7478" spans="1:8" x14ac:dyDescent="0.3">
      <c r="C7478" s="23"/>
      <c r="D7478" s="23"/>
      <c r="E7478" s="23"/>
      <c r="F7478" s="23"/>
    </row>
    <row r="7479" spans="1:8" ht="72" x14ac:dyDescent="0.3">
      <c r="A7479" s="22" t="s">
        <v>1639</v>
      </c>
      <c r="C7479" s="23"/>
      <c r="D7479" s="23"/>
      <c r="E7479" s="23"/>
      <c r="F7479" s="23"/>
    </row>
    <row r="7480" spans="1:8" x14ac:dyDescent="0.3">
      <c r="A7480" s="22" t="s">
        <v>57</v>
      </c>
      <c r="B7480" t="s">
        <v>66</v>
      </c>
      <c r="C7480" s="23" t="s">
        <v>58</v>
      </c>
      <c r="D7480" s="23" t="s">
        <v>59</v>
      </c>
      <c r="E7480" s="23" t="s">
        <v>60</v>
      </c>
      <c r="F7480" s="23" t="s">
        <v>61</v>
      </c>
      <c r="G7480" t="s">
        <v>62</v>
      </c>
      <c r="H7480" t="s">
        <v>63</v>
      </c>
    </row>
    <row r="7481" spans="1:8" x14ac:dyDescent="0.3">
      <c r="A7481" s="22" t="s">
        <v>64</v>
      </c>
      <c r="B7481" t="s">
        <v>67</v>
      </c>
      <c r="C7481" s="23">
        <v>0.16932606907739511</v>
      </c>
      <c r="D7481" s="23">
        <v>0.12903225806451599</v>
      </c>
      <c r="E7481" s="23">
        <v>3.3734397840998499E-3</v>
      </c>
      <c r="F7481" s="23">
        <v>0.61855670103092797</v>
      </c>
      <c r="G7481">
        <v>50</v>
      </c>
      <c r="H7481">
        <v>67</v>
      </c>
    </row>
    <row r="7482" spans="1:8" x14ac:dyDescent="0.3">
      <c r="A7482" s="22" t="s">
        <v>64</v>
      </c>
      <c r="B7482" t="s">
        <v>68</v>
      </c>
      <c r="C7482" s="23">
        <v>0.22171244097489029</v>
      </c>
      <c r="D7482" s="23">
        <v>0.191387559808612</v>
      </c>
      <c r="E7482" s="23">
        <v>3.9130434782608699E-2</v>
      </c>
      <c r="F7482" s="23">
        <v>0.58823529411764697</v>
      </c>
      <c r="G7482">
        <v>17</v>
      </c>
      <c r="H7482">
        <v>67</v>
      </c>
    </row>
    <row r="7483" spans="1:8" x14ac:dyDescent="0.3">
      <c r="C7483" s="23"/>
      <c r="D7483" s="23"/>
      <c r="E7483" s="23"/>
      <c r="F7483" s="23"/>
    </row>
    <row r="7484" spans="1:8" ht="72" x14ac:dyDescent="0.3">
      <c r="A7484" s="22" t="s">
        <v>1640</v>
      </c>
      <c r="C7484" s="23"/>
      <c r="D7484" s="23"/>
      <c r="E7484" s="23"/>
      <c r="F7484" s="23"/>
    </row>
    <row r="7485" spans="1:8" x14ac:dyDescent="0.3">
      <c r="A7485" s="22" t="s">
        <v>57</v>
      </c>
      <c r="B7485" t="s">
        <v>66</v>
      </c>
      <c r="C7485" s="23" t="s">
        <v>58</v>
      </c>
      <c r="D7485" s="23" t="s">
        <v>59</v>
      </c>
      <c r="E7485" s="23" t="s">
        <v>60</v>
      </c>
      <c r="F7485" s="23" t="s">
        <v>61</v>
      </c>
      <c r="G7485" t="s">
        <v>62</v>
      </c>
      <c r="H7485" t="s">
        <v>63</v>
      </c>
    </row>
    <row r="7486" spans="1:8" x14ac:dyDescent="0.3">
      <c r="A7486" s="22" t="s">
        <v>64</v>
      </c>
      <c r="B7486" t="s">
        <v>67</v>
      </c>
      <c r="C7486" s="23">
        <v>0.170797885592919</v>
      </c>
      <c r="D7486" s="23">
        <v>0.128205128205128</v>
      </c>
      <c r="E7486" s="23">
        <v>2.27272727272727E-2</v>
      </c>
      <c r="F7486" s="23">
        <v>0.61855670103092797</v>
      </c>
      <c r="G7486">
        <v>48</v>
      </c>
      <c r="H7486">
        <v>67</v>
      </c>
    </row>
    <row r="7487" spans="1:8" x14ac:dyDescent="0.3">
      <c r="A7487" s="22" t="s">
        <v>64</v>
      </c>
      <c r="B7487" t="s">
        <v>68</v>
      </c>
      <c r="C7487" s="23">
        <v>0.21247981273593561</v>
      </c>
      <c r="D7487" s="23">
        <v>0.191387559808612</v>
      </c>
      <c r="E7487" s="23">
        <v>3.3734397840998499E-3</v>
      </c>
      <c r="F7487" s="23">
        <v>0.58823529411764697</v>
      </c>
      <c r="G7487">
        <v>19</v>
      </c>
      <c r="H7487">
        <v>67</v>
      </c>
    </row>
    <row r="7488" spans="1:8" x14ac:dyDescent="0.3">
      <c r="C7488" s="23"/>
      <c r="D7488" s="23"/>
      <c r="E7488" s="23"/>
      <c r="F7488" s="23"/>
    </row>
    <row r="7489" spans="1:8" ht="86.4" x14ac:dyDescent="0.3">
      <c r="A7489" s="22" t="s">
        <v>1641</v>
      </c>
      <c r="C7489" s="23"/>
      <c r="D7489" s="23"/>
      <c r="E7489" s="23"/>
      <c r="F7489" s="23"/>
    </row>
    <row r="7490" spans="1:8" x14ac:dyDescent="0.3">
      <c r="A7490" s="22" t="s">
        <v>57</v>
      </c>
      <c r="B7490" t="s">
        <v>66</v>
      </c>
      <c r="C7490" s="23" t="s">
        <v>58</v>
      </c>
      <c r="D7490" s="23" t="s">
        <v>59</v>
      </c>
      <c r="E7490" s="23" t="s">
        <v>60</v>
      </c>
      <c r="F7490" s="23" t="s">
        <v>61</v>
      </c>
      <c r="G7490" t="s">
        <v>62</v>
      </c>
      <c r="H7490" t="s">
        <v>63</v>
      </c>
    </row>
    <row r="7491" spans="1:8" x14ac:dyDescent="0.3">
      <c r="A7491" s="22" t="s">
        <v>64</v>
      </c>
      <c r="B7491" t="s">
        <v>67</v>
      </c>
      <c r="C7491" s="23">
        <v>0.18659570609967541</v>
      </c>
      <c r="D7491" s="23">
        <v>0.16326530612244899</v>
      </c>
      <c r="E7491" s="23">
        <v>3.3734397840998499E-3</v>
      </c>
      <c r="F7491" s="23">
        <v>0.61855670103092797</v>
      </c>
      <c r="G7491">
        <v>63</v>
      </c>
      <c r="H7491">
        <v>67</v>
      </c>
    </row>
    <row r="7492" spans="1:8" x14ac:dyDescent="0.3">
      <c r="A7492" s="22" t="s">
        <v>64</v>
      </c>
      <c r="B7492" t="s">
        <v>68</v>
      </c>
      <c r="C7492" s="23">
        <v>0.1199713665408349</v>
      </c>
      <c r="D7492" s="23">
        <v>9.5238095238095205E-2</v>
      </c>
      <c r="E7492" s="23">
        <v>7.5471698113207503E-2</v>
      </c>
      <c r="F7492" s="23">
        <v>0.206611570247934</v>
      </c>
      <c r="G7492">
        <v>4</v>
      </c>
      <c r="H7492">
        <v>67</v>
      </c>
    </row>
    <row r="7493" spans="1:8" x14ac:dyDescent="0.3">
      <c r="C7493" s="23"/>
      <c r="D7493" s="23"/>
      <c r="E7493" s="23"/>
      <c r="F7493" s="23"/>
    </row>
    <row r="7494" spans="1:8" ht="86.4" x14ac:dyDescent="0.3">
      <c r="A7494" s="22" t="s">
        <v>1642</v>
      </c>
      <c r="C7494" s="23"/>
      <c r="D7494" s="23"/>
      <c r="E7494" s="23"/>
      <c r="F7494" s="23"/>
    </row>
    <row r="7495" spans="1:8" x14ac:dyDescent="0.3">
      <c r="A7495" s="22" t="s">
        <v>57</v>
      </c>
      <c r="B7495" t="s">
        <v>66</v>
      </c>
      <c r="C7495" s="23" t="s">
        <v>58</v>
      </c>
      <c r="D7495" s="23" t="s">
        <v>59</v>
      </c>
      <c r="E7495" s="23" t="s">
        <v>60</v>
      </c>
      <c r="F7495" s="23" t="s">
        <v>61</v>
      </c>
      <c r="G7495" t="s">
        <v>62</v>
      </c>
      <c r="H7495" t="s">
        <v>63</v>
      </c>
    </row>
    <row r="7496" spans="1:8" x14ac:dyDescent="0.3">
      <c r="A7496" s="22" t="s">
        <v>64</v>
      </c>
      <c r="B7496" t="s">
        <v>67</v>
      </c>
      <c r="C7496" s="23">
        <v>0.1826181335886998</v>
      </c>
      <c r="D7496" s="23">
        <v>0.14150943396226401</v>
      </c>
      <c r="E7496" s="23">
        <v>3.3734397840998499E-3</v>
      </c>
      <c r="F7496" s="23">
        <v>0.61855670103092797</v>
      </c>
      <c r="G7496">
        <v>67</v>
      </c>
      <c r="H7496">
        <v>67</v>
      </c>
    </row>
    <row r="7497" spans="1:8" x14ac:dyDescent="0.3">
      <c r="C7497" s="23"/>
      <c r="D7497" s="23"/>
      <c r="E7497" s="23"/>
      <c r="F7497" s="23"/>
    </row>
    <row r="7498" spans="1:8" ht="72" x14ac:dyDescent="0.3">
      <c r="A7498" s="22" t="s">
        <v>1643</v>
      </c>
      <c r="C7498" s="23"/>
      <c r="D7498" s="23"/>
      <c r="E7498" s="23"/>
      <c r="F7498" s="23"/>
    </row>
    <row r="7499" spans="1:8" x14ac:dyDescent="0.3">
      <c r="A7499" s="22" t="s">
        <v>57</v>
      </c>
      <c r="B7499" t="s">
        <v>66</v>
      </c>
      <c r="C7499" s="23" t="s">
        <v>58</v>
      </c>
      <c r="D7499" s="23" t="s">
        <v>59</v>
      </c>
      <c r="E7499" s="23" t="s">
        <v>60</v>
      </c>
      <c r="F7499" s="23" t="s">
        <v>61</v>
      </c>
      <c r="G7499" t="s">
        <v>62</v>
      </c>
      <c r="H7499" t="s">
        <v>63</v>
      </c>
    </row>
    <row r="7500" spans="1:8" x14ac:dyDescent="0.3">
      <c r="A7500" s="22" t="s">
        <v>64</v>
      </c>
      <c r="B7500" t="s">
        <v>67</v>
      </c>
      <c r="C7500" s="23">
        <v>0.1979421061925811</v>
      </c>
      <c r="D7500" s="23">
        <v>0.169491525423729</v>
      </c>
      <c r="E7500" s="23">
        <v>3.3734397840998499E-3</v>
      </c>
      <c r="F7500" s="23">
        <v>0.58823529411764697</v>
      </c>
      <c r="G7500">
        <v>43</v>
      </c>
      <c r="H7500">
        <v>67</v>
      </c>
    </row>
    <row r="7501" spans="1:8" x14ac:dyDescent="0.3">
      <c r="A7501" s="22" t="s">
        <v>64</v>
      </c>
      <c r="B7501" t="s">
        <v>68</v>
      </c>
      <c r="C7501" s="23">
        <v>0.15516268267341249</v>
      </c>
      <c r="D7501" s="23">
        <v>0.112528132033008</v>
      </c>
      <c r="E7501" s="23">
        <v>2.27272727272727E-2</v>
      </c>
      <c r="F7501" s="23">
        <v>0.61855670103092797</v>
      </c>
      <c r="G7501">
        <v>24</v>
      </c>
      <c r="H7501">
        <v>67</v>
      </c>
    </row>
    <row r="7502" spans="1:8" x14ac:dyDescent="0.3">
      <c r="C7502" s="23"/>
      <c r="D7502" s="23"/>
      <c r="E7502" s="23"/>
      <c r="F7502" s="23"/>
    </row>
    <row r="7503" spans="1:8" ht="86.4" x14ac:dyDescent="0.3">
      <c r="A7503" s="22" t="s">
        <v>1644</v>
      </c>
      <c r="C7503" s="23"/>
      <c r="D7503" s="23"/>
      <c r="E7503" s="23"/>
      <c r="F7503" s="23"/>
    </row>
    <row r="7504" spans="1:8" x14ac:dyDescent="0.3">
      <c r="A7504" s="22" t="s">
        <v>57</v>
      </c>
      <c r="B7504" t="s">
        <v>66</v>
      </c>
      <c r="C7504" s="23" t="s">
        <v>58</v>
      </c>
      <c r="D7504" s="23" t="s">
        <v>59</v>
      </c>
      <c r="E7504" s="23" t="s">
        <v>60</v>
      </c>
      <c r="F7504" s="23" t="s">
        <v>61</v>
      </c>
      <c r="G7504" t="s">
        <v>62</v>
      </c>
      <c r="H7504" t="s">
        <v>63</v>
      </c>
    </row>
    <row r="7505" spans="1:8" x14ac:dyDescent="0.3">
      <c r="A7505" s="22" t="s">
        <v>64</v>
      </c>
      <c r="B7505" t="s">
        <v>67</v>
      </c>
      <c r="C7505" s="23">
        <v>0.19065263903389709</v>
      </c>
      <c r="D7505" s="23">
        <v>0.16877637130801701</v>
      </c>
      <c r="E7505" s="23">
        <v>2.27272727272727E-2</v>
      </c>
      <c r="F7505" s="23">
        <v>0.61855670103092797</v>
      </c>
      <c r="G7505">
        <v>61</v>
      </c>
      <c r="H7505">
        <v>67</v>
      </c>
    </row>
    <row r="7506" spans="1:8" x14ac:dyDescent="0.3">
      <c r="A7506" s="22" t="s">
        <v>64</v>
      </c>
      <c r="B7506" t="s">
        <v>68</v>
      </c>
      <c r="C7506" s="23">
        <v>0.1009339948958614</v>
      </c>
      <c r="D7506" s="23">
        <v>7.3964497041420094E-2</v>
      </c>
      <c r="E7506" s="23">
        <v>3.3734397840998499E-3</v>
      </c>
      <c r="F7506" s="23">
        <v>0.21613832853025899</v>
      </c>
      <c r="G7506">
        <v>6</v>
      </c>
      <c r="H7506">
        <v>67</v>
      </c>
    </row>
    <row r="7507" spans="1:8" x14ac:dyDescent="0.3">
      <c r="C7507" s="23"/>
      <c r="D7507" s="23"/>
      <c r="E7507" s="23"/>
      <c r="F7507" s="23"/>
    </row>
    <row r="7508" spans="1:8" ht="72" x14ac:dyDescent="0.3">
      <c r="A7508" s="22" t="s">
        <v>1645</v>
      </c>
      <c r="C7508" s="23"/>
      <c r="D7508" s="23"/>
      <c r="E7508" s="23"/>
      <c r="F7508" s="23"/>
    </row>
    <row r="7509" spans="1:8" x14ac:dyDescent="0.3">
      <c r="A7509" s="22" t="s">
        <v>57</v>
      </c>
      <c r="B7509" t="s">
        <v>66</v>
      </c>
      <c r="C7509" s="23" t="s">
        <v>58</v>
      </c>
      <c r="D7509" s="23" t="s">
        <v>59</v>
      </c>
      <c r="E7509" s="23" t="s">
        <v>60</v>
      </c>
      <c r="F7509" s="23" t="s">
        <v>61</v>
      </c>
      <c r="G7509" t="s">
        <v>62</v>
      </c>
      <c r="H7509" t="s">
        <v>63</v>
      </c>
    </row>
    <row r="7510" spans="1:8" x14ac:dyDescent="0.3">
      <c r="A7510" s="22" t="s">
        <v>64</v>
      </c>
      <c r="B7510" t="s">
        <v>81</v>
      </c>
      <c r="C7510" s="23">
        <v>0.1902845625614889</v>
      </c>
      <c r="D7510" s="23">
        <v>0.12</v>
      </c>
      <c r="E7510" s="23">
        <v>3.9130434782608699E-2</v>
      </c>
      <c r="F7510" s="23">
        <v>0.47169811320754701</v>
      </c>
      <c r="G7510">
        <v>16</v>
      </c>
      <c r="H7510">
        <v>67</v>
      </c>
    </row>
    <row r="7511" spans="1:8" x14ac:dyDescent="0.3">
      <c r="A7511" s="22" t="s">
        <v>64</v>
      </c>
      <c r="B7511" t="s">
        <v>82</v>
      </c>
      <c r="C7511" s="23">
        <v>0.18944973262585871</v>
      </c>
      <c r="D7511" s="23">
        <v>0.13245033112582799</v>
      </c>
      <c r="E7511" s="23">
        <v>3.3734397840998499E-3</v>
      </c>
      <c r="F7511" s="23">
        <v>0.58823529411764697</v>
      </c>
      <c r="G7511">
        <v>18</v>
      </c>
      <c r="H7511">
        <v>67</v>
      </c>
    </row>
    <row r="7512" spans="1:8" x14ac:dyDescent="0.3">
      <c r="A7512" s="22" t="s">
        <v>64</v>
      </c>
      <c r="B7512" t="s">
        <v>83</v>
      </c>
      <c r="C7512" s="23">
        <v>0.1777715574596346</v>
      </c>
      <c r="D7512" s="23">
        <v>0.17647058823529399</v>
      </c>
      <c r="E7512" s="23">
        <v>3.8167938931297697E-2</v>
      </c>
      <c r="F7512" s="23">
        <v>0.55555555555555602</v>
      </c>
      <c r="G7512">
        <v>17</v>
      </c>
      <c r="H7512">
        <v>67</v>
      </c>
    </row>
    <row r="7513" spans="1:8" x14ac:dyDescent="0.3">
      <c r="A7513" s="22" t="s">
        <v>64</v>
      </c>
      <c r="B7513" t="s">
        <v>84</v>
      </c>
      <c r="C7513" s="23">
        <v>0.172415642836239</v>
      </c>
      <c r="D7513" s="23">
        <v>0.12422360248447201</v>
      </c>
      <c r="E7513" s="23">
        <v>2.27272727272727E-2</v>
      </c>
      <c r="F7513" s="23">
        <v>0.61855670103092797</v>
      </c>
      <c r="G7513">
        <v>16</v>
      </c>
      <c r="H7513">
        <v>67</v>
      </c>
    </row>
    <row r="7514" spans="1:8" x14ac:dyDescent="0.3">
      <c r="C7514" s="23"/>
      <c r="D7514" s="23"/>
      <c r="E7514" s="23"/>
      <c r="F7514" s="23"/>
    </row>
    <row r="7515" spans="1:8" ht="57.6" x14ac:dyDescent="0.3">
      <c r="A7515" s="22" t="s">
        <v>1646</v>
      </c>
      <c r="C7515" s="23"/>
      <c r="D7515" s="23"/>
      <c r="E7515" s="23"/>
      <c r="F7515" s="23"/>
    </row>
    <row r="7516" spans="1:8" x14ac:dyDescent="0.3">
      <c r="A7516" s="22" t="s">
        <v>57</v>
      </c>
      <c r="B7516" t="s">
        <v>58</v>
      </c>
      <c r="C7516" t="s">
        <v>59</v>
      </c>
      <c r="D7516" t="s">
        <v>60</v>
      </c>
      <c r="E7516" t="s">
        <v>61</v>
      </c>
      <c r="F7516" t="s">
        <v>62</v>
      </c>
      <c r="G7516" t="s">
        <v>63</v>
      </c>
    </row>
    <row r="7517" spans="1:8" x14ac:dyDescent="0.3">
      <c r="A7517" s="22" t="s">
        <v>64</v>
      </c>
      <c r="B7517" s="23">
        <v>0.30712237269939102</v>
      </c>
      <c r="C7517" s="23">
        <v>0.186046511627907</v>
      </c>
      <c r="D7517" s="23">
        <v>2.7777777777777801E-2</v>
      </c>
      <c r="E7517" s="23">
        <v>0.84615384615384603</v>
      </c>
      <c r="F7517">
        <v>30</v>
      </c>
      <c r="G7517">
        <v>30</v>
      </c>
    </row>
    <row r="7518" spans="1:8" x14ac:dyDescent="0.3">
      <c r="B7518" s="23"/>
      <c r="C7518" s="23"/>
      <c r="D7518" s="23"/>
      <c r="E7518" s="23"/>
    </row>
    <row r="7519" spans="1:8" ht="72" x14ac:dyDescent="0.3">
      <c r="A7519" s="22" t="s">
        <v>1647</v>
      </c>
      <c r="C7519" s="23"/>
      <c r="D7519" s="23"/>
      <c r="E7519" s="23"/>
      <c r="F7519" s="23"/>
    </row>
    <row r="7520" spans="1:8" x14ac:dyDescent="0.3">
      <c r="A7520" s="22" t="s">
        <v>57</v>
      </c>
      <c r="B7520" t="s">
        <v>66</v>
      </c>
      <c r="C7520" s="23" t="s">
        <v>58</v>
      </c>
      <c r="D7520" s="23" t="s">
        <v>59</v>
      </c>
      <c r="E7520" s="23" t="s">
        <v>60</v>
      </c>
      <c r="F7520" s="23" t="s">
        <v>61</v>
      </c>
      <c r="G7520" t="s">
        <v>62</v>
      </c>
      <c r="H7520" t="s">
        <v>63</v>
      </c>
    </row>
    <row r="7521" spans="1:8" x14ac:dyDescent="0.3">
      <c r="A7521" s="22" t="s">
        <v>64</v>
      </c>
      <c r="B7521" t="s">
        <v>67</v>
      </c>
      <c r="C7521" s="23">
        <v>0.30712237269939102</v>
      </c>
      <c r="D7521" s="23">
        <v>0.186046511627907</v>
      </c>
      <c r="E7521" s="23">
        <v>2.7777777777777801E-2</v>
      </c>
      <c r="F7521" s="23">
        <v>0.84615384615384603</v>
      </c>
      <c r="G7521">
        <v>30</v>
      </c>
      <c r="H7521">
        <v>30</v>
      </c>
    </row>
    <row r="7522" spans="1:8" x14ac:dyDescent="0.3">
      <c r="C7522" s="23"/>
      <c r="D7522" s="23"/>
      <c r="E7522" s="23"/>
      <c r="F7522" s="23"/>
    </row>
    <row r="7523" spans="1:8" x14ac:dyDescent="0.3">
      <c r="A7523"/>
      <c r="C7523" s="23"/>
      <c r="D7523" s="23"/>
      <c r="E7523" s="23"/>
      <c r="F7523" s="23"/>
    </row>
    <row r="7524" spans="1:8" x14ac:dyDescent="0.3">
      <c r="A7524"/>
      <c r="C7524" s="23"/>
      <c r="D7524" s="23"/>
      <c r="E7524" s="23"/>
      <c r="F7524" s="23"/>
    </row>
    <row r="7525" spans="1:8" x14ac:dyDescent="0.3">
      <c r="A7525"/>
      <c r="C7525" s="23"/>
      <c r="D7525" s="23"/>
      <c r="E7525" s="23"/>
      <c r="F7525" s="23"/>
    </row>
    <row r="7526" spans="1:8" x14ac:dyDescent="0.3">
      <c r="C7526" s="23"/>
      <c r="D7526" s="23"/>
      <c r="E7526" s="23"/>
      <c r="F7526" s="23"/>
    </row>
    <row r="7527" spans="1:8" ht="72" x14ac:dyDescent="0.3">
      <c r="A7527" s="22" t="s">
        <v>1648</v>
      </c>
      <c r="C7527" s="23"/>
      <c r="D7527" s="23"/>
      <c r="E7527" s="23"/>
      <c r="F7527" s="23"/>
    </row>
    <row r="7528" spans="1:8" x14ac:dyDescent="0.3">
      <c r="A7528" s="22" t="s">
        <v>57</v>
      </c>
      <c r="B7528" t="s">
        <v>66</v>
      </c>
      <c r="C7528" s="23" t="s">
        <v>58</v>
      </c>
      <c r="D7528" s="23" t="s">
        <v>59</v>
      </c>
      <c r="E7528" s="23" t="s">
        <v>60</v>
      </c>
      <c r="F7528" s="23" t="s">
        <v>61</v>
      </c>
      <c r="G7528" t="s">
        <v>62</v>
      </c>
      <c r="H7528" t="s">
        <v>63</v>
      </c>
    </row>
    <row r="7529" spans="1:8" x14ac:dyDescent="0.3">
      <c r="A7529" s="22" t="s">
        <v>64</v>
      </c>
      <c r="B7529" t="s">
        <v>67</v>
      </c>
      <c r="C7529" s="23">
        <v>0.30062129875701532</v>
      </c>
      <c r="D7529" s="23">
        <v>0.186046511627907</v>
      </c>
      <c r="E7529" s="23">
        <v>2.7777777777777801E-2</v>
      </c>
      <c r="F7529" s="23">
        <v>0.84615384615384603</v>
      </c>
      <c r="G7529">
        <v>28</v>
      </c>
      <c r="H7529">
        <v>30</v>
      </c>
    </row>
    <row r="7530" spans="1:8" x14ac:dyDescent="0.3">
      <c r="A7530" s="22" t="s">
        <v>64</v>
      </c>
      <c r="B7530" t="s">
        <v>68</v>
      </c>
      <c r="C7530" s="23">
        <v>0.39813740789265051</v>
      </c>
      <c r="D7530" s="23">
        <v>4.4395116537180902E-2</v>
      </c>
      <c r="E7530" s="23">
        <v>4.4395116537180902E-2</v>
      </c>
      <c r="F7530" s="23">
        <v>0.75187969924812004</v>
      </c>
      <c r="G7530">
        <v>2</v>
      </c>
      <c r="H7530">
        <v>30</v>
      </c>
    </row>
    <row r="7531" spans="1:8" x14ac:dyDescent="0.3">
      <c r="C7531" s="23"/>
      <c r="D7531" s="23"/>
      <c r="E7531" s="23"/>
      <c r="F7531" s="23"/>
    </row>
    <row r="7532" spans="1:8" ht="72" x14ac:dyDescent="0.3">
      <c r="A7532" s="22" t="s">
        <v>1649</v>
      </c>
      <c r="C7532" s="23"/>
      <c r="D7532" s="23"/>
      <c r="E7532" s="23"/>
      <c r="F7532" s="23"/>
    </row>
    <row r="7533" spans="1:8" x14ac:dyDescent="0.3">
      <c r="A7533" s="22" t="s">
        <v>57</v>
      </c>
      <c r="B7533" t="s">
        <v>66</v>
      </c>
      <c r="C7533" s="23" t="s">
        <v>58</v>
      </c>
      <c r="D7533" s="23" t="s">
        <v>59</v>
      </c>
      <c r="E7533" s="23" t="s">
        <v>60</v>
      </c>
      <c r="F7533" s="23" t="s">
        <v>61</v>
      </c>
      <c r="G7533" t="s">
        <v>62</v>
      </c>
      <c r="H7533" t="s">
        <v>63</v>
      </c>
    </row>
    <row r="7534" spans="1:8" x14ac:dyDescent="0.3">
      <c r="A7534" s="22" t="s">
        <v>64</v>
      </c>
      <c r="B7534" t="s">
        <v>67</v>
      </c>
      <c r="C7534" s="23">
        <v>0.30712237269939102</v>
      </c>
      <c r="D7534" s="23">
        <v>0.186046511627907</v>
      </c>
      <c r="E7534" s="23">
        <v>2.7777777777777801E-2</v>
      </c>
      <c r="F7534" s="23">
        <v>0.84615384615384603</v>
      </c>
      <c r="G7534">
        <v>30</v>
      </c>
      <c r="H7534">
        <v>30</v>
      </c>
    </row>
    <row r="7535" spans="1:8" x14ac:dyDescent="0.3">
      <c r="C7535" s="23"/>
      <c r="D7535" s="23"/>
      <c r="E7535" s="23"/>
      <c r="F7535" s="23"/>
    </row>
    <row r="7536" spans="1:8" ht="72" x14ac:dyDescent="0.3">
      <c r="A7536" s="22" t="s">
        <v>1650</v>
      </c>
      <c r="C7536" s="23"/>
      <c r="D7536" s="23"/>
      <c r="E7536" s="23"/>
      <c r="F7536" s="23"/>
    </row>
    <row r="7537" spans="1:8" x14ac:dyDescent="0.3">
      <c r="A7537" s="22" t="s">
        <v>57</v>
      </c>
      <c r="B7537" t="s">
        <v>66</v>
      </c>
      <c r="C7537" s="23" t="s">
        <v>58</v>
      </c>
      <c r="D7537" s="23" t="s">
        <v>59</v>
      </c>
      <c r="E7537" s="23" t="s">
        <v>60</v>
      </c>
      <c r="F7537" s="23" t="s">
        <v>61</v>
      </c>
      <c r="G7537" t="s">
        <v>62</v>
      </c>
      <c r="H7537" t="s">
        <v>63</v>
      </c>
    </row>
    <row r="7538" spans="1:8" x14ac:dyDescent="0.3">
      <c r="A7538" s="22" t="s">
        <v>64</v>
      </c>
      <c r="B7538" t="s">
        <v>67</v>
      </c>
      <c r="C7538" s="23">
        <v>0.29581898434693438</v>
      </c>
      <c r="D7538" s="23">
        <v>0.19323671497584499</v>
      </c>
      <c r="E7538" s="23">
        <v>2.7777777777777801E-2</v>
      </c>
      <c r="F7538" s="23">
        <v>0.84615384615384603</v>
      </c>
      <c r="G7538">
        <v>29</v>
      </c>
      <c r="H7538">
        <v>30</v>
      </c>
    </row>
    <row r="7539" spans="1:8" x14ac:dyDescent="0.3">
      <c r="A7539" s="22" t="s">
        <v>64</v>
      </c>
      <c r="B7539" t="s">
        <v>68</v>
      </c>
      <c r="C7539" s="23">
        <v>0.634920634920635</v>
      </c>
      <c r="D7539" s="23">
        <v>0.634920634920635</v>
      </c>
      <c r="E7539" s="23">
        <v>0.634920634920635</v>
      </c>
      <c r="F7539" s="23">
        <v>0.634920634920635</v>
      </c>
      <c r="G7539">
        <v>1</v>
      </c>
      <c r="H7539">
        <v>30</v>
      </c>
    </row>
    <row r="7540" spans="1:8" x14ac:dyDescent="0.3">
      <c r="C7540" s="23"/>
      <c r="D7540" s="23"/>
      <c r="E7540" s="23"/>
      <c r="F7540" s="23"/>
    </row>
    <row r="7541" spans="1:8" ht="72" x14ac:dyDescent="0.3">
      <c r="A7541" s="22" t="s">
        <v>1651</v>
      </c>
      <c r="C7541" s="23"/>
      <c r="D7541" s="23"/>
      <c r="E7541" s="23"/>
      <c r="F7541" s="23"/>
    </row>
    <row r="7542" spans="1:8" x14ac:dyDescent="0.3">
      <c r="A7542" s="22" t="s">
        <v>57</v>
      </c>
      <c r="B7542" t="s">
        <v>66</v>
      </c>
      <c r="C7542" s="23" t="s">
        <v>58</v>
      </c>
      <c r="D7542" s="23" t="s">
        <v>59</v>
      </c>
      <c r="E7542" s="23" t="s">
        <v>60</v>
      </c>
      <c r="F7542" s="23" t="s">
        <v>61</v>
      </c>
      <c r="G7542" t="s">
        <v>62</v>
      </c>
      <c r="H7542" t="s">
        <v>63</v>
      </c>
    </row>
    <row r="7543" spans="1:8" x14ac:dyDescent="0.3">
      <c r="A7543" s="22" t="s">
        <v>64</v>
      </c>
      <c r="B7543" t="s">
        <v>68</v>
      </c>
      <c r="C7543" s="23">
        <v>0.30712237269939102</v>
      </c>
      <c r="D7543" s="23">
        <v>0.186046511627907</v>
      </c>
      <c r="E7543" s="23">
        <v>2.7777777777777801E-2</v>
      </c>
      <c r="F7543" s="23">
        <v>0.84615384615384603</v>
      </c>
      <c r="G7543">
        <v>30</v>
      </c>
      <c r="H7543">
        <v>30</v>
      </c>
    </row>
    <row r="7544" spans="1:8" x14ac:dyDescent="0.3">
      <c r="C7544" s="23"/>
      <c r="D7544" s="23"/>
      <c r="E7544" s="23"/>
      <c r="F7544" s="23"/>
    </row>
    <row r="7545" spans="1:8" ht="72" x14ac:dyDescent="0.3">
      <c r="A7545" s="22" t="s">
        <v>1652</v>
      </c>
      <c r="C7545" s="23"/>
      <c r="D7545" s="23"/>
      <c r="E7545" s="23"/>
      <c r="F7545" s="23"/>
    </row>
    <row r="7546" spans="1:8" x14ac:dyDescent="0.3">
      <c r="A7546" s="22" t="s">
        <v>57</v>
      </c>
      <c r="B7546" t="s">
        <v>66</v>
      </c>
      <c r="C7546" s="23" t="s">
        <v>58</v>
      </c>
      <c r="D7546" s="23" t="s">
        <v>59</v>
      </c>
      <c r="E7546" s="23" t="s">
        <v>60</v>
      </c>
      <c r="F7546" s="23" t="s">
        <v>61</v>
      </c>
      <c r="G7546" t="s">
        <v>62</v>
      </c>
      <c r="H7546" t="s">
        <v>63</v>
      </c>
    </row>
    <row r="7547" spans="1:8" x14ac:dyDescent="0.3">
      <c r="A7547" s="22" t="s">
        <v>64</v>
      </c>
      <c r="B7547" t="s">
        <v>67</v>
      </c>
      <c r="C7547" s="23">
        <v>0.30825797524931092</v>
      </c>
      <c r="D7547" s="23">
        <v>0.186046511627907</v>
      </c>
      <c r="E7547" s="23">
        <v>2.7777777777777801E-2</v>
      </c>
      <c r="F7547" s="23">
        <v>0.84615384615384603</v>
      </c>
      <c r="G7547">
        <v>26</v>
      </c>
      <c r="H7547">
        <v>30</v>
      </c>
    </row>
    <row r="7548" spans="1:8" x14ac:dyDescent="0.3">
      <c r="A7548" s="22" t="s">
        <v>64</v>
      </c>
      <c r="B7548" t="s">
        <v>68</v>
      </c>
      <c r="C7548" s="23">
        <v>0.29974095612491181</v>
      </c>
      <c r="D7548" s="23">
        <v>0.115384615384615</v>
      </c>
      <c r="E7548" s="23">
        <v>3.03030303030303E-2</v>
      </c>
      <c r="F7548" s="23">
        <v>0.80482897384305796</v>
      </c>
      <c r="G7548">
        <v>4</v>
      </c>
      <c r="H7548">
        <v>30</v>
      </c>
    </row>
    <row r="7549" spans="1:8" x14ac:dyDescent="0.3">
      <c r="C7549" s="23"/>
      <c r="D7549" s="23"/>
      <c r="E7549" s="23"/>
      <c r="F7549" s="23"/>
    </row>
    <row r="7550" spans="1:8" ht="72" x14ac:dyDescent="0.3">
      <c r="A7550" s="22" t="s">
        <v>1653</v>
      </c>
      <c r="C7550" s="23"/>
      <c r="D7550" s="23"/>
      <c r="E7550" s="23"/>
      <c r="F7550" s="23"/>
    </row>
    <row r="7551" spans="1:8" x14ac:dyDescent="0.3">
      <c r="A7551" s="22" t="s">
        <v>57</v>
      </c>
      <c r="B7551" t="s">
        <v>66</v>
      </c>
      <c r="C7551" s="23" t="s">
        <v>58</v>
      </c>
      <c r="D7551" s="23" t="s">
        <v>59</v>
      </c>
      <c r="E7551" s="23" t="s">
        <v>60</v>
      </c>
      <c r="F7551" s="23" t="s">
        <v>61</v>
      </c>
      <c r="G7551" t="s">
        <v>62</v>
      </c>
      <c r="H7551" t="s">
        <v>63</v>
      </c>
    </row>
    <row r="7552" spans="1:8" x14ac:dyDescent="0.3">
      <c r="A7552" s="22" t="s">
        <v>64</v>
      </c>
      <c r="B7552" t="s">
        <v>67</v>
      </c>
      <c r="C7552" s="23">
        <v>0.29264579315745992</v>
      </c>
      <c r="D7552" s="23">
        <v>0.24844720496894401</v>
      </c>
      <c r="E7552" s="23">
        <v>2.7777777777777801E-2</v>
      </c>
      <c r="F7552" s="23">
        <v>0.84615384615384603</v>
      </c>
      <c r="G7552">
        <v>23</v>
      </c>
      <c r="H7552">
        <v>30</v>
      </c>
    </row>
    <row r="7553" spans="1:8" x14ac:dyDescent="0.3">
      <c r="A7553" s="22" t="s">
        <v>64</v>
      </c>
      <c r="B7553" t="s">
        <v>68</v>
      </c>
      <c r="C7553" s="23">
        <v>0.35468827690859289</v>
      </c>
      <c r="D7553" s="23">
        <v>0.51792828685258996</v>
      </c>
      <c r="E7553" s="23">
        <v>7.0671378091872794E-2</v>
      </c>
      <c r="F7553" s="23">
        <v>0.80482897384305796</v>
      </c>
      <c r="G7553">
        <v>7</v>
      </c>
      <c r="H7553">
        <v>30</v>
      </c>
    </row>
    <row r="7554" spans="1:8" x14ac:dyDescent="0.3">
      <c r="C7554" s="23"/>
      <c r="D7554" s="23"/>
      <c r="E7554" s="23"/>
      <c r="F7554" s="23"/>
    </row>
    <row r="7555" spans="1:8" ht="72" x14ac:dyDescent="0.3">
      <c r="A7555" s="22" t="s">
        <v>1654</v>
      </c>
      <c r="C7555" s="23"/>
      <c r="D7555" s="23"/>
      <c r="E7555" s="23"/>
      <c r="F7555" s="23"/>
    </row>
    <row r="7556" spans="1:8" x14ac:dyDescent="0.3">
      <c r="A7556" s="22" t="s">
        <v>57</v>
      </c>
      <c r="B7556" t="s">
        <v>66</v>
      </c>
      <c r="C7556" s="23" t="s">
        <v>58</v>
      </c>
      <c r="D7556" s="23" t="s">
        <v>59</v>
      </c>
      <c r="E7556" s="23" t="s">
        <v>60</v>
      </c>
      <c r="F7556" s="23" t="s">
        <v>61</v>
      </c>
      <c r="G7556" t="s">
        <v>62</v>
      </c>
      <c r="H7556" t="s">
        <v>63</v>
      </c>
    </row>
    <row r="7557" spans="1:8" x14ac:dyDescent="0.3">
      <c r="A7557" s="22" t="s">
        <v>64</v>
      </c>
      <c r="B7557" t="s">
        <v>67</v>
      </c>
      <c r="C7557" s="23">
        <v>0.32951325539141119</v>
      </c>
      <c r="D7557" s="23">
        <v>0.24844720496894401</v>
      </c>
      <c r="E7557" s="23">
        <v>2.7777777777777801E-2</v>
      </c>
      <c r="F7557" s="23">
        <v>0.80482897384305796</v>
      </c>
      <c r="G7557">
        <v>24</v>
      </c>
      <c r="H7557">
        <v>30</v>
      </c>
    </row>
    <row r="7558" spans="1:8" x14ac:dyDescent="0.3">
      <c r="A7558" s="22" t="s">
        <v>64</v>
      </c>
      <c r="B7558" t="s">
        <v>68</v>
      </c>
      <c r="C7558" s="23">
        <v>0.21755884193131009</v>
      </c>
      <c r="D7558" s="23">
        <v>7.2046109510086498E-2</v>
      </c>
      <c r="E7558" s="23">
        <v>5.2513128282070498E-2</v>
      </c>
      <c r="F7558" s="23">
        <v>0.84615384615384603</v>
      </c>
      <c r="G7558">
        <v>6</v>
      </c>
      <c r="H7558">
        <v>30</v>
      </c>
    </row>
    <row r="7559" spans="1:8" x14ac:dyDescent="0.3">
      <c r="C7559" s="23"/>
      <c r="D7559" s="23"/>
      <c r="E7559" s="23"/>
      <c r="F7559" s="23"/>
    </row>
    <row r="7560" spans="1:8" ht="86.4" x14ac:dyDescent="0.3">
      <c r="A7560" s="22" t="s">
        <v>1655</v>
      </c>
      <c r="C7560" s="23"/>
      <c r="D7560" s="23"/>
      <c r="E7560" s="23"/>
      <c r="F7560" s="23"/>
    </row>
    <row r="7561" spans="1:8" x14ac:dyDescent="0.3">
      <c r="A7561" s="22" t="s">
        <v>57</v>
      </c>
      <c r="B7561" t="s">
        <v>66</v>
      </c>
      <c r="C7561" s="23" t="s">
        <v>58</v>
      </c>
      <c r="D7561" s="23" t="s">
        <v>59</v>
      </c>
      <c r="E7561" s="23" t="s">
        <v>60</v>
      </c>
      <c r="F7561" s="23" t="s">
        <v>61</v>
      </c>
      <c r="G7561" t="s">
        <v>62</v>
      </c>
      <c r="H7561" t="s">
        <v>63</v>
      </c>
    </row>
    <row r="7562" spans="1:8" x14ac:dyDescent="0.3">
      <c r="A7562" s="22" t="s">
        <v>64</v>
      </c>
      <c r="B7562" t="s">
        <v>67</v>
      </c>
      <c r="C7562" s="23">
        <v>0.31994467839041091</v>
      </c>
      <c r="D7562" s="23">
        <v>0.186046511627907</v>
      </c>
      <c r="E7562" s="23">
        <v>2.7777777777777801E-2</v>
      </c>
      <c r="F7562" s="23">
        <v>0.84615384615384603</v>
      </c>
      <c r="G7562">
        <v>28</v>
      </c>
      <c r="H7562">
        <v>30</v>
      </c>
    </row>
    <row r="7563" spans="1:8" x14ac:dyDescent="0.3">
      <c r="A7563" s="22" t="s">
        <v>64</v>
      </c>
      <c r="B7563" t="s">
        <v>68</v>
      </c>
      <c r="C7563" s="23">
        <v>0.12761009302511259</v>
      </c>
      <c r="D7563" s="23">
        <v>6.1983471074380202E-2</v>
      </c>
      <c r="E7563" s="23">
        <v>6.1983471074380202E-2</v>
      </c>
      <c r="F7563" s="23">
        <v>0.19323671497584499</v>
      </c>
      <c r="G7563">
        <v>2</v>
      </c>
      <c r="H7563">
        <v>30</v>
      </c>
    </row>
    <row r="7564" spans="1:8" x14ac:dyDescent="0.3">
      <c r="C7564" s="23"/>
      <c r="D7564" s="23"/>
      <c r="E7564" s="23"/>
      <c r="F7564" s="23"/>
    </row>
    <row r="7565" spans="1:8" ht="86.4" x14ac:dyDescent="0.3">
      <c r="A7565" s="22" t="s">
        <v>1656</v>
      </c>
      <c r="C7565" s="23"/>
      <c r="D7565" s="23"/>
      <c r="E7565" s="23"/>
      <c r="F7565" s="23"/>
    </row>
    <row r="7566" spans="1:8" x14ac:dyDescent="0.3">
      <c r="A7566" s="22" t="s">
        <v>57</v>
      </c>
      <c r="B7566" t="s">
        <v>66</v>
      </c>
      <c r="C7566" s="23" t="s">
        <v>58</v>
      </c>
      <c r="D7566" s="23" t="s">
        <v>59</v>
      </c>
      <c r="E7566" s="23" t="s">
        <v>60</v>
      </c>
      <c r="F7566" s="23" t="s">
        <v>61</v>
      </c>
      <c r="G7566" t="s">
        <v>62</v>
      </c>
      <c r="H7566" t="s">
        <v>63</v>
      </c>
    </row>
    <row r="7567" spans="1:8" x14ac:dyDescent="0.3">
      <c r="A7567" s="22" t="s">
        <v>64</v>
      </c>
      <c r="B7567" t="s">
        <v>67</v>
      </c>
      <c r="C7567" s="23">
        <v>0.30712237269939102</v>
      </c>
      <c r="D7567" s="23">
        <v>0.186046511627907</v>
      </c>
      <c r="E7567" s="23">
        <v>2.7777777777777801E-2</v>
      </c>
      <c r="F7567" s="23">
        <v>0.84615384615384603</v>
      </c>
      <c r="G7567">
        <v>30</v>
      </c>
      <c r="H7567">
        <v>30</v>
      </c>
    </row>
    <row r="7568" spans="1:8" x14ac:dyDescent="0.3">
      <c r="C7568" s="23"/>
      <c r="D7568" s="23"/>
      <c r="E7568" s="23"/>
      <c r="F7568" s="23"/>
    </row>
    <row r="7569" spans="1:8" ht="72" x14ac:dyDescent="0.3">
      <c r="A7569" s="22" t="s">
        <v>1657</v>
      </c>
      <c r="C7569" s="23"/>
      <c r="D7569" s="23"/>
      <c r="E7569" s="23"/>
      <c r="F7569" s="23"/>
    </row>
    <row r="7570" spans="1:8" x14ac:dyDescent="0.3">
      <c r="A7570" s="22" t="s">
        <v>57</v>
      </c>
      <c r="B7570" t="s">
        <v>66</v>
      </c>
      <c r="C7570" s="23" t="s">
        <v>58</v>
      </c>
      <c r="D7570" s="23" t="s">
        <v>59</v>
      </c>
      <c r="E7570" s="23" t="s">
        <v>60</v>
      </c>
      <c r="F7570" s="23" t="s">
        <v>61</v>
      </c>
      <c r="G7570" t="s">
        <v>62</v>
      </c>
      <c r="H7570" t="s">
        <v>63</v>
      </c>
    </row>
    <row r="7571" spans="1:8" x14ac:dyDescent="0.3">
      <c r="A7571" s="22" t="s">
        <v>64</v>
      </c>
      <c r="B7571" t="s">
        <v>67</v>
      </c>
      <c r="C7571" s="23">
        <v>0.33928415985023208</v>
      </c>
      <c r="D7571" s="23">
        <v>0.49382716049382702</v>
      </c>
      <c r="E7571" s="23">
        <v>4.4395116537180902E-2</v>
      </c>
      <c r="F7571" s="23">
        <v>0.84615384615384603</v>
      </c>
      <c r="G7571">
        <v>15</v>
      </c>
      <c r="H7571">
        <v>30</v>
      </c>
    </row>
    <row r="7572" spans="1:8" x14ac:dyDescent="0.3">
      <c r="A7572" s="22" t="s">
        <v>64</v>
      </c>
      <c r="B7572" t="s">
        <v>68</v>
      </c>
      <c r="C7572" s="23">
        <v>0.27496058554855002</v>
      </c>
      <c r="D7572" s="23">
        <v>0.19323671497584499</v>
      </c>
      <c r="E7572" s="23">
        <v>2.7777777777777801E-2</v>
      </c>
      <c r="F7572" s="23">
        <v>0.80482897384305796</v>
      </c>
      <c r="G7572">
        <v>15</v>
      </c>
      <c r="H7572">
        <v>30</v>
      </c>
    </row>
    <row r="7573" spans="1:8" x14ac:dyDescent="0.3">
      <c r="C7573" s="23"/>
      <c r="D7573" s="23"/>
      <c r="E7573" s="23"/>
      <c r="F7573" s="23"/>
    </row>
    <row r="7574" spans="1:8" ht="72" x14ac:dyDescent="0.3">
      <c r="A7574" s="22" t="s">
        <v>1658</v>
      </c>
      <c r="C7574" s="23"/>
      <c r="D7574" s="23"/>
      <c r="E7574" s="23"/>
      <c r="F7574" s="23"/>
    </row>
    <row r="7575" spans="1:8" x14ac:dyDescent="0.3">
      <c r="A7575" s="22" t="s">
        <v>57</v>
      </c>
      <c r="B7575" t="s">
        <v>66</v>
      </c>
      <c r="C7575" s="23" t="s">
        <v>58</v>
      </c>
      <c r="D7575" s="23" t="s">
        <v>59</v>
      </c>
      <c r="E7575" s="23" t="s">
        <v>60</v>
      </c>
      <c r="F7575" s="23" t="s">
        <v>61</v>
      </c>
      <c r="G7575" t="s">
        <v>62</v>
      </c>
      <c r="H7575" t="s">
        <v>63</v>
      </c>
    </row>
    <row r="7576" spans="1:8" x14ac:dyDescent="0.3">
      <c r="A7576" s="22" t="s">
        <v>64</v>
      </c>
      <c r="B7576" t="s">
        <v>67</v>
      </c>
      <c r="C7576" s="23">
        <v>0.29803792667958717</v>
      </c>
      <c r="D7576" s="23">
        <v>0.19323671497584499</v>
      </c>
      <c r="E7576" s="23">
        <v>2.7777777777777801E-2</v>
      </c>
      <c r="F7576" s="23">
        <v>0.80482897384305796</v>
      </c>
      <c r="G7576">
        <v>27</v>
      </c>
      <c r="H7576">
        <v>30</v>
      </c>
    </row>
    <row r="7577" spans="1:8" x14ac:dyDescent="0.3">
      <c r="A7577" s="22" t="s">
        <v>64</v>
      </c>
      <c r="B7577" t="s">
        <v>68</v>
      </c>
      <c r="C7577" s="23">
        <v>0.3888823868776255</v>
      </c>
      <c r="D7577" s="23">
        <v>0.84615384615384603</v>
      </c>
      <c r="E7577" s="23">
        <v>7.2046109510086498E-2</v>
      </c>
      <c r="F7577" s="23">
        <v>0.84615384615384603</v>
      </c>
      <c r="G7577">
        <v>3</v>
      </c>
      <c r="H7577">
        <v>30</v>
      </c>
    </row>
    <row r="7578" spans="1:8" x14ac:dyDescent="0.3">
      <c r="C7578" s="23"/>
      <c r="D7578" s="23"/>
      <c r="E7578" s="23"/>
      <c r="F7578" s="23"/>
    </row>
    <row r="7579" spans="1:8" ht="57.6" x14ac:dyDescent="0.3">
      <c r="A7579" s="22" t="s">
        <v>1659</v>
      </c>
      <c r="C7579" s="23"/>
      <c r="D7579" s="23"/>
      <c r="E7579" s="23"/>
      <c r="F7579" s="23"/>
    </row>
    <row r="7580" spans="1:8" x14ac:dyDescent="0.3">
      <c r="A7580" s="22" t="s">
        <v>57</v>
      </c>
      <c r="B7580" t="s">
        <v>66</v>
      </c>
      <c r="C7580" s="23" t="s">
        <v>58</v>
      </c>
      <c r="D7580" s="23" t="s">
        <v>59</v>
      </c>
      <c r="E7580" s="23" t="s">
        <v>60</v>
      </c>
      <c r="F7580" s="23" t="s">
        <v>61</v>
      </c>
      <c r="G7580" t="s">
        <v>62</v>
      </c>
      <c r="H7580" t="s">
        <v>63</v>
      </c>
    </row>
    <row r="7581" spans="1:8" x14ac:dyDescent="0.3">
      <c r="A7581" s="22" t="s">
        <v>64</v>
      </c>
      <c r="B7581" t="s">
        <v>81</v>
      </c>
      <c r="C7581" s="23">
        <v>0.31834153187893871</v>
      </c>
      <c r="D7581" s="23">
        <v>0.49603174603174599</v>
      </c>
      <c r="E7581" s="23">
        <v>2.7777777777777801E-2</v>
      </c>
      <c r="F7581" s="23">
        <v>0.80482897384305796</v>
      </c>
      <c r="G7581">
        <v>9</v>
      </c>
      <c r="H7581">
        <v>30</v>
      </c>
    </row>
    <row r="7582" spans="1:8" x14ac:dyDescent="0.3">
      <c r="A7582" s="22" t="s">
        <v>64</v>
      </c>
      <c r="B7582" t="s">
        <v>82</v>
      </c>
      <c r="C7582" s="23">
        <v>0.31465004324416718</v>
      </c>
      <c r="D7582" s="23">
        <v>0.49382716049382702</v>
      </c>
      <c r="E7582" s="23">
        <v>4.4395116537180902E-2</v>
      </c>
      <c r="F7582" s="23">
        <v>0.75187969924812004</v>
      </c>
      <c r="G7582">
        <v>7</v>
      </c>
      <c r="H7582">
        <v>30</v>
      </c>
    </row>
    <row r="7583" spans="1:8" x14ac:dyDescent="0.3">
      <c r="A7583" s="22" t="s">
        <v>64</v>
      </c>
      <c r="B7583" t="s">
        <v>83</v>
      </c>
      <c r="C7583" s="23">
        <v>0.23087720890100991</v>
      </c>
      <c r="D7583" s="23">
        <v>0.24844720496894401</v>
      </c>
      <c r="E7583" s="23">
        <v>2.8735632183908E-2</v>
      </c>
      <c r="F7583" s="23">
        <v>0.53619302949061698</v>
      </c>
      <c r="G7583">
        <v>7</v>
      </c>
      <c r="H7583">
        <v>30</v>
      </c>
    </row>
    <row r="7584" spans="1:8" x14ac:dyDescent="0.3">
      <c r="A7584" s="22" t="s">
        <v>64</v>
      </c>
      <c r="B7584" t="s">
        <v>84</v>
      </c>
      <c r="C7584" s="23">
        <v>0.3614152327221487</v>
      </c>
      <c r="D7584" s="23">
        <v>0.528169014084507</v>
      </c>
      <c r="E7584" s="23">
        <v>5.2513128282070498E-2</v>
      </c>
      <c r="F7584" s="23">
        <v>0.84615384615384603</v>
      </c>
      <c r="G7584">
        <v>7</v>
      </c>
      <c r="H7584">
        <v>30</v>
      </c>
    </row>
    <row r="7585" spans="1:8" x14ac:dyDescent="0.3">
      <c r="C7585" s="23"/>
      <c r="D7585" s="23"/>
      <c r="E7585" s="23"/>
      <c r="F7585" s="23"/>
    </row>
    <row r="7586" spans="1:8" ht="57.6" x14ac:dyDescent="0.3">
      <c r="A7586" s="22" t="s">
        <v>1660</v>
      </c>
    </row>
    <row r="7587" spans="1:8" x14ac:dyDescent="0.3">
      <c r="A7587" s="22" t="s">
        <v>57</v>
      </c>
      <c r="B7587" s="23" t="s">
        <v>58</v>
      </c>
      <c r="C7587" s="23" t="s">
        <v>59</v>
      </c>
      <c r="D7587" s="23" t="s">
        <v>60</v>
      </c>
      <c r="E7587" s="23" t="s">
        <v>61</v>
      </c>
      <c r="F7587" t="s">
        <v>62</v>
      </c>
      <c r="G7587" t="s">
        <v>63</v>
      </c>
    </row>
    <row r="7588" spans="1:8" x14ac:dyDescent="0.3">
      <c r="A7588" s="22" t="s">
        <v>64</v>
      </c>
      <c r="B7588" s="23">
        <v>3.212724645039907E-2</v>
      </c>
      <c r="C7588" s="23">
        <v>2.5974025974026E-2</v>
      </c>
      <c r="D7588" s="23">
        <v>7.1839080459770097E-3</v>
      </c>
      <c r="E7588" s="23">
        <v>0.121359223300971</v>
      </c>
      <c r="F7588">
        <v>39</v>
      </c>
      <c r="G7588">
        <v>39</v>
      </c>
    </row>
    <row r="7590" spans="1:8" ht="72" x14ac:dyDescent="0.3">
      <c r="A7590" s="22" t="s">
        <v>1661</v>
      </c>
      <c r="C7590" s="23"/>
      <c r="D7590" s="23"/>
      <c r="E7590" s="23"/>
      <c r="F7590" s="23"/>
    </row>
    <row r="7591" spans="1:8" x14ac:dyDescent="0.3">
      <c r="A7591" s="22" t="s">
        <v>57</v>
      </c>
      <c r="B7591" t="s">
        <v>66</v>
      </c>
      <c r="C7591" s="23" t="s">
        <v>58</v>
      </c>
      <c r="D7591" s="23" t="s">
        <v>59</v>
      </c>
      <c r="E7591" s="23" t="s">
        <v>60</v>
      </c>
      <c r="F7591" s="23" t="s">
        <v>61</v>
      </c>
      <c r="G7591" t="s">
        <v>62</v>
      </c>
      <c r="H7591" t="s">
        <v>63</v>
      </c>
    </row>
    <row r="7592" spans="1:8" x14ac:dyDescent="0.3">
      <c r="A7592" s="22" t="s">
        <v>64</v>
      </c>
      <c r="B7592" t="s">
        <v>67</v>
      </c>
      <c r="C7592" s="23">
        <v>3.212724645039907E-2</v>
      </c>
      <c r="D7592" s="23">
        <v>2.5974025974026E-2</v>
      </c>
      <c r="E7592" s="23">
        <v>7.1839080459770097E-3</v>
      </c>
      <c r="F7592" s="23">
        <v>0.121359223300971</v>
      </c>
      <c r="G7592">
        <v>39</v>
      </c>
      <c r="H7592">
        <v>39</v>
      </c>
    </row>
    <row r="7593" spans="1:8" x14ac:dyDescent="0.3">
      <c r="C7593" s="23"/>
      <c r="D7593" s="23"/>
      <c r="E7593" s="23"/>
      <c r="F7593" s="23"/>
    </row>
    <row r="7594" spans="1:8" x14ac:dyDescent="0.3">
      <c r="A7594"/>
      <c r="C7594" s="23"/>
      <c r="D7594" s="23"/>
      <c r="E7594" s="23"/>
      <c r="F7594" s="23"/>
    </row>
    <row r="7595" spans="1:8" x14ac:dyDescent="0.3">
      <c r="A7595"/>
      <c r="C7595" s="23"/>
      <c r="D7595" s="23"/>
      <c r="E7595" s="23"/>
      <c r="F7595" s="23"/>
    </row>
    <row r="7596" spans="1:8" x14ac:dyDescent="0.3">
      <c r="A7596"/>
      <c r="C7596" s="23"/>
      <c r="D7596" s="23"/>
      <c r="E7596" s="23"/>
      <c r="F7596" s="23"/>
    </row>
    <row r="7597" spans="1:8" x14ac:dyDescent="0.3">
      <c r="C7597" s="23"/>
      <c r="D7597" s="23"/>
      <c r="E7597" s="23"/>
      <c r="F7597" s="23"/>
    </row>
    <row r="7598" spans="1:8" ht="72" x14ac:dyDescent="0.3">
      <c r="A7598" s="22" t="s">
        <v>1662</v>
      </c>
      <c r="C7598" s="23"/>
      <c r="D7598" s="23"/>
      <c r="E7598" s="23"/>
      <c r="F7598" s="23"/>
    </row>
    <row r="7599" spans="1:8" x14ac:dyDescent="0.3">
      <c r="A7599" s="22" t="s">
        <v>57</v>
      </c>
      <c r="B7599" t="s">
        <v>66</v>
      </c>
      <c r="C7599" s="23" t="s">
        <v>58</v>
      </c>
      <c r="D7599" s="23" t="s">
        <v>59</v>
      </c>
      <c r="E7599" s="23" t="s">
        <v>60</v>
      </c>
      <c r="F7599" s="23" t="s">
        <v>61</v>
      </c>
      <c r="G7599" t="s">
        <v>62</v>
      </c>
      <c r="H7599" t="s">
        <v>63</v>
      </c>
    </row>
    <row r="7600" spans="1:8" x14ac:dyDescent="0.3">
      <c r="A7600" s="22" t="s">
        <v>64</v>
      </c>
      <c r="B7600" t="s">
        <v>67</v>
      </c>
      <c r="C7600" s="23">
        <v>3.2388554034130879E-2</v>
      </c>
      <c r="D7600" s="23">
        <v>2.5000000000000001E-2</v>
      </c>
      <c r="E7600" s="23">
        <v>7.1839080459770097E-3</v>
      </c>
      <c r="F7600" s="23">
        <v>0.121359223300971</v>
      </c>
      <c r="G7600">
        <v>38</v>
      </c>
      <c r="H7600">
        <v>39</v>
      </c>
    </row>
    <row r="7601" spans="1:8" x14ac:dyDescent="0.3">
      <c r="A7601" s="22" t="s">
        <v>64</v>
      </c>
      <c r="B7601" t="s">
        <v>68</v>
      </c>
      <c r="C7601" s="23">
        <v>2.21975582685905E-2</v>
      </c>
      <c r="D7601" s="23">
        <v>2.21975582685905E-2</v>
      </c>
      <c r="E7601" s="23">
        <v>2.21975582685905E-2</v>
      </c>
      <c r="F7601" s="23">
        <v>2.21975582685905E-2</v>
      </c>
      <c r="G7601">
        <v>1</v>
      </c>
      <c r="H7601">
        <v>39</v>
      </c>
    </row>
    <row r="7602" spans="1:8" x14ac:dyDescent="0.3">
      <c r="C7602" s="23"/>
      <c r="D7602" s="23"/>
      <c r="E7602" s="23"/>
      <c r="F7602" s="23"/>
    </row>
    <row r="7603" spans="1:8" ht="72" x14ac:dyDescent="0.3">
      <c r="A7603" s="22" t="s">
        <v>1663</v>
      </c>
      <c r="C7603" s="23"/>
      <c r="D7603" s="23"/>
      <c r="E7603" s="23"/>
      <c r="F7603" s="23"/>
    </row>
    <row r="7604" spans="1:8" x14ac:dyDescent="0.3">
      <c r="A7604" s="22" t="s">
        <v>57</v>
      </c>
      <c r="B7604" t="s">
        <v>66</v>
      </c>
      <c r="C7604" s="23" t="s">
        <v>58</v>
      </c>
      <c r="D7604" s="23" t="s">
        <v>59</v>
      </c>
      <c r="E7604" s="23" t="s">
        <v>60</v>
      </c>
      <c r="F7604" s="23" t="s">
        <v>61</v>
      </c>
      <c r="G7604" t="s">
        <v>62</v>
      </c>
      <c r="H7604" t="s">
        <v>63</v>
      </c>
    </row>
    <row r="7605" spans="1:8" x14ac:dyDescent="0.3">
      <c r="A7605" s="22" t="s">
        <v>64</v>
      </c>
      <c r="B7605" t="s">
        <v>67</v>
      </c>
      <c r="C7605" s="23">
        <v>3.1844880755484757E-2</v>
      </c>
      <c r="D7605" s="23">
        <v>2.4E-2</v>
      </c>
      <c r="E7605" s="23">
        <v>7.1839080459770097E-3</v>
      </c>
      <c r="F7605" s="23">
        <v>0.121359223300971</v>
      </c>
      <c r="G7605">
        <v>38</v>
      </c>
      <c r="H7605">
        <v>39</v>
      </c>
    </row>
    <row r="7606" spans="1:8" x14ac:dyDescent="0.3">
      <c r="A7606" s="22" t="s">
        <v>64</v>
      </c>
      <c r="B7606" t="s">
        <v>68</v>
      </c>
      <c r="C7606" s="23">
        <v>4.2857142857142899E-2</v>
      </c>
      <c r="D7606" s="23">
        <v>4.2857142857142899E-2</v>
      </c>
      <c r="E7606" s="23">
        <v>4.2857142857142899E-2</v>
      </c>
      <c r="F7606" s="23">
        <v>4.2857142857142899E-2</v>
      </c>
      <c r="G7606">
        <v>1</v>
      </c>
      <c r="H7606">
        <v>39</v>
      </c>
    </row>
    <row r="7607" spans="1:8" x14ac:dyDescent="0.3">
      <c r="C7607" s="23"/>
      <c r="D7607" s="23"/>
      <c r="E7607" s="23"/>
      <c r="F7607" s="23"/>
    </row>
    <row r="7608" spans="1:8" ht="72" x14ac:dyDescent="0.3">
      <c r="A7608" s="22" t="s">
        <v>1664</v>
      </c>
      <c r="C7608" s="23"/>
      <c r="D7608" s="23"/>
      <c r="E7608" s="23"/>
      <c r="F7608" s="23"/>
    </row>
    <row r="7609" spans="1:8" x14ac:dyDescent="0.3">
      <c r="A7609" s="22" t="s">
        <v>57</v>
      </c>
      <c r="B7609" t="s">
        <v>66</v>
      </c>
      <c r="C7609" s="23" t="s">
        <v>58</v>
      </c>
      <c r="D7609" s="23" t="s">
        <v>59</v>
      </c>
      <c r="E7609" s="23" t="s">
        <v>60</v>
      </c>
      <c r="F7609" s="23" t="s">
        <v>61</v>
      </c>
      <c r="G7609" t="s">
        <v>62</v>
      </c>
      <c r="H7609" t="s">
        <v>63</v>
      </c>
    </row>
    <row r="7610" spans="1:8" x14ac:dyDescent="0.3">
      <c r="A7610" s="22" t="s">
        <v>64</v>
      </c>
      <c r="B7610" t="s">
        <v>67</v>
      </c>
      <c r="C7610" s="23">
        <v>3.1913318925535367E-2</v>
      </c>
      <c r="D7610" s="23">
        <v>2.5974025974026E-2</v>
      </c>
      <c r="E7610" s="23">
        <v>7.1839080459770097E-3</v>
      </c>
      <c r="F7610" s="23">
        <v>0.121359223300971</v>
      </c>
      <c r="G7610">
        <v>37</v>
      </c>
      <c r="H7610">
        <v>39</v>
      </c>
    </row>
    <row r="7611" spans="1:8" x14ac:dyDescent="0.3">
      <c r="A7611" s="22" t="s">
        <v>64</v>
      </c>
      <c r="B7611" t="s">
        <v>68</v>
      </c>
      <c r="C7611" s="23">
        <v>3.608490566037735E-2</v>
      </c>
      <c r="D7611" s="23">
        <v>2.5000000000000001E-2</v>
      </c>
      <c r="E7611" s="23">
        <v>2.5000000000000001E-2</v>
      </c>
      <c r="F7611" s="23">
        <v>4.71698113207547E-2</v>
      </c>
      <c r="G7611">
        <v>2</v>
      </c>
      <c r="H7611">
        <v>39</v>
      </c>
    </row>
    <row r="7612" spans="1:8" x14ac:dyDescent="0.3">
      <c r="C7612" s="23"/>
      <c r="D7612" s="23"/>
      <c r="E7612" s="23"/>
      <c r="F7612" s="23"/>
    </row>
    <row r="7613" spans="1:8" ht="72" x14ac:dyDescent="0.3">
      <c r="A7613" s="22" t="s">
        <v>1665</v>
      </c>
      <c r="C7613" s="23"/>
      <c r="D7613" s="23"/>
      <c r="E7613" s="23"/>
      <c r="F7613" s="23"/>
    </row>
    <row r="7614" spans="1:8" x14ac:dyDescent="0.3">
      <c r="A7614" s="22" t="s">
        <v>57</v>
      </c>
      <c r="B7614" t="s">
        <v>66</v>
      </c>
      <c r="C7614" s="23" t="s">
        <v>58</v>
      </c>
      <c r="D7614" s="23" t="s">
        <v>59</v>
      </c>
      <c r="E7614" s="23" t="s">
        <v>60</v>
      </c>
      <c r="F7614" s="23" t="s">
        <v>61</v>
      </c>
      <c r="G7614" t="s">
        <v>62</v>
      </c>
      <c r="H7614" t="s">
        <v>63</v>
      </c>
    </row>
    <row r="7615" spans="1:8" x14ac:dyDescent="0.3">
      <c r="A7615" s="22" t="s">
        <v>64</v>
      </c>
      <c r="B7615" t="s">
        <v>68</v>
      </c>
      <c r="C7615" s="23">
        <v>3.212724645039907E-2</v>
      </c>
      <c r="D7615" s="23">
        <v>2.5974025974026E-2</v>
      </c>
      <c r="E7615" s="23">
        <v>7.1839080459770097E-3</v>
      </c>
      <c r="F7615" s="23">
        <v>0.121359223300971</v>
      </c>
      <c r="G7615">
        <v>39</v>
      </c>
      <c r="H7615">
        <v>39</v>
      </c>
    </row>
    <row r="7616" spans="1:8" x14ac:dyDescent="0.3">
      <c r="C7616" s="23"/>
      <c r="D7616" s="23"/>
      <c r="E7616" s="23"/>
      <c r="F7616" s="23"/>
    </row>
    <row r="7617" spans="1:8" ht="72" x14ac:dyDescent="0.3">
      <c r="A7617" s="22" t="s">
        <v>1666</v>
      </c>
      <c r="C7617" s="23"/>
      <c r="D7617" s="23"/>
      <c r="E7617" s="23"/>
      <c r="F7617" s="23"/>
    </row>
    <row r="7618" spans="1:8" x14ac:dyDescent="0.3">
      <c r="A7618" s="22" t="s">
        <v>57</v>
      </c>
      <c r="B7618" t="s">
        <v>66</v>
      </c>
      <c r="C7618" s="23" t="s">
        <v>58</v>
      </c>
      <c r="D7618" s="23" t="s">
        <v>59</v>
      </c>
      <c r="E7618" s="23" t="s">
        <v>60</v>
      </c>
      <c r="F7618" s="23" t="s">
        <v>61</v>
      </c>
      <c r="G7618" t="s">
        <v>62</v>
      </c>
      <c r="H7618" t="s">
        <v>63</v>
      </c>
    </row>
    <row r="7619" spans="1:8" x14ac:dyDescent="0.3">
      <c r="A7619" s="22" t="s">
        <v>64</v>
      </c>
      <c r="B7619" t="s">
        <v>67</v>
      </c>
      <c r="C7619" s="23">
        <v>2.875713146204624E-2</v>
      </c>
      <c r="D7619" s="23">
        <v>2.21975582685905E-2</v>
      </c>
      <c r="E7619" s="23">
        <v>7.1839080459770097E-3</v>
      </c>
      <c r="F7619" s="23">
        <v>8.9743589743589702E-2</v>
      </c>
      <c r="G7619">
        <v>24</v>
      </c>
      <c r="H7619">
        <v>39</v>
      </c>
    </row>
    <row r="7620" spans="1:8" x14ac:dyDescent="0.3">
      <c r="A7620" s="22" t="s">
        <v>64</v>
      </c>
      <c r="B7620" t="s">
        <v>68</v>
      </c>
      <c r="C7620" s="23">
        <v>3.7519430431763597E-2</v>
      </c>
      <c r="D7620" s="23">
        <v>3.0769230769230799E-2</v>
      </c>
      <c r="E7620" s="23">
        <v>1.0564124234101E-2</v>
      </c>
      <c r="F7620" s="23">
        <v>0.121359223300971</v>
      </c>
      <c r="G7620">
        <v>15</v>
      </c>
      <c r="H7620">
        <v>39</v>
      </c>
    </row>
    <row r="7621" spans="1:8" x14ac:dyDescent="0.3">
      <c r="C7621" s="23"/>
      <c r="D7621" s="23"/>
      <c r="E7621" s="23"/>
      <c r="F7621" s="23"/>
    </row>
    <row r="7622" spans="1:8" ht="72" x14ac:dyDescent="0.3">
      <c r="A7622" s="22" t="s">
        <v>1667</v>
      </c>
      <c r="C7622" s="23"/>
      <c r="D7622" s="23"/>
      <c r="E7622" s="23"/>
      <c r="F7622" s="23"/>
    </row>
    <row r="7623" spans="1:8" x14ac:dyDescent="0.3">
      <c r="A7623" s="22" t="s">
        <v>57</v>
      </c>
      <c r="B7623" t="s">
        <v>66</v>
      </c>
      <c r="C7623" s="23" t="s">
        <v>58</v>
      </c>
      <c r="D7623" s="23" t="s">
        <v>59</v>
      </c>
      <c r="E7623" s="23" t="s">
        <v>60</v>
      </c>
      <c r="F7623" s="23" t="s">
        <v>61</v>
      </c>
      <c r="G7623" t="s">
        <v>62</v>
      </c>
      <c r="H7623" t="s">
        <v>63</v>
      </c>
    </row>
    <row r="7624" spans="1:8" x14ac:dyDescent="0.3">
      <c r="A7624" s="22" t="s">
        <v>64</v>
      </c>
      <c r="B7624" t="s">
        <v>67</v>
      </c>
      <c r="C7624" s="23">
        <v>3.3165922794164637E-2</v>
      </c>
      <c r="D7624" s="23">
        <v>2.5974025974026E-2</v>
      </c>
      <c r="E7624" s="23">
        <v>7.1839080459770097E-3</v>
      </c>
      <c r="F7624" s="23">
        <v>0.121359223300971</v>
      </c>
      <c r="G7624">
        <v>27</v>
      </c>
      <c r="H7624">
        <v>39</v>
      </c>
    </row>
    <row r="7625" spans="1:8" x14ac:dyDescent="0.3">
      <c r="A7625" s="22" t="s">
        <v>64</v>
      </c>
      <c r="B7625" t="s">
        <v>68</v>
      </c>
      <c r="C7625" s="23">
        <v>2.9790224676926561E-2</v>
      </c>
      <c r="D7625" s="23">
        <v>2.32558139534884E-2</v>
      </c>
      <c r="E7625" s="23">
        <v>1.1188185276348199E-2</v>
      </c>
      <c r="F7625" s="23">
        <v>8.9743589743589702E-2</v>
      </c>
      <c r="G7625">
        <v>12</v>
      </c>
      <c r="H7625">
        <v>39</v>
      </c>
    </row>
    <row r="7626" spans="1:8" x14ac:dyDescent="0.3">
      <c r="C7626" s="23"/>
      <c r="D7626" s="23"/>
      <c r="E7626" s="23"/>
      <c r="F7626" s="23"/>
    </row>
    <row r="7627" spans="1:8" ht="72" x14ac:dyDescent="0.3">
      <c r="A7627" s="22" t="s">
        <v>1668</v>
      </c>
      <c r="C7627" s="23"/>
      <c r="D7627" s="23"/>
      <c r="E7627" s="23"/>
      <c r="F7627" s="23"/>
    </row>
    <row r="7628" spans="1:8" x14ac:dyDescent="0.3">
      <c r="A7628" s="22" t="s">
        <v>57</v>
      </c>
      <c r="B7628" t="s">
        <v>66</v>
      </c>
      <c r="C7628" s="23" t="s">
        <v>58</v>
      </c>
      <c r="D7628" s="23" t="s">
        <v>59</v>
      </c>
      <c r="E7628" s="23" t="s">
        <v>60</v>
      </c>
      <c r="F7628" s="23" t="s">
        <v>61</v>
      </c>
      <c r="G7628" t="s">
        <v>62</v>
      </c>
      <c r="H7628" t="s">
        <v>63</v>
      </c>
    </row>
    <row r="7629" spans="1:8" x14ac:dyDescent="0.3">
      <c r="A7629" s="22" t="s">
        <v>64</v>
      </c>
      <c r="B7629" t="s">
        <v>67</v>
      </c>
      <c r="C7629" s="23">
        <v>3.2337748732441607E-2</v>
      </c>
      <c r="D7629" s="23">
        <v>2.5000000000000001E-2</v>
      </c>
      <c r="E7629" s="23">
        <v>7.1839080459770097E-3</v>
      </c>
      <c r="F7629" s="23">
        <v>0.121359223300971</v>
      </c>
      <c r="G7629">
        <v>31</v>
      </c>
      <c r="H7629">
        <v>39</v>
      </c>
    </row>
    <row r="7630" spans="1:8" x14ac:dyDescent="0.3">
      <c r="A7630" s="22" t="s">
        <v>64</v>
      </c>
      <c r="B7630" t="s">
        <v>68</v>
      </c>
      <c r="C7630" s="23">
        <v>3.1311550107484293E-2</v>
      </c>
      <c r="D7630" s="23">
        <v>2.5974025974026E-2</v>
      </c>
      <c r="E7630" s="23">
        <v>1.38888888888889E-2</v>
      </c>
      <c r="F7630" s="23">
        <v>7.7926459012706603E-2</v>
      </c>
      <c r="G7630">
        <v>8</v>
      </c>
      <c r="H7630">
        <v>39</v>
      </c>
    </row>
    <row r="7631" spans="1:8" x14ac:dyDescent="0.3">
      <c r="C7631" s="23"/>
      <c r="D7631" s="23"/>
      <c r="E7631" s="23"/>
      <c r="F7631" s="23"/>
    </row>
    <row r="7632" spans="1:8" ht="86.4" x14ac:dyDescent="0.3">
      <c r="A7632" s="22" t="s">
        <v>1669</v>
      </c>
      <c r="C7632" s="23"/>
      <c r="D7632" s="23"/>
      <c r="E7632" s="23"/>
      <c r="F7632" s="23"/>
    </row>
    <row r="7633" spans="1:8" x14ac:dyDescent="0.3">
      <c r="A7633" s="22" t="s">
        <v>57</v>
      </c>
      <c r="B7633" t="s">
        <v>66</v>
      </c>
      <c r="C7633" s="23" t="s">
        <v>58</v>
      </c>
      <c r="D7633" s="23" t="s">
        <v>59</v>
      </c>
      <c r="E7633" s="23" t="s">
        <v>60</v>
      </c>
      <c r="F7633" s="23" t="s">
        <v>61</v>
      </c>
      <c r="G7633" t="s">
        <v>62</v>
      </c>
      <c r="H7633" t="s">
        <v>63</v>
      </c>
    </row>
    <row r="7634" spans="1:8" x14ac:dyDescent="0.3">
      <c r="A7634" s="22" t="s">
        <v>64</v>
      </c>
      <c r="B7634" t="s">
        <v>67</v>
      </c>
      <c r="C7634" s="23">
        <v>3.2565661764096428E-2</v>
      </c>
      <c r="D7634" s="23">
        <v>2.5974025974026E-2</v>
      </c>
      <c r="E7634" s="23">
        <v>7.1839080459770097E-3</v>
      </c>
      <c r="F7634" s="23">
        <v>0.121359223300971</v>
      </c>
      <c r="G7634">
        <v>37</v>
      </c>
      <c r="H7634">
        <v>39</v>
      </c>
    </row>
    <row r="7635" spans="1:8" x14ac:dyDescent="0.3">
      <c r="A7635" s="22" t="s">
        <v>64</v>
      </c>
      <c r="B7635" t="s">
        <v>68</v>
      </c>
      <c r="C7635" s="23">
        <v>2.4016563146997901E-2</v>
      </c>
      <c r="D7635" s="23">
        <v>1.9047619047619001E-2</v>
      </c>
      <c r="E7635" s="23">
        <v>1.9047619047619001E-2</v>
      </c>
      <c r="F7635" s="23">
        <v>2.8985507246376802E-2</v>
      </c>
      <c r="G7635">
        <v>2</v>
      </c>
      <c r="H7635">
        <v>39</v>
      </c>
    </row>
    <row r="7636" spans="1:8" x14ac:dyDescent="0.3">
      <c r="C7636" s="23"/>
      <c r="D7636" s="23"/>
      <c r="E7636" s="23"/>
      <c r="F7636" s="23"/>
    </row>
    <row r="7637" spans="1:8" ht="86.4" x14ac:dyDescent="0.3">
      <c r="A7637" s="22" t="s">
        <v>1670</v>
      </c>
      <c r="C7637" s="23"/>
      <c r="D7637" s="23"/>
      <c r="E7637" s="23"/>
      <c r="F7637" s="23"/>
    </row>
    <row r="7638" spans="1:8" x14ac:dyDescent="0.3">
      <c r="A7638" s="22" t="s">
        <v>57</v>
      </c>
      <c r="B7638" t="s">
        <v>66</v>
      </c>
      <c r="C7638" s="23" t="s">
        <v>58</v>
      </c>
      <c r="D7638" s="23" t="s">
        <v>59</v>
      </c>
      <c r="E7638" s="23" t="s">
        <v>60</v>
      </c>
      <c r="F7638" s="23" t="s">
        <v>61</v>
      </c>
      <c r="G7638" t="s">
        <v>62</v>
      </c>
      <c r="H7638" t="s">
        <v>63</v>
      </c>
    </row>
    <row r="7639" spans="1:8" x14ac:dyDescent="0.3">
      <c r="A7639" s="22" t="s">
        <v>64</v>
      </c>
      <c r="B7639" t="s">
        <v>67</v>
      </c>
      <c r="C7639" s="23">
        <v>3.212724645039907E-2</v>
      </c>
      <c r="D7639" s="23">
        <v>2.5974025974026E-2</v>
      </c>
      <c r="E7639" s="23">
        <v>7.1839080459770097E-3</v>
      </c>
      <c r="F7639" s="23">
        <v>0.121359223300971</v>
      </c>
      <c r="G7639">
        <v>39</v>
      </c>
      <c r="H7639">
        <v>39</v>
      </c>
    </row>
    <row r="7640" spans="1:8" x14ac:dyDescent="0.3">
      <c r="C7640" s="23"/>
      <c r="D7640" s="23"/>
      <c r="E7640" s="23"/>
      <c r="F7640" s="23"/>
    </row>
    <row r="7641" spans="1:8" ht="72" x14ac:dyDescent="0.3">
      <c r="A7641" s="22" t="s">
        <v>1671</v>
      </c>
      <c r="C7641" s="23"/>
      <c r="D7641" s="23"/>
      <c r="E7641" s="23"/>
      <c r="F7641" s="23"/>
    </row>
    <row r="7642" spans="1:8" x14ac:dyDescent="0.3">
      <c r="A7642" s="22" t="s">
        <v>57</v>
      </c>
      <c r="B7642" t="s">
        <v>66</v>
      </c>
      <c r="C7642" s="23" t="s">
        <v>58</v>
      </c>
      <c r="D7642" s="23" t="s">
        <v>59</v>
      </c>
      <c r="E7642" s="23" t="s">
        <v>60</v>
      </c>
      <c r="F7642" s="23" t="s">
        <v>61</v>
      </c>
      <c r="G7642" t="s">
        <v>62</v>
      </c>
      <c r="H7642" t="s">
        <v>63</v>
      </c>
    </row>
    <row r="7643" spans="1:8" x14ac:dyDescent="0.3">
      <c r="A7643" s="22" t="s">
        <v>64</v>
      </c>
      <c r="B7643" t="s">
        <v>67</v>
      </c>
      <c r="C7643" s="23">
        <v>3.2882409911157158E-2</v>
      </c>
      <c r="D7643" s="23">
        <v>2.5000000000000001E-2</v>
      </c>
      <c r="E7643" s="23">
        <v>7.9365079365079395E-3</v>
      </c>
      <c r="F7643" s="23">
        <v>0.121359223300971</v>
      </c>
      <c r="G7643">
        <v>24</v>
      </c>
      <c r="H7643">
        <v>39</v>
      </c>
    </row>
    <row r="7644" spans="1:8" x14ac:dyDescent="0.3">
      <c r="A7644" s="22" t="s">
        <v>64</v>
      </c>
      <c r="B7644" t="s">
        <v>68</v>
      </c>
      <c r="C7644" s="23">
        <v>3.0918984913186131E-2</v>
      </c>
      <c r="D7644" s="23">
        <v>2.5974025974026E-2</v>
      </c>
      <c r="E7644" s="23">
        <v>7.1839080459770097E-3</v>
      </c>
      <c r="F7644" s="23">
        <v>8.9743589743589702E-2</v>
      </c>
      <c r="G7644">
        <v>15</v>
      </c>
      <c r="H7644">
        <v>39</v>
      </c>
    </row>
    <row r="7645" spans="1:8" x14ac:dyDescent="0.3">
      <c r="C7645" s="23"/>
      <c r="D7645" s="23"/>
      <c r="E7645" s="23"/>
      <c r="F7645" s="23"/>
    </row>
    <row r="7646" spans="1:8" ht="72" x14ac:dyDescent="0.3">
      <c r="A7646" s="22" t="s">
        <v>1672</v>
      </c>
      <c r="C7646" s="23"/>
      <c r="D7646" s="23"/>
      <c r="E7646" s="23"/>
      <c r="F7646" s="23"/>
    </row>
    <row r="7647" spans="1:8" x14ac:dyDescent="0.3">
      <c r="A7647" s="22" t="s">
        <v>57</v>
      </c>
      <c r="B7647" t="s">
        <v>66</v>
      </c>
      <c r="C7647" s="23" t="s">
        <v>58</v>
      </c>
      <c r="D7647" s="23" t="s">
        <v>59</v>
      </c>
      <c r="E7647" s="23" t="s">
        <v>60</v>
      </c>
      <c r="F7647" s="23" t="s">
        <v>61</v>
      </c>
      <c r="G7647" t="s">
        <v>62</v>
      </c>
      <c r="H7647" t="s">
        <v>63</v>
      </c>
    </row>
    <row r="7648" spans="1:8" x14ac:dyDescent="0.3">
      <c r="A7648" s="22" t="s">
        <v>64</v>
      </c>
      <c r="B7648" t="s">
        <v>67</v>
      </c>
      <c r="C7648" s="23">
        <v>3.1133939583867419E-2</v>
      </c>
      <c r="D7648" s="23">
        <v>2.5974025974026E-2</v>
      </c>
      <c r="E7648" s="23">
        <v>7.1839080459770097E-3</v>
      </c>
      <c r="F7648" s="23">
        <v>0.121359223300971</v>
      </c>
      <c r="G7648">
        <v>35</v>
      </c>
      <c r="H7648">
        <v>39</v>
      </c>
    </row>
    <row r="7649" spans="1:8" x14ac:dyDescent="0.3">
      <c r="A7649" s="22" t="s">
        <v>64</v>
      </c>
      <c r="B7649" t="s">
        <v>68</v>
      </c>
      <c r="C7649" s="23">
        <v>4.0818681532551117E-2</v>
      </c>
      <c r="D7649" s="23">
        <v>2.4E-2</v>
      </c>
      <c r="E7649" s="23">
        <v>1.8491124260354999E-2</v>
      </c>
      <c r="F7649" s="23">
        <v>7.7926459012706603E-2</v>
      </c>
      <c r="G7649">
        <v>4</v>
      </c>
      <c r="H7649">
        <v>39</v>
      </c>
    </row>
    <row r="7650" spans="1:8" x14ac:dyDescent="0.3">
      <c r="C7650" s="23"/>
      <c r="D7650" s="23"/>
      <c r="E7650" s="23"/>
      <c r="F7650" s="23"/>
    </row>
    <row r="7651" spans="1:8" ht="57.6" x14ac:dyDescent="0.3">
      <c r="A7651" s="22" t="s">
        <v>1673</v>
      </c>
      <c r="C7651" s="23"/>
      <c r="D7651" s="23"/>
      <c r="E7651" s="23"/>
      <c r="F7651" s="23"/>
    </row>
    <row r="7652" spans="1:8" x14ac:dyDescent="0.3">
      <c r="A7652" s="22" t="s">
        <v>57</v>
      </c>
      <c r="B7652" t="s">
        <v>66</v>
      </c>
      <c r="C7652" s="23" t="s">
        <v>58</v>
      </c>
      <c r="D7652" s="23" t="s">
        <v>59</v>
      </c>
      <c r="E7652" s="23" t="s">
        <v>60</v>
      </c>
      <c r="F7652" s="23" t="s">
        <v>61</v>
      </c>
      <c r="G7652" t="s">
        <v>62</v>
      </c>
      <c r="H7652" t="s">
        <v>63</v>
      </c>
    </row>
    <row r="7653" spans="1:8" x14ac:dyDescent="0.3">
      <c r="A7653" s="22" t="s">
        <v>64</v>
      </c>
      <c r="B7653" t="s">
        <v>81</v>
      </c>
      <c r="C7653" s="23">
        <v>2.902851807582843E-2</v>
      </c>
      <c r="D7653" s="23">
        <v>2.4E-2</v>
      </c>
      <c r="E7653" s="23">
        <v>7.9365079365079395E-3</v>
      </c>
      <c r="F7653" s="23">
        <v>8.9743589743589702E-2</v>
      </c>
      <c r="G7653">
        <v>18</v>
      </c>
      <c r="H7653">
        <v>39</v>
      </c>
    </row>
    <row r="7654" spans="1:8" x14ac:dyDescent="0.3">
      <c r="A7654" s="22" t="s">
        <v>64</v>
      </c>
      <c r="B7654" t="s">
        <v>82</v>
      </c>
      <c r="C7654" s="23">
        <v>4.3376203110162929E-2</v>
      </c>
      <c r="D7654" s="23">
        <v>2.2598870056497199E-2</v>
      </c>
      <c r="E7654" s="23">
        <v>1.2903225806451601E-2</v>
      </c>
      <c r="F7654" s="23">
        <v>0.121359223300971</v>
      </c>
      <c r="G7654">
        <v>8</v>
      </c>
      <c r="H7654">
        <v>39</v>
      </c>
    </row>
    <row r="7655" spans="1:8" x14ac:dyDescent="0.3">
      <c r="A7655" s="22" t="s">
        <v>64</v>
      </c>
      <c r="B7655" t="s">
        <v>83</v>
      </c>
      <c r="C7655" s="23">
        <v>2.8614795897037519E-2</v>
      </c>
      <c r="D7655" s="23">
        <v>1.9047619047619001E-2</v>
      </c>
      <c r="E7655" s="23">
        <v>7.1839080459770097E-3</v>
      </c>
      <c r="F7655" s="23">
        <v>8.0808080808080801E-2</v>
      </c>
      <c r="G7655">
        <v>8</v>
      </c>
      <c r="H7655">
        <v>39</v>
      </c>
    </row>
    <row r="7656" spans="1:8" x14ac:dyDescent="0.3">
      <c r="A7656" s="22" t="s">
        <v>64</v>
      </c>
      <c r="B7656" t="s">
        <v>84</v>
      </c>
      <c r="C7656" s="23">
        <v>3.0904258828609719E-2</v>
      </c>
      <c r="D7656" s="23">
        <v>4.2857142857142899E-2</v>
      </c>
      <c r="E7656" s="23">
        <v>1.0416666666666701E-2</v>
      </c>
      <c r="F7656" s="23">
        <v>5.6782334384858003E-2</v>
      </c>
      <c r="G7656">
        <v>5</v>
      </c>
      <c r="H7656">
        <v>39</v>
      </c>
    </row>
    <row r="7658" spans="1:8" ht="57.6" x14ac:dyDescent="0.3">
      <c r="A7658" s="22" t="s">
        <v>1674</v>
      </c>
    </row>
    <row r="7659" spans="1:8" x14ac:dyDescent="0.3">
      <c r="A7659" s="22" t="s">
        <v>57</v>
      </c>
      <c r="B7659" s="23" t="s">
        <v>58</v>
      </c>
      <c r="C7659" s="23" t="s">
        <v>59</v>
      </c>
      <c r="D7659" s="23" t="s">
        <v>60</v>
      </c>
      <c r="E7659" s="23" t="s">
        <v>61</v>
      </c>
      <c r="F7659" t="s">
        <v>62</v>
      </c>
      <c r="G7659" t="s">
        <v>63</v>
      </c>
    </row>
    <row r="7660" spans="1:8" x14ac:dyDescent="0.3">
      <c r="A7660" s="22" t="s">
        <v>64</v>
      </c>
      <c r="B7660" s="23">
        <v>0.2153040919334209</v>
      </c>
      <c r="C7660" s="23">
        <v>0.16346153846153799</v>
      </c>
      <c r="D7660" s="23">
        <v>1.3824884792626699E-2</v>
      </c>
      <c r="E7660" s="23">
        <v>1</v>
      </c>
      <c r="F7660">
        <v>155</v>
      </c>
      <c r="G7660">
        <v>155</v>
      </c>
    </row>
    <row r="7662" spans="1:8" ht="72" x14ac:dyDescent="0.3">
      <c r="A7662" s="22" t="s">
        <v>1675</v>
      </c>
      <c r="C7662" s="23"/>
      <c r="D7662" s="23"/>
      <c r="E7662" s="23"/>
      <c r="F7662" s="23"/>
    </row>
    <row r="7663" spans="1:8" x14ac:dyDescent="0.3">
      <c r="A7663" s="22" t="s">
        <v>57</v>
      </c>
      <c r="B7663" t="s">
        <v>66</v>
      </c>
      <c r="C7663" s="23" t="s">
        <v>58</v>
      </c>
      <c r="D7663" s="23" t="s">
        <v>59</v>
      </c>
      <c r="E7663" s="23" t="s">
        <v>60</v>
      </c>
      <c r="F7663" s="23" t="s">
        <v>61</v>
      </c>
      <c r="G7663" t="s">
        <v>62</v>
      </c>
      <c r="H7663" t="s">
        <v>63</v>
      </c>
    </row>
    <row r="7664" spans="1:8" x14ac:dyDescent="0.3">
      <c r="A7664" s="22" t="s">
        <v>64</v>
      </c>
      <c r="B7664" t="s">
        <v>67</v>
      </c>
      <c r="C7664" s="23">
        <v>0.2181816657029213</v>
      </c>
      <c r="D7664" s="23">
        <v>0.16346153846153799</v>
      </c>
      <c r="E7664" s="23">
        <v>1.3824884792626699E-2</v>
      </c>
      <c r="F7664" s="23">
        <v>1</v>
      </c>
      <c r="G7664">
        <v>149</v>
      </c>
      <c r="H7664">
        <v>155</v>
      </c>
    </row>
    <row r="7665" spans="1:8" x14ac:dyDescent="0.3">
      <c r="A7665" s="22" t="s">
        <v>64</v>
      </c>
      <c r="B7665" t="s">
        <v>68</v>
      </c>
      <c r="C7665" s="23">
        <v>0.14384434332416121</v>
      </c>
      <c r="D7665" s="23">
        <v>9.5238095238095205E-2</v>
      </c>
      <c r="E7665" s="23">
        <v>4.1237113402061903E-2</v>
      </c>
      <c r="F7665" s="23">
        <v>0.28985507246376802</v>
      </c>
      <c r="G7665">
        <v>6</v>
      </c>
      <c r="H7665">
        <v>155</v>
      </c>
    </row>
    <row r="7666" spans="1:8" x14ac:dyDescent="0.3">
      <c r="C7666" s="23"/>
      <c r="D7666" s="23"/>
      <c r="E7666" s="23"/>
      <c r="F7666" s="23"/>
    </row>
    <row r="7667" spans="1:8" x14ac:dyDescent="0.3">
      <c r="A7667"/>
      <c r="C7667" s="23"/>
      <c r="D7667" s="23"/>
      <c r="E7667" s="23"/>
      <c r="F7667" s="23"/>
    </row>
    <row r="7668" spans="1:8" x14ac:dyDescent="0.3">
      <c r="A7668"/>
      <c r="C7668" s="23"/>
      <c r="D7668" s="23"/>
      <c r="E7668" s="23"/>
      <c r="F7668" s="23"/>
    </row>
    <row r="7669" spans="1:8" x14ac:dyDescent="0.3">
      <c r="A7669"/>
      <c r="C7669" s="23"/>
      <c r="D7669" s="23"/>
      <c r="E7669" s="23"/>
      <c r="F7669" s="23"/>
    </row>
    <row r="7670" spans="1:8" x14ac:dyDescent="0.3">
      <c r="C7670" s="23"/>
      <c r="D7670" s="23"/>
      <c r="E7670" s="23"/>
      <c r="F7670" s="23"/>
    </row>
    <row r="7671" spans="1:8" ht="72" x14ac:dyDescent="0.3">
      <c r="A7671" s="22" t="s">
        <v>1676</v>
      </c>
      <c r="C7671" s="23"/>
      <c r="D7671" s="23"/>
      <c r="E7671" s="23"/>
      <c r="F7671" s="23"/>
    </row>
    <row r="7672" spans="1:8" x14ac:dyDescent="0.3">
      <c r="A7672" s="22" t="s">
        <v>57</v>
      </c>
      <c r="B7672" t="s">
        <v>66</v>
      </c>
      <c r="C7672" s="23" t="s">
        <v>58</v>
      </c>
      <c r="D7672" s="23" t="s">
        <v>59</v>
      </c>
      <c r="E7672" s="23" t="s">
        <v>60</v>
      </c>
      <c r="F7672" s="23" t="s">
        <v>61</v>
      </c>
      <c r="G7672" t="s">
        <v>62</v>
      </c>
      <c r="H7672" t="s">
        <v>63</v>
      </c>
    </row>
    <row r="7673" spans="1:8" x14ac:dyDescent="0.3">
      <c r="A7673" s="22" t="s">
        <v>64</v>
      </c>
      <c r="B7673" t="s">
        <v>67</v>
      </c>
      <c r="C7673" s="23">
        <v>0.21258860625283521</v>
      </c>
      <c r="D7673" s="23">
        <v>0.157894736842105</v>
      </c>
      <c r="E7673" s="23">
        <v>1.3824884792626699E-2</v>
      </c>
      <c r="F7673" s="23">
        <v>1</v>
      </c>
      <c r="G7673">
        <v>147</v>
      </c>
      <c r="H7673">
        <v>155</v>
      </c>
    </row>
    <row r="7674" spans="1:8" x14ac:dyDescent="0.3">
      <c r="A7674" s="22" t="s">
        <v>64</v>
      </c>
      <c r="B7674" t="s">
        <v>68</v>
      </c>
      <c r="C7674" s="23">
        <v>0.26520114131418332</v>
      </c>
      <c r="D7674" s="23">
        <v>0.22935779816513799</v>
      </c>
      <c r="E7674" s="23">
        <v>6.6592674805771399E-2</v>
      </c>
      <c r="F7674" s="23">
        <v>0.66666666666666696</v>
      </c>
      <c r="G7674">
        <v>8</v>
      </c>
      <c r="H7674">
        <v>155</v>
      </c>
    </row>
    <row r="7675" spans="1:8" x14ac:dyDescent="0.3">
      <c r="C7675" s="23"/>
      <c r="D7675" s="23"/>
      <c r="E7675" s="23"/>
      <c r="F7675" s="23"/>
    </row>
    <row r="7676" spans="1:8" ht="72" x14ac:dyDescent="0.3">
      <c r="A7676" s="22" t="s">
        <v>1677</v>
      </c>
      <c r="C7676" s="23"/>
      <c r="D7676" s="23"/>
      <c r="E7676" s="23"/>
      <c r="F7676" s="23"/>
    </row>
    <row r="7677" spans="1:8" x14ac:dyDescent="0.3">
      <c r="A7677" s="22" t="s">
        <v>57</v>
      </c>
      <c r="B7677" t="s">
        <v>66</v>
      </c>
      <c r="C7677" s="23" t="s">
        <v>58</v>
      </c>
      <c r="D7677" s="23" t="s">
        <v>59</v>
      </c>
      <c r="E7677" s="23" t="s">
        <v>60</v>
      </c>
      <c r="F7677" s="23" t="s">
        <v>61</v>
      </c>
      <c r="G7677" t="s">
        <v>62</v>
      </c>
      <c r="H7677" t="s">
        <v>63</v>
      </c>
    </row>
    <row r="7678" spans="1:8" x14ac:dyDescent="0.3">
      <c r="A7678" s="22" t="s">
        <v>64</v>
      </c>
      <c r="B7678" t="s">
        <v>67</v>
      </c>
      <c r="C7678" s="23">
        <v>0.2148468828828958</v>
      </c>
      <c r="D7678" s="23">
        <v>0.157894736842105</v>
      </c>
      <c r="E7678" s="23">
        <v>1.3824884792626699E-2</v>
      </c>
      <c r="F7678" s="23">
        <v>1</v>
      </c>
      <c r="G7678">
        <v>154</v>
      </c>
      <c r="H7678">
        <v>155</v>
      </c>
    </row>
    <row r="7679" spans="1:8" x14ac:dyDescent="0.3">
      <c r="A7679" s="22" t="s">
        <v>64</v>
      </c>
      <c r="B7679" t="s">
        <v>68</v>
      </c>
      <c r="C7679" s="23">
        <v>0.28571428571428598</v>
      </c>
      <c r="D7679" s="23">
        <v>0.28571428571428598</v>
      </c>
      <c r="E7679" s="23">
        <v>0.28571428571428598</v>
      </c>
      <c r="F7679" s="23">
        <v>0.28571428571428598</v>
      </c>
      <c r="G7679">
        <v>1</v>
      </c>
      <c r="H7679">
        <v>155</v>
      </c>
    </row>
    <row r="7680" spans="1:8" x14ac:dyDescent="0.3">
      <c r="C7680" s="23"/>
      <c r="D7680" s="23"/>
      <c r="E7680" s="23"/>
      <c r="F7680" s="23"/>
    </row>
    <row r="7681" spans="1:8" ht="72" x14ac:dyDescent="0.3">
      <c r="A7681" s="22" t="s">
        <v>1678</v>
      </c>
      <c r="C7681" s="23"/>
      <c r="D7681" s="23"/>
      <c r="E7681" s="23"/>
      <c r="F7681" s="23"/>
    </row>
    <row r="7682" spans="1:8" x14ac:dyDescent="0.3">
      <c r="A7682" s="22" t="s">
        <v>57</v>
      </c>
      <c r="B7682" t="s">
        <v>66</v>
      </c>
      <c r="C7682" s="23" t="s">
        <v>58</v>
      </c>
      <c r="D7682" s="23" t="s">
        <v>59</v>
      </c>
      <c r="E7682" s="23" t="s">
        <v>60</v>
      </c>
      <c r="F7682" s="23" t="s">
        <v>61</v>
      </c>
      <c r="G7682" t="s">
        <v>62</v>
      </c>
      <c r="H7682" t="s">
        <v>63</v>
      </c>
    </row>
    <row r="7683" spans="1:8" x14ac:dyDescent="0.3">
      <c r="A7683" s="22" t="s">
        <v>64</v>
      </c>
      <c r="B7683" t="s">
        <v>67</v>
      </c>
      <c r="C7683" s="23">
        <v>0.2120567924888504</v>
      </c>
      <c r="D7683" s="23">
        <v>0.16346153846153799</v>
      </c>
      <c r="E7683" s="23">
        <v>1.3824884792626699E-2</v>
      </c>
      <c r="F7683" s="23">
        <v>1</v>
      </c>
      <c r="G7683">
        <v>144</v>
      </c>
      <c r="H7683">
        <v>155</v>
      </c>
    </row>
    <row r="7684" spans="1:8" x14ac:dyDescent="0.3">
      <c r="A7684" s="22" t="s">
        <v>64</v>
      </c>
      <c r="B7684" t="s">
        <v>68</v>
      </c>
      <c r="C7684" s="23">
        <v>0.25781419375325271</v>
      </c>
      <c r="D7684" s="23">
        <v>0.157894736842105</v>
      </c>
      <c r="E7684" s="23">
        <v>3.77358490566038E-2</v>
      </c>
      <c r="F7684" s="23">
        <v>1</v>
      </c>
      <c r="G7684">
        <v>11</v>
      </c>
      <c r="H7684">
        <v>155</v>
      </c>
    </row>
    <row r="7685" spans="1:8" x14ac:dyDescent="0.3">
      <c r="C7685" s="23"/>
      <c r="D7685" s="23"/>
      <c r="E7685" s="23"/>
      <c r="F7685" s="23"/>
    </row>
    <row r="7686" spans="1:8" ht="72" x14ac:dyDescent="0.3">
      <c r="A7686" s="22" t="s">
        <v>1679</v>
      </c>
      <c r="C7686" s="23"/>
      <c r="D7686" s="23"/>
      <c r="E7686" s="23"/>
      <c r="F7686" s="23"/>
    </row>
    <row r="7687" spans="1:8" x14ac:dyDescent="0.3">
      <c r="A7687" s="22" t="s">
        <v>57</v>
      </c>
      <c r="B7687" t="s">
        <v>66</v>
      </c>
      <c r="C7687" s="23" t="s">
        <v>58</v>
      </c>
      <c r="D7687" s="23" t="s">
        <v>59</v>
      </c>
      <c r="E7687" s="23" t="s">
        <v>60</v>
      </c>
      <c r="F7687" s="23" t="s">
        <v>61</v>
      </c>
      <c r="G7687" t="s">
        <v>62</v>
      </c>
      <c r="H7687" t="s">
        <v>63</v>
      </c>
    </row>
    <row r="7688" spans="1:8" x14ac:dyDescent="0.3">
      <c r="A7688" s="22" t="s">
        <v>64</v>
      </c>
      <c r="B7688" t="s">
        <v>67</v>
      </c>
      <c r="C7688" s="23">
        <v>0.32085561497326198</v>
      </c>
      <c r="D7688" s="23">
        <v>0.32085561497326198</v>
      </c>
      <c r="E7688" s="23">
        <v>0.32085561497326198</v>
      </c>
      <c r="F7688" s="23">
        <v>0.32085561497326198</v>
      </c>
      <c r="G7688">
        <v>1</v>
      </c>
      <c r="H7688">
        <v>155</v>
      </c>
    </row>
    <row r="7689" spans="1:8" x14ac:dyDescent="0.3">
      <c r="A7689" s="22" t="s">
        <v>64</v>
      </c>
      <c r="B7689" t="s">
        <v>68</v>
      </c>
      <c r="C7689" s="23">
        <v>0.2146186924331622</v>
      </c>
      <c r="D7689" s="23">
        <v>0.157894736842105</v>
      </c>
      <c r="E7689" s="23">
        <v>1.3824884792626699E-2</v>
      </c>
      <c r="F7689" s="23">
        <v>1</v>
      </c>
      <c r="G7689">
        <v>154</v>
      </c>
      <c r="H7689">
        <v>155</v>
      </c>
    </row>
    <row r="7690" spans="1:8" x14ac:dyDescent="0.3">
      <c r="C7690" s="23"/>
      <c r="D7690" s="23"/>
      <c r="E7690" s="23"/>
      <c r="F7690" s="23"/>
    </row>
    <row r="7691" spans="1:8" ht="72" x14ac:dyDescent="0.3">
      <c r="A7691" s="22" t="s">
        <v>1680</v>
      </c>
      <c r="C7691" s="23"/>
      <c r="D7691" s="23"/>
      <c r="E7691" s="23"/>
      <c r="F7691" s="23"/>
    </row>
    <row r="7692" spans="1:8" x14ac:dyDescent="0.3">
      <c r="A7692" s="22" t="s">
        <v>57</v>
      </c>
      <c r="B7692" t="s">
        <v>66</v>
      </c>
      <c r="C7692" s="23" t="s">
        <v>58</v>
      </c>
      <c r="D7692" s="23" t="s">
        <v>59</v>
      </c>
      <c r="E7692" s="23" t="s">
        <v>60</v>
      </c>
      <c r="F7692" s="23" t="s">
        <v>61</v>
      </c>
      <c r="G7692" t="s">
        <v>62</v>
      </c>
      <c r="H7692" t="s">
        <v>63</v>
      </c>
    </row>
    <row r="7693" spans="1:8" x14ac:dyDescent="0.3">
      <c r="A7693" s="22" t="s">
        <v>64</v>
      </c>
      <c r="B7693" t="s">
        <v>67</v>
      </c>
      <c r="C7693" s="23">
        <v>0.22974659988451959</v>
      </c>
      <c r="D7693" s="23">
        <v>0.16666666666666699</v>
      </c>
      <c r="E7693" s="23">
        <v>1.3824884792626699E-2</v>
      </c>
      <c r="F7693" s="23">
        <v>1</v>
      </c>
      <c r="G7693">
        <v>124</v>
      </c>
      <c r="H7693">
        <v>155</v>
      </c>
    </row>
    <row r="7694" spans="1:8" x14ac:dyDescent="0.3">
      <c r="A7694" s="22" t="s">
        <v>64</v>
      </c>
      <c r="B7694" t="s">
        <v>68</v>
      </c>
      <c r="C7694" s="23">
        <v>0.15753406012902621</v>
      </c>
      <c r="D7694" s="23">
        <v>0.125</v>
      </c>
      <c r="E7694" s="23">
        <v>2.2376370552696399E-2</v>
      </c>
      <c r="F7694" s="23">
        <v>0.5</v>
      </c>
      <c r="G7694">
        <v>31</v>
      </c>
      <c r="H7694">
        <v>155</v>
      </c>
    </row>
    <row r="7695" spans="1:8" x14ac:dyDescent="0.3">
      <c r="C7695" s="23"/>
      <c r="D7695" s="23"/>
      <c r="E7695" s="23"/>
      <c r="F7695" s="23"/>
    </row>
    <row r="7696" spans="1:8" ht="72" x14ac:dyDescent="0.3">
      <c r="A7696" s="22" t="s">
        <v>1681</v>
      </c>
      <c r="C7696" s="23"/>
      <c r="D7696" s="23"/>
      <c r="E7696" s="23"/>
      <c r="F7696" s="23"/>
    </row>
    <row r="7697" spans="1:8" x14ac:dyDescent="0.3">
      <c r="A7697" s="22" t="s">
        <v>57</v>
      </c>
      <c r="B7697" t="s">
        <v>66</v>
      </c>
      <c r="C7697" s="23" t="s">
        <v>58</v>
      </c>
      <c r="D7697" s="23" t="s">
        <v>59</v>
      </c>
      <c r="E7697" s="23" t="s">
        <v>60</v>
      </c>
      <c r="F7697" s="23" t="s">
        <v>61</v>
      </c>
      <c r="G7697" t="s">
        <v>62</v>
      </c>
      <c r="H7697" t="s">
        <v>63</v>
      </c>
    </row>
    <row r="7698" spans="1:8" x14ac:dyDescent="0.3">
      <c r="A7698" s="22" t="s">
        <v>64</v>
      </c>
      <c r="B7698" t="s">
        <v>67</v>
      </c>
      <c r="C7698" s="23">
        <v>0.22763187149507319</v>
      </c>
      <c r="D7698" s="23">
        <v>0.16666666666666699</v>
      </c>
      <c r="E7698" s="23">
        <v>1.3824884792626699E-2</v>
      </c>
      <c r="F7698" s="23">
        <v>1</v>
      </c>
      <c r="G7698">
        <v>121</v>
      </c>
      <c r="H7698">
        <v>155</v>
      </c>
    </row>
    <row r="7699" spans="1:8" x14ac:dyDescent="0.3">
      <c r="A7699" s="22" t="s">
        <v>64</v>
      </c>
      <c r="B7699" t="s">
        <v>68</v>
      </c>
      <c r="C7699" s="23">
        <v>0.17143169996401109</v>
      </c>
      <c r="D7699" s="23">
        <v>0.120967741935484</v>
      </c>
      <c r="E7699" s="23">
        <v>2.2376370552696399E-2</v>
      </c>
      <c r="F7699" s="23">
        <v>0.5</v>
      </c>
      <c r="G7699">
        <v>34</v>
      </c>
      <c r="H7699">
        <v>155</v>
      </c>
    </row>
    <row r="7700" spans="1:8" x14ac:dyDescent="0.3">
      <c r="C7700" s="23"/>
      <c r="D7700" s="23"/>
      <c r="E7700" s="23"/>
      <c r="F7700" s="23"/>
    </row>
    <row r="7701" spans="1:8" ht="72" x14ac:dyDescent="0.3">
      <c r="A7701" s="22" t="s">
        <v>1682</v>
      </c>
      <c r="C7701" s="23"/>
      <c r="D7701" s="23"/>
      <c r="E7701" s="23"/>
      <c r="F7701" s="23"/>
    </row>
    <row r="7702" spans="1:8" x14ac:dyDescent="0.3">
      <c r="A7702" s="22" t="s">
        <v>57</v>
      </c>
      <c r="B7702" t="s">
        <v>66</v>
      </c>
      <c r="C7702" s="23" t="s">
        <v>58</v>
      </c>
      <c r="D7702" s="23" t="s">
        <v>59</v>
      </c>
      <c r="E7702" s="23" t="s">
        <v>60</v>
      </c>
      <c r="F7702" s="23" t="s">
        <v>61</v>
      </c>
      <c r="G7702" t="s">
        <v>62</v>
      </c>
      <c r="H7702" t="s">
        <v>63</v>
      </c>
    </row>
    <row r="7703" spans="1:8" x14ac:dyDescent="0.3">
      <c r="A7703" s="22" t="s">
        <v>64</v>
      </c>
      <c r="B7703" t="s">
        <v>67</v>
      </c>
      <c r="C7703" s="23">
        <v>0.20985054572282369</v>
      </c>
      <c r="D7703" s="23">
        <v>0.16049382716049401</v>
      </c>
      <c r="E7703" s="23">
        <v>1.3824884792626699E-2</v>
      </c>
      <c r="F7703" s="23">
        <v>1</v>
      </c>
      <c r="G7703">
        <v>115</v>
      </c>
      <c r="H7703">
        <v>155</v>
      </c>
    </row>
    <row r="7704" spans="1:8" x14ac:dyDescent="0.3">
      <c r="A7704" s="22" t="s">
        <v>64</v>
      </c>
      <c r="B7704" t="s">
        <v>68</v>
      </c>
      <c r="C7704" s="23">
        <v>0.2309830372888878</v>
      </c>
      <c r="D7704" s="23">
        <v>0.16666666666666699</v>
      </c>
      <c r="E7704" s="23">
        <v>3.5335689045936397E-2</v>
      </c>
      <c r="F7704" s="23">
        <v>0.63829787234042601</v>
      </c>
      <c r="G7704">
        <v>40</v>
      </c>
      <c r="H7704">
        <v>155</v>
      </c>
    </row>
    <row r="7705" spans="1:8" x14ac:dyDescent="0.3">
      <c r="C7705" s="23"/>
      <c r="D7705" s="23"/>
      <c r="E7705" s="23"/>
      <c r="F7705" s="23"/>
    </row>
    <row r="7706" spans="1:8" ht="86.4" x14ac:dyDescent="0.3">
      <c r="A7706" s="22" t="s">
        <v>1683</v>
      </c>
      <c r="C7706" s="23"/>
      <c r="D7706" s="23"/>
      <c r="E7706" s="23"/>
      <c r="F7706" s="23"/>
    </row>
    <row r="7707" spans="1:8" x14ac:dyDescent="0.3">
      <c r="A7707" s="22" t="s">
        <v>57</v>
      </c>
      <c r="B7707" t="s">
        <v>66</v>
      </c>
      <c r="C7707" s="23" t="s">
        <v>58</v>
      </c>
      <c r="D7707" s="23" t="s">
        <v>59</v>
      </c>
      <c r="E7707" s="23" t="s">
        <v>60</v>
      </c>
      <c r="F7707" s="23" t="s">
        <v>61</v>
      </c>
      <c r="G7707" t="s">
        <v>62</v>
      </c>
      <c r="H7707" t="s">
        <v>63</v>
      </c>
    </row>
    <row r="7708" spans="1:8" x14ac:dyDescent="0.3">
      <c r="A7708" s="22" t="s">
        <v>64</v>
      </c>
      <c r="B7708" t="s">
        <v>67</v>
      </c>
      <c r="C7708" s="23">
        <v>0.2200626864983157</v>
      </c>
      <c r="D7708" s="23">
        <v>0.16666666666666699</v>
      </c>
      <c r="E7708" s="23">
        <v>1.3824884792626699E-2</v>
      </c>
      <c r="F7708" s="23">
        <v>1</v>
      </c>
      <c r="G7708">
        <v>147</v>
      </c>
      <c r="H7708">
        <v>155</v>
      </c>
    </row>
    <row r="7709" spans="1:8" x14ac:dyDescent="0.3">
      <c r="A7709" s="22" t="s">
        <v>64</v>
      </c>
      <c r="B7709" t="s">
        <v>68</v>
      </c>
      <c r="C7709" s="23">
        <v>0.12786491680347839</v>
      </c>
      <c r="D7709" s="23">
        <v>7.6190476190476197E-2</v>
      </c>
      <c r="E7709" s="23">
        <v>3.3816425120772903E-2</v>
      </c>
      <c r="F7709" s="23">
        <v>0.34482758620689702</v>
      </c>
      <c r="G7709">
        <v>8</v>
      </c>
      <c r="H7709">
        <v>155</v>
      </c>
    </row>
    <row r="7710" spans="1:8" x14ac:dyDescent="0.3">
      <c r="C7710" s="23"/>
      <c r="D7710" s="23"/>
      <c r="E7710" s="23"/>
      <c r="F7710" s="23"/>
    </row>
    <row r="7711" spans="1:8" ht="86.4" x14ac:dyDescent="0.3">
      <c r="A7711" s="22" t="s">
        <v>1684</v>
      </c>
      <c r="C7711" s="23"/>
      <c r="D7711" s="23"/>
      <c r="E7711" s="23"/>
      <c r="F7711" s="23"/>
    </row>
    <row r="7712" spans="1:8" x14ac:dyDescent="0.3">
      <c r="A7712" s="22" t="s">
        <v>57</v>
      </c>
      <c r="B7712" t="s">
        <v>66</v>
      </c>
      <c r="C7712" s="23" t="s">
        <v>58</v>
      </c>
      <c r="D7712" s="23" t="s">
        <v>59</v>
      </c>
      <c r="E7712" s="23" t="s">
        <v>60</v>
      </c>
      <c r="F7712" s="23" t="s">
        <v>61</v>
      </c>
      <c r="G7712" t="s">
        <v>62</v>
      </c>
      <c r="H7712" t="s">
        <v>63</v>
      </c>
    </row>
    <row r="7713" spans="1:8" x14ac:dyDescent="0.3">
      <c r="A7713" s="22" t="s">
        <v>64</v>
      </c>
      <c r="B7713" t="s">
        <v>67</v>
      </c>
      <c r="C7713" s="23">
        <v>0.2153040919334209</v>
      </c>
      <c r="D7713" s="23">
        <v>0.16346153846153799</v>
      </c>
      <c r="E7713" s="23">
        <v>1.3824884792626699E-2</v>
      </c>
      <c r="F7713" s="23">
        <v>1</v>
      </c>
      <c r="G7713">
        <v>155</v>
      </c>
      <c r="H7713">
        <v>155</v>
      </c>
    </row>
    <row r="7714" spans="1:8" x14ac:dyDescent="0.3">
      <c r="C7714" s="23"/>
      <c r="D7714" s="23"/>
      <c r="E7714" s="23"/>
      <c r="F7714" s="23"/>
    </row>
    <row r="7715" spans="1:8" ht="72" x14ac:dyDescent="0.3">
      <c r="A7715" s="22" t="s">
        <v>1685</v>
      </c>
      <c r="C7715" s="23"/>
      <c r="D7715" s="23"/>
      <c r="E7715" s="23"/>
      <c r="F7715" s="23"/>
    </row>
    <row r="7716" spans="1:8" x14ac:dyDescent="0.3">
      <c r="A7716" s="22" t="s">
        <v>57</v>
      </c>
      <c r="B7716" t="s">
        <v>66</v>
      </c>
      <c r="C7716" s="23" t="s">
        <v>58</v>
      </c>
      <c r="D7716" s="23" t="s">
        <v>59</v>
      </c>
      <c r="E7716" s="23" t="s">
        <v>60</v>
      </c>
      <c r="F7716" s="23" t="s">
        <v>61</v>
      </c>
      <c r="G7716" t="s">
        <v>62</v>
      </c>
      <c r="H7716" t="s">
        <v>63</v>
      </c>
    </row>
    <row r="7717" spans="1:8" x14ac:dyDescent="0.3">
      <c r="A7717" s="22" t="s">
        <v>64</v>
      </c>
      <c r="B7717" t="s">
        <v>67</v>
      </c>
      <c r="C7717" s="23">
        <v>0.22173493628072269</v>
      </c>
      <c r="D7717" s="23">
        <v>0.16666666666666699</v>
      </c>
      <c r="E7717" s="23">
        <v>1.3824884792626699E-2</v>
      </c>
      <c r="F7717" s="23">
        <v>1</v>
      </c>
      <c r="G7717">
        <v>98</v>
      </c>
      <c r="H7717">
        <v>155</v>
      </c>
    </row>
    <row r="7718" spans="1:8" x14ac:dyDescent="0.3">
      <c r="A7718" s="22" t="s">
        <v>64</v>
      </c>
      <c r="B7718" t="s">
        <v>68</v>
      </c>
      <c r="C7718" s="23">
        <v>0.20424755252928811</v>
      </c>
      <c r="D7718" s="23">
        <v>0.16049382716049401</v>
      </c>
      <c r="E7718" s="23">
        <v>2.1551724137931001E-2</v>
      </c>
      <c r="F7718" s="23">
        <v>1</v>
      </c>
      <c r="G7718">
        <v>57</v>
      </c>
      <c r="H7718">
        <v>155</v>
      </c>
    </row>
    <row r="7719" spans="1:8" x14ac:dyDescent="0.3">
      <c r="C7719" s="23"/>
      <c r="D7719" s="23"/>
      <c r="E7719" s="23"/>
      <c r="F7719" s="23"/>
    </row>
    <row r="7720" spans="1:8" ht="72" x14ac:dyDescent="0.3">
      <c r="A7720" s="22" t="s">
        <v>1686</v>
      </c>
      <c r="C7720" s="23"/>
      <c r="D7720" s="23"/>
      <c r="E7720" s="23"/>
      <c r="F7720" s="23"/>
    </row>
    <row r="7721" spans="1:8" x14ac:dyDescent="0.3">
      <c r="A7721" s="22" t="s">
        <v>57</v>
      </c>
      <c r="B7721" t="s">
        <v>66</v>
      </c>
      <c r="C7721" s="23" t="s">
        <v>58</v>
      </c>
      <c r="D7721" s="23" t="s">
        <v>59</v>
      </c>
      <c r="E7721" s="23" t="s">
        <v>60</v>
      </c>
      <c r="F7721" s="23" t="s">
        <v>61</v>
      </c>
      <c r="G7721" t="s">
        <v>62</v>
      </c>
      <c r="H7721" t="s">
        <v>63</v>
      </c>
    </row>
    <row r="7722" spans="1:8" x14ac:dyDescent="0.3">
      <c r="A7722" s="22" t="s">
        <v>64</v>
      </c>
      <c r="B7722" t="s">
        <v>67</v>
      </c>
      <c r="C7722" s="23">
        <v>0.21847777312090599</v>
      </c>
      <c r="D7722" s="23">
        <v>0.16346153846153799</v>
      </c>
      <c r="E7722" s="23">
        <v>1.3824884792626699E-2</v>
      </c>
      <c r="F7722" s="23">
        <v>1</v>
      </c>
      <c r="G7722">
        <v>139</v>
      </c>
      <c r="H7722">
        <v>155</v>
      </c>
    </row>
    <row r="7723" spans="1:8" x14ac:dyDescent="0.3">
      <c r="A7723" s="22" t="s">
        <v>64</v>
      </c>
      <c r="B7723" t="s">
        <v>68</v>
      </c>
      <c r="C7723" s="23">
        <v>0.18773273661714349</v>
      </c>
      <c r="D7723" s="23">
        <v>0.14150943396226401</v>
      </c>
      <c r="E7723" s="23">
        <v>2.4844720496894401E-2</v>
      </c>
      <c r="F7723" s="23">
        <v>0.63829787234042601</v>
      </c>
      <c r="G7723">
        <v>16</v>
      </c>
      <c r="H7723">
        <v>155</v>
      </c>
    </row>
    <row r="7724" spans="1:8" x14ac:dyDescent="0.3">
      <c r="C7724" s="23"/>
      <c r="D7724" s="23"/>
      <c r="E7724" s="23"/>
      <c r="F7724" s="23"/>
    </row>
    <row r="7725" spans="1:8" ht="57.6" x14ac:dyDescent="0.3">
      <c r="A7725" s="22" t="s">
        <v>1687</v>
      </c>
      <c r="C7725" s="23"/>
      <c r="D7725" s="23"/>
      <c r="E7725" s="23"/>
      <c r="F7725" s="23"/>
    </row>
    <row r="7726" spans="1:8" x14ac:dyDescent="0.3">
      <c r="A7726" s="22" t="s">
        <v>57</v>
      </c>
      <c r="B7726" t="s">
        <v>66</v>
      </c>
      <c r="C7726" s="23" t="s">
        <v>58</v>
      </c>
      <c r="D7726" s="23" t="s">
        <v>59</v>
      </c>
      <c r="E7726" s="23" t="s">
        <v>60</v>
      </c>
      <c r="F7726" s="23" t="s">
        <v>61</v>
      </c>
      <c r="G7726" t="s">
        <v>62</v>
      </c>
      <c r="H7726" t="s">
        <v>63</v>
      </c>
    </row>
    <row r="7727" spans="1:8" x14ac:dyDescent="0.3">
      <c r="A7727" s="22" t="s">
        <v>64</v>
      </c>
      <c r="B7727" t="s">
        <v>81</v>
      </c>
      <c r="C7727" s="23">
        <v>0.18698874089705239</v>
      </c>
      <c r="D7727" s="23">
        <v>0.13227513227513199</v>
      </c>
      <c r="E7727" s="23">
        <v>2.2376370552696399E-2</v>
      </c>
      <c r="F7727" s="23">
        <v>0.94117647058823495</v>
      </c>
      <c r="G7727">
        <v>46</v>
      </c>
      <c r="H7727">
        <v>155</v>
      </c>
    </row>
    <row r="7728" spans="1:8" x14ac:dyDescent="0.3">
      <c r="A7728" s="22" t="s">
        <v>64</v>
      </c>
      <c r="B7728" t="s">
        <v>82</v>
      </c>
      <c r="C7728" s="23">
        <v>0.19213641039941479</v>
      </c>
      <c r="D7728" s="23">
        <v>0.16666666666666699</v>
      </c>
      <c r="E7728" s="23">
        <v>3.1886209995701603E-2</v>
      </c>
      <c r="F7728" s="23">
        <v>1</v>
      </c>
      <c r="G7728">
        <v>35</v>
      </c>
      <c r="H7728">
        <v>155</v>
      </c>
    </row>
    <row r="7729" spans="1:8" x14ac:dyDescent="0.3">
      <c r="A7729" s="22" t="s">
        <v>64</v>
      </c>
      <c r="B7729" t="s">
        <v>83</v>
      </c>
      <c r="C7729" s="23">
        <v>0.2477476246333013</v>
      </c>
      <c r="D7729" s="23">
        <v>0.16666666666666699</v>
      </c>
      <c r="E7729" s="23">
        <v>1.3824884792626699E-2</v>
      </c>
      <c r="F7729" s="23">
        <v>0.94805194805194803</v>
      </c>
      <c r="G7729">
        <v>40</v>
      </c>
      <c r="H7729">
        <v>155</v>
      </c>
    </row>
    <row r="7730" spans="1:8" x14ac:dyDescent="0.3">
      <c r="A7730" s="22" t="s">
        <v>64</v>
      </c>
      <c r="B7730" t="s">
        <v>84</v>
      </c>
      <c r="C7730" s="23">
        <v>0.23929331820894861</v>
      </c>
      <c r="D7730" s="23">
        <v>0.17857142857142899</v>
      </c>
      <c r="E7730" s="23">
        <v>4.1237113402061903E-2</v>
      </c>
      <c r="F7730" s="23">
        <v>1</v>
      </c>
      <c r="G7730">
        <v>34</v>
      </c>
      <c r="H7730">
        <v>155</v>
      </c>
    </row>
    <row r="7731" spans="1:8" x14ac:dyDescent="0.3">
      <c r="C7731" s="23"/>
      <c r="D7731" s="23"/>
      <c r="E7731" s="23"/>
      <c r="F7731" s="23"/>
    </row>
    <row r="7732" spans="1:8" ht="57.6" x14ac:dyDescent="0.3">
      <c r="A7732" s="22" t="s">
        <v>1688</v>
      </c>
      <c r="C7732" s="23"/>
      <c r="D7732" s="23"/>
      <c r="E7732" s="23"/>
      <c r="F7732" s="23"/>
    </row>
    <row r="7733" spans="1:8" x14ac:dyDescent="0.3">
      <c r="A7733" s="22" t="s">
        <v>57</v>
      </c>
      <c r="B7733" t="s">
        <v>58</v>
      </c>
      <c r="C7733" t="s">
        <v>59</v>
      </c>
      <c r="D7733" t="s">
        <v>60</v>
      </c>
      <c r="E7733" t="s">
        <v>61</v>
      </c>
      <c r="F7733" t="s">
        <v>62</v>
      </c>
      <c r="G7733" t="s">
        <v>63</v>
      </c>
    </row>
    <row r="7734" spans="1:8" x14ac:dyDescent="0.3">
      <c r="A7734" s="22" t="s">
        <v>64</v>
      </c>
      <c r="B7734" s="23">
        <v>4.2756186101460543E-2</v>
      </c>
      <c r="C7734" s="23">
        <v>2.2675736961451198E-2</v>
      </c>
      <c r="D7734" s="23">
        <v>0</v>
      </c>
      <c r="E7734" s="23">
        <v>0.53285968028419195</v>
      </c>
      <c r="F7734">
        <v>50</v>
      </c>
      <c r="G7734">
        <v>50</v>
      </c>
    </row>
    <row r="7735" spans="1:8" x14ac:dyDescent="0.3">
      <c r="B7735" s="23"/>
      <c r="C7735" s="23"/>
      <c r="D7735" s="23"/>
      <c r="E7735" s="23"/>
    </row>
    <row r="7736" spans="1:8" ht="72" x14ac:dyDescent="0.3">
      <c r="A7736" s="22" t="s">
        <v>1689</v>
      </c>
    </row>
    <row r="7737" spans="1:8" x14ac:dyDescent="0.3">
      <c r="A7737" s="22" t="s">
        <v>57</v>
      </c>
      <c r="B7737" t="s">
        <v>66</v>
      </c>
      <c r="C7737" t="s">
        <v>58</v>
      </c>
      <c r="D7737" t="s">
        <v>59</v>
      </c>
      <c r="E7737" t="s">
        <v>60</v>
      </c>
      <c r="F7737" t="s">
        <v>61</v>
      </c>
      <c r="G7737" t="s">
        <v>62</v>
      </c>
      <c r="H7737" t="s">
        <v>63</v>
      </c>
    </row>
    <row r="7738" spans="1:8" x14ac:dyDescent="0.3">
      <c r="A7738" s="22" t="s">
        <v>64</v>
      </c>
      <c r="B7738" t="s">
        <v>67</v>
      </c>
      <c r="C7738" s="23">
        <v>4.2756186101460543E-2</v>
      </c>
      <c r="D7738" s="23">
        <v>2.2675736961451198E-2</v>
      </c>
      <c r="E7738" s="23">
        <v>0</v>
      </c>
      <c r="F7738" s="23">
        <v>0.53285968028419195</v>
      </c>
      <c r="G7738">
        <v>50</v>
      </c>
      <c r="H7738">
        <v>50</v>
      </c>
    </row>
    <row r="7739" spans="1:8" x14ac:dyDescent="0.3">
      <c r="C7739" s="23"/>
      <c r="D7739" s="23"/>
      <c r="E7739" s="23"/>
      <c r="F7739" s="23"/>
    </row>
    <row r="7740" spans="1:8" x14ac:dyDescent="0.3">
      <c r="A7740"/>
      <c r="C7740" s="23"/>
      <c r="D7740" s="23"/>
      <c r="E7740" s="23"/>
      <c r="F7740" s="23"/>
    </row>
    <row r="7741" spans="1:8" x14ac:dyDescent="0.3">
      <c r="A7741"/>
      <c r="C7741" s="23"/>
      <c r="D7741" s="23"/>
      <c r="E7741" s="23"/>
      <c r="F7741" s="23"/>
    </row>
    <row r="7742" spans="1:8" x14ac:dyDescent="0.3">
      <c r="A7742"/>
      <c r="C7742" s="23"/>
      <c r="D7742" s="23"/>
      <c r="E7742" s="23"/>
      <c r="F7742" s="23"/>
    </row>
    <row r="7743" spans="1:8" x14ac:dyDescent="0.3">
      <c r="C7743" s="23"/>
      <c r="D7743" s="23"/>
      <c r="E7743" s="23"/>
      <c r="F7743" s="23"/>
    </row>
    <row r="7744" spans="1:8" ht="72" x14ac:dyDescent="0.3">
      <c r="A7744" s="22" t="s">
        <v>1690</v>
      </c>
      <c r="C7744" s="23"/>
      <c r="D7744" s="23"/>
      <c r="E7744" s="23"/>
      <c r="F7744" s="23"/>
    </row>
    <row r="7745" spans="1:8" x14ac:dyDescent="0.3">
      <c r="A7745" s="22" t="s">
        <v>57</v>
      </c>
      <c r="B7745" t="s">
        <v>66</v>
      </c>
      <c r="C7745" s="23" t="s">
        <v>58</v>
      </c>
      <c r="D7745" s="23" t="s">
        <v>59</v>
      </c>
      <c r="E7745" s="23" t="s">
        <v>60</v>
      </c>
      <c r="F7745" s="23" t="s">
        <v>61</v>
      </c>
      <c r="G7745" t="s">
        <v>62</v>
      </c>
      <c r="H7745" t="s">
        <v>63</v>
      </c>
    </row>
    <row r="7746" spans="1:8" x14ac:dyDescent="0.3">
      <c r="A7746" s="22" t="s">
        <v>64</v>
      </c>
      <c r="B7746" t="s">
        <v>67</v>
      </c>
      <c r="C7746" s="23">
        <v>4.3175749934784423E-2</v>
      </c>
      <c r="D7746" s="23">
        <v>2.8985507246376802E-2</v>
      </c>
      <c r="E7746" s="23">
        <v>0</v>
      </c>
      <c r="F7746" s="23">
        <v>0.53285968028419195</v>
      </c>
      <c r="G7746">
        <v>49</v>
      </c>
      <c r="H7746">
        <v>50</v>
      </c>
    </row>
    <row r="7747" spans="1:8" x14ac:dyDescent="0.3">
      <c r="A7747" s="22" t="s">
        <v>64</v>
      </c>
      <c r="B7747" t="s">
        <v>68</v>
      </c>
      <c r="C7747" s="23">
        <v>2.21975582685905E-2</v>
      </c>
      <c r="D7747" s="23">
        <v>2.21975582685905E-2</v>
      </c>
      <c r="E7747" s="23">
        <v>2.21975582685905E-2</v>
      </c>
      <c r="F7747" s="23">
        <v>2.21975582685905E-2</v>
      </c>
      <c r="G7747">
        <v>1</v>
      </c>
      <c r="H7747">
        <v>50</v>
      </c>
    </row>
    <row r="7748" spans="1:8" x14ac:dyDescent="0.3">
      <c r="C7748" s="23"/>
      <c r="D7748" s="23"/>
      <c r="E7748" s="23"/>
      <c r="F7748" s="23"/>
    </row>
    <row r="7749" spans="1:8" ht="72" x14ac:dyDescent="0.3">
      <c r="A7749" s="22" t="s">
        <v>1691</v>
      </c>
      <c r="C7749" s="23"/>
      <c r="D7749" s="23"/>
      <c r="E7749" s="23"/>
      <c r="F7749" s="23"/>
    </row>
    <row r="7750" spans="1:8" x14ac:dyDescent="0.3">
      <c r="A7750" s="22" t="s">
        <v>57</v>
      </c>
      <c r="B7750" t="s">
        <v>66</v>
      </c>
      <c r="C7750" s="23" t="s">
        <v>58</v>
      </c>
      <c r="D7750" s="23" t="s">
        <v>59</v>
      </c>
      <c r="E7750" s="23" t="s">
        <v>60</v>
      </c>
      <c r="F7750" s="23" t="s">
        <v>61</v>
      </c>
      <c r="G7750" t="s">
        <v>62</v>
      </c>
      <c r="H7750" t="s">
        <v>63</v>
      </c>
    </row>
    <row r="7751" spans="1:8" x14ac:dyDescent="0.3">
      <c r="A7751" s="22" t="s">
        <v>64</v>
      </c>
      <c r="B7751" t="s">
        <v>67</v>
      </c>
      <c r="C7751" s="23">
        <v>4.2756186101460543E-2</v>
      </c>
      <c r="D7751" s="23">
        <v>2.2675736961451198E-2</v>
      </c>
      <c r="E7751" s="23">
        <v>0</v>
      </c>
      <c r="F7751" s="23">
        <v>0.53285968028419195</v>
      </c>
      <c r="G7751">
        <v>50</v>
      </c>
      <c r="H7751">
        <v>50</v>
      </c>
    </row>
    <row r="7752" spans="1:8" x14ac:dyDescent="0.3">
      <c r="C7752" s="23"/>
      <c r="D7752" s="23"/>
      <c r="E7752" s="23"/>
      <c r="F7752" s="23"/>
    </row>
    <row r="7753" spans="1:8" ht="72" x14ac:dyDescent="0.3">
      <c r="A7753" s="22" t="s">
        <v>1692</v>
      </c>
      <c r="C7753" s="23"/>
      <c r="D7753" s="23"/>
      <c r="E7753" s="23"/>
      <c r="F7753" s="23"/>
    </row>
    <row r="7754" spans="1:8" x14ac:dyDescent="0.3">
      <c r="A7754" s="22" t="s">
        <v>57</v>
      </c>
      <c r="B7754" t="s">
        <v>66</v>
      </c>
      <c r="C7754" s="23" t="s">
        <v>58</v>
      </c>
      <c r="D7754" s="23" t="s">
        <v>59</v>
      </c>
      <c r="E7754" s="23" t="s">
        <v>60</v>
      </c>
      <c r="F7754" s="23" t="s">
        <v>61</v>
      </c>
      <c r="G7754" t="s">
        <v>62</v>
      </c>
      <c r="H7754" t="s">
        <v>63</v>
      </c>
    </row>
    <row r="7755" spans="1:8" x14ac:dyDescent="0.3">
      <c r="A7755" s="22" t="s">
        <v>64</v>
      </c>
      <c r="B7755" t="s">
        <v>67</v>
      </c>
      <c r="C7755" s="23">
        <v>4.2666112117393309E-2</v>
      </c>
      <c r="D7755" s="23">
        <v>2.5641025641025599E-2</v>
      </c>
      <c r="E7755" s="23">
        <v>0</v>
      </c>
      <c r="F7755" s="23">
        <v>0.53285968028419195</v>
      </c>
      <c r="G7755">
        <v>49</v>
      </c>
      <c r="H7755">
        <v>50</v>
      </c>
    </row>
    <row r="7756" spans="1:8" x14ac:dyDescent="0.3">
      <c r="A7756" s="22" t="s">
        <v>64</v>
      </c>
      <c r="B7756" t="s">
        <v>68</v>
      </c>
      <c r="C7756" s="23">
        <v>4.71698113207547E-2</v>
      </c>
      <c r="D7756" s="23">
        <v>4.71698113207547E-2</v>
      </c>
      <c r="E7756" s="23">
        <v>4.71698113207547E-2</v>
      </c>
      <c r="F7756" s="23">
        <v>4.71698113207547E-2</v>
      </c>
      <c r="G7756">
        <v>1</v>
      </c>
      <c r="H7756">
        <v>50</v>
      </c>
    </row>
    <row r="7757" spans="1:8" x14ac:dyDescent="0.3">
      <c r="C7757" s="23"/>
      <c r="D7757" s="23"/>
      <c r="E7757" s="23"/>
      <c r="F7757" s="23"/>
    </row>
    <row r="7758" spans="1:8" ht="72" x14ac:dyDescent="0.3">
      <c r="A7758" s="22" t="s">
        <v>1693</v>
      </c>
      <c r="C7758" s="23"/>
      <c r="D7758" s="23"/>
      <c r="E7758" s="23"/>
      <c r="F7758" s="23"/>
    </row>
    <row r="7759" spans="1:8" x14ac:dyDescent="0.3">
      <c r="A7759" s="22" t="s">
        <v>57</v>
      </c>
      <c r="B7759" t="s">
        <v>66</v>
      </c>
      <c r="C7759" s="23" t="s">
        <v>58</v>
      </c>
      <c r="D7759" s="23" t="s">
        <v>59</v>
      </c>
      <c r="E7759" s="23" t="s">
        <v>60</v>
      </c>
      <c r="F7759" s="23" t="s">
        <v>61</v>
      </c>
      <c r="G7759" t="s">
        <v>62</v>
      </c>
      <c r="H7759" t="s">
        <v>63</v>
      </c>
    </row>
    <row r="7760" spans="1:8" x14ac:dyDescent="0.3">
      <c r="A7760" s="22" t="s">
        <v>64</v>
      </c>
      <c r="B7760" t="s">
        <v>68</v>
      </c>
      <c r="C7760" s="23">
        <v>4.2756186101460543E-2</v>
      </c>
      <c r="D7760" s="23">
        <v>2.2675736961451198E-2</v>
      </c>
      <c r="E7760" s="23">
        <v>0</v>
      </c>
      <c r="F7760" s="23">
        <v>0.53285968028419195</v>
      </c>
      <c r="G7760">
        <v>50</v>
      </c>
      <c r="H7760">
        <v>50</v>
      </c>
    </row>
    <row r="7761" spans="1:8" x14ac:dyDescent="0.3">
      <c r="C7761" s="23"/>
      <c r="D7761" s="23"/>
      <c r="E7761" s="23"/>
      <c r="F7761" s="23"/>
    </row>
    <row r="7762" spans="1:8" ht="72" x14ac:dyDescent="0.3">
      <c r="A7762" s="22" t="s">
        <v>1694</v>
      </c>
      <c r="C7762" s="23"/>
      <c r="D7762" s="23"/>
      <c r="E7762" s="23"/>
      <c r="F7762" s="23"/>
    </row>
    <row r="7763" spans="1:8" x14ac:dyDescent="0.3">
      <c r="A7763" s="22" t="s">
        <v>57</v>
      </c>
      <c r="B7763" t="s">
        <v>66</v>
      </c>
      <c r="C7763" s="23" t="s">
        <v>58</v>
      </c>
      <c r="D7763" s="23" t="s">
        <v>59</v>
      </c>
      <c r="E7763" s="23" t="s">
        <v>60</v>
      </c>
      <c r="F7763" s="23" t="s">
        <v>61</v>
      </c>
      <c r="G7763" t="s">
        <v>62</v>
      </c>
      <c r="H7763" t="s">
        <v>63</v>
      </c>
    </row>
    <row r="7764" spans="1:8" x14ac:dyDescent="0.3">
      <c r="A7764" s="22" t="s">
        <v>64</v>
      </c>
      <c r="B7764" t="s">
        <v>67</v>
      </c>
      <c r="C7764" s="23">
        <v>4.7981621701882367E-2</v>
      </c>
      <c r="D7764" s="23">
        <v>2.21975582685905E-2</v>
      </c>
      <c r="E7764" s="23">
        <v>7.1839080459770097E-3</v>
      </c>
      <c r="F7764" s="23">
        <v>0.53285968028419195</v>
      </c>
      <c r="G7764">
        <v>33</v>
      </c>
      <c r="H7764">
        <v>50</v>
      </c>
    </row>
    <row r="7765" spans="1:8" x14ac:dyDescent="0.3">
      <c r="A7765" s="22" t="s">
        <v>64</v>
      </c>
      <c r="B7765" t="s">
        <v>68</v>
      </c>
      <c r="C7765" s="23">
        <v>3.2612693465347578E-2</v>
      </c>
      <c r="D7765" s="23">
        <v>3.2967032967033003E-2</v>
      </c>
      <c r="E7765" s="23">
        <v>0</v>
      </c>
      <c r="F7765" s="23">
        <v>9.3023255813953501E-2</v>
      </c>
      <c r="G7765">
        <v>17</v>
      </c>
      <c r="H7765">
        <v>50</v>
      </c>
    </row>
    <row r="7766" spans="1:8" x14ac:dyDescent="0.3">
      <c r="C7766" s="23"/>
      <c r="D7766" s="23"/>
      <c r="E7766" s="23"/>
      <c r="F7766" s="23"/>
    </row>
    <row r="7767" spans="1:8" ht="72" x14ac:dyDescent="0.3">
      <c r="A7767" s="22" t="s">
        <v>1695</v>
      </c>
      <c r="C7767" s="23"/>
      <c r="D7767" s="23"/>
      <c r="E7767" s="23"/>
      <c r="F7767" s="23"/>
    </row>
    <row r="7768" spans="1:8" x14ac:dyDescent="0.3">
      <c r="A7768" s="22" t="s">
        <v>57</v>
      </c>
      <c r="B7768" t="s">
        <v>66</v>
      </c>
      <c r="C7768" s="23" t="s">
        <v>58</v>
      </c>
      <c r="D7768" s="23" t="s">
        <v>59</v>
      </c>
      <c r="E7768" s="23" t="s">
        <v>60</v>
      </c>
      <c r="F7768" s="23" t="s">
        <v>61</v>
      </c>
      <c r="G7768" t="s">
        <v>62</v>
      </c>
      <c r="H7768" t="s">
        <v>63</v>
      </c>
    </row>
    <row r="7769" spans="1:8" x14ac:dyDescent="0.3">
      <c r="A7769" s="22" t="s">
        <v>64</v>
      </c>
      <c r="B7769" t="s">
        <v>67</v>
      </c>
      <c r="C7769" s="23">
        <v>3.0488777256137332E-2</v>
      </c>
      <c r="D7769" s="23">
        <v>2.25806451612903E-2</v>
      </c>
      <c r="E7769" s="23">
        <v>7.1839080459770097E-3</v>
      </c>
      <c r="F7769" s="23">
        <v>9.3023255813953501E-2</v>
      </c>
      <c r="G7769">
        <v>34</v>
      </c>
      <c r="H7769">
        <v>50</v>
      </c>
    </row>
    <row r="7770" spans="1:8" x14ac:dyDescent="0.3">
      <c r="A7770" s="22" t="s">
        <v>64</v>
      </c>
      <c r="B7770" t="s">
        <v>68</v>
      </c>
      <c r="C7770" s="23">
        <v>6.8824429897772377E-2</v>
      </c>
      <c r="D7770" s="23">
        <v>2.8985507246376802E-2</v>
      </c>
      <c r="E7770" s="23">
        <v>0</v>
      </c>
      <c r="F7770" s="23">
        <v>0.53285968028419195</v>
      </c>
      <c r="G7770">
        <v>16</v>
      </c>
      <c r="H7770">
        <v>50</v>
      </c>
    </row>
    <row r="7771" spans="1:8" x14ac:dyDescent="0.3">
      <c r="C7771" s="23"/>
      <c r="D7771" s="23"/>
      <c r="E7771" s="23"/>
      <c r="F7771" s="23"/>
    </row>
    <row r="7772" spans="1:8" ht="72" x14ac:dyDescent="0.3">
      <c r="A7772" s="22" t="s">
        <v>1696</v>
      </c>
      <c r="C7772" s="23"/>
      <c r="D7772" s="23"/>
      <c r="E7772" s="23"/>
      <c r="F7772" s="23"/>
    </row>
    <row r="7773" spans="1:8" x14ac:dyDescent="0.3">
      <c r="A7773" s="22" t="s">
        <v>57</v>
      </c>
      <c r="B7773" t="s">
        <v>66</v>
      </c>
      <c r="C7773" s="23" t="s">
        <v>58</v>
      </c>
      <c r="D7773" s="23" t="s">
        <v>59</v>
      </c>
      <c r="E7773" s="23" t="s">
        <v>60</v>
      </c>
      <c r="F7773" s="23" t="s">
        <v>61</v>
      </c>
      <c r="G7773" t="s">
        <v>62</v>
      </c>
      <c r="H7773" t="s">
        <v>63</v>
      </c>
    </row>
    <row r="7774" spans="1:8" x14ac:dyDescent="0.3">
      <c r="A7774" s="22" t="s">
        <v>64</v>
      </c>
      <c r="B7774" t="s">
        <v>67</v>
      </c>
      <c r="C7774" s="23">
        <v>4.0005478425431978E-2</v>
      </c>
      <c r="D7774" s="23">
        <v>2.21975582685905E-2</v>
      </c>
      <c r="E7774" s="23">
        <v>0</v>
      </c>
      <c r="F7774" s="23">
        <v>0.53285968028419195</v>
      </c>
      <c r="G7774">
        <v>40</v>
      </c>
      <c r="H7774">
        <v>50</v>
      </c>
    </row>
    <row r="7775" spans="1:8" x14ac:dyDescent="0.3">
      <c r="A7775" s="22" t="s">
        <v>64</v>
      </c>
      <c r="B7775" t="s">
        <v>68</v>
      </c>
      <c r="C7775" s="23">
        <v>5.3759016805574801E-2</v>
      </c>
      <c r="D7775" s="23">
        <v>3.8961038961039002E-2</v>
      </c>
      <c r="E7775" s="23">
        <v>8.3715906022144206E-3</v>
      </c>
      <c r="F7775" s="23">
        <v>0.125</v>
      </c>
      <c r="G7775">
        <v>10</v>
      </c>
      <c r="H7775">
        <v>50</v>
      </c>
    </row>
    <row r="7776" spans="1:8" x14ac:dyDescent="0.3">
      <c r="C7776" s="23"/>
      <c r="D7776" s="23"/>
      <c r="E7776" s="23"/>
      <c r="F7776" s="23"/>
    </row>
    <row r="7777" spans="1:8" ht="86.4" x14ac:dyDescent="0.3">
      <c r="A7777" s="22" t="s">
        <v>1697</v>
      </c>
      <c r="C7777" s="23"/>
      <c r="D7777" s="23"/>
      <c r="E7777" s="23"/>
      <c r="F7777" s="23"/>
    </row>
    <row r="7778" spans="1:8" x14ac:dyDescent="0.3">
      <c r="A7778" s="22" t="s">
        <v>57</v>
      </c>
      <c r="B7778" t="s">
        <v>66</v>
      </c>
      <c r="C7778" s="23" t="s">
        <v>58</v>
      </c>
      <c r="D7778" s="23" t="s">
        <v>59</v>
      </c>
      <c r="E7778" s="23" t="s">
        <v>60</v>
      </c>
      <c r="F7778" s="23" t="s">
        <v>61</v>
      </c>
      <c r="G7778" t="s">
        <v>62</v>
      </c>
      <c r="H7778" t="s">
        <v>63</v>
      </c>
    </row>
    <row r="7779" spans="1:8" x14ac:dyDescent="0.3">
      <c r="A7779" s="22" t="s">
        <v>64</v>
      </c>
      <c r="B7779" t="s">
        <v>67</v>
      </c>
      <c r="C7779" s="23">
        <v>4.4939641455313761E-2</v>
      </c>
      <c r="D7779" s="23">
        <v>2.9411764705882401E-2</v>
      </c>
      <c r="E7779" s="23">
        <v>0</v>
      </c>
      <c r="F7779" s="23">
        <v>0.53285968028419195</v>
      </c>
      <c r="G7779">
        <v>45</v>
      </c>
      <c r="H7779">
        <v>50</v>
      </c>
    </row>
    <row r="7780" spans="1:8" x14ac:dyDescent="0.3">
      <c r="A7780" s="22" t="s">
        <v>64</v>
      </c>
      <c r="B7780" t="s">
        <v>68</v>
      </c>
      <c r="C7780" s="23">
        <v>2.3105087916781539E-2</v>
      </c>
      <c r="D7780" s="23">
        <v>2.8985507246376802E-2</v>
      </c>
      <c r="E7780" s="23">
        <v>1.5384615384615399E-2</v>
      </c>
      <c r="F7780" s="23">
        <v>3.1446540880503103E-2</v>
      </c>
      <c r="G7780">
        <v>5</v>
      </c>
      <c r="H7780">
        <v>50</v>
      </c>
    </row>
    <row r="7781" spans="1:8" x14ac:dyDescent="0.3">
      <c r="C7781" s="23"/>
      <c r="D7781" s="23"/>
      <c r="E7781" s="23"/>
      <c r="F7781" s="23"/>
    </row>
    <row r="7782" spans="1:8" ht="86.4" x14ac:dyDescent="0.3">
      <c r="A7782" s="22" t="s">
        <v>1698</v>
      </c>
      <c r="C7782" s="23"/>
      <c r="D7782" s="23"/>
      <c r="E7782" s="23"/>
      <c r="F7782" s="23"/>
    </row>
    <row r="7783" spans="1:8" x14ac:dyDescent="0.3">
      <c r="A7783" s="22" t="s">
        <v>57</v>
      </c>
      <c r="B7783" t="s">
        <v>66</v>
      </c>
      <c r="C7783" s="23" t="s">
        <v>58</v>
      </c>
      <c r="D7783" s="23" t="s">
        <v>59</v>
      </c>
      <c r="E7783" s="23" t="s">
        <v>60</v>
      </c>
      <c r="F7783" s="23" t="s">
        <v>61</v>
      </c>
      <c r="G7783" t="s">
        <v>62</v>
      </c>
      <c r="H7783" t="s">
        <v>63</v>
      </c>
    </row>
    <row r="7784" spans="1:8" x14ac:dyDescent="0.3">
      <c r="A7784" s="22" t="s">
        <v>64</v>
      </c>
      <c r="B7784" t="s">
        <v>67</v>
      </c>
      <c r="C7784" s="23">
        <v>4.2756186101460543E-2</v>
      </c>
      <c r="D7784" s="23">
        <v>2.2675736961451198E-2</v>
      </c>
      <c r="E7784" s="23">
        <v>0</v>
      </c>
      <c r="F7784" s="23">
        <v>0.53285968028419195</v>
      </c>
      <c r="G7784">
        <v>50</v>
      </c>
      <c r="H7784">
        <v>50</v>
      </c>
    </row>
    <row r="7785" spans="1:8" x14ac:dyDescent="0.3">
      <c r="C7785" s="23"/>
      <c r="D7785" s="23"/>
      <c r="E7785" s="23"/>
      <c r="F7785" s="23"/>
    </row>
    <row r="7786" spans="1:8" ht="72" x14ac:dyDescent="0.3">
      <c r="A7786" s="22" t="s">
        <v>1699</v>
      </c>
      <c r="C7786" s="23"/>
      <c r="D7786" s="23"/>
      <c r="E7786" s="23"/>
      <c r="F7786" s="23"/>
    </row>
    <row r="7787" spans="1:8" x14ac:dyDescent="0.3">
      <c r="A7787" s="22" t="s">
        <v>57</v>
      </c>
      <c r="B7787" t="s">
        <v>66</v>
      </c>
      <c r="C7787" s="23" t="s">
        <v>58</v>
      </c>
      <c r="D7787" s="23" t="s">
        <v>59</v>
      </c>
      <c r="E7787" s="23" t="s">
        <v>60</v>
      </c>
      <c r="F7787" s="23" t="s">
        <v>61</v>
      </c>
      <c r="G7787" t="s">
        <v>62</v>
      </c>
      <c r="H7787" t="s">
        <v>63</v>
      </c>
    </row>
    <row r="7788" spans="1:8" x14ac:dyDescent="0.3">
      <c r="A7788" s="22" t="s">
        <v>64</v>
      </c>
      <c r="B7788" t="s">
        <v>67</v>
      </c>
      <c r="C7788" s="23">
        <v>5.1622591467503337E-2</v>
      </c>
      <c r="D7788" s="23">
        <v>3.2967032967033003E-2</v>
      </c>
      <c r="E7788" s="23">
        <v>0</v>
      </c>
      <c r="F7788" s="23">
        <v>0.53285968028419195</v>
      </c>
      <c r="G7788">
        <v>27</v>
      </c>
      <c r="H7788">
        <v>50</v>
      </c>
    </row>
    <row r="7789" spans="1:8" x14ac:dyDescent="0.3">
      <c r="A7789" s="22" t="s">
        <v>64</v>
      </c>
      <c r="B7789" t="s">
        <v>68</v>
      </c>
      <c r="C7789" s="23">
        <v>3.2347797193497257E-2</v>
      </c>
      <c r="D7789" s="23">
        <v>2.8985507246376802E-2</v>
      </c>
      <c r="E7789" s="23">
        <v>7.1839080459770097E-3</v>
      </c>
      <c r="F7789" s="23">
        <v>0.125</v>
      </c>
      <c r="G7789">
        <v>23</v>
      </c>
      <c r="H7789">
        <v>50</v>
      </c>
    </row>
    <row r="7790" spans="1:8" x14ac:dyDescent="0.3">
      <c r="C7790" s="23"/>
      <c r="D7790" s="23"/>
      <c r="E7790" s="23"/>
      <c r="F7790" s="23"/>
    </row>
    <row r="7791" spans="1:8" ht="72" x14ac:dyDescent="0.3">
      <c r="A7791" s="22" t="s">
        <v>1700</v>
      </c>
      <c r="C7791" s="23"/>
      <c r="D7791" s="23"/>
      <c r="E7791" s="23"/>
      <c r="F7791" s="23"/>
    </row>
    <row r="7792" spans="1:8" x14ac:dyDescent="0.3">
      <c r="A7792" s="22" t="s">
        <v>57</v>
      </c>
      <c r="B7792" t="s">
        <v>66</v>
      </c>
      <c r="C7792" s="23" t="s">
        <v>58</v>
      </c>
      <c r="D7792" s="23" t="s">
        <v>59</v>
      </c>
      <c r="E7792" s="23" t="s">
        <v>60</v>
      </c>
      <c r="F7792" s="23" t="s">
        <v>61</v>
      </c>
      <c r="G7792" t="s">
        <v>62</v>
      </c>
      <c r="H7792" t="s">
        <v>63</v>
      </c>
    </row>
    <row r="7793" spans="1:8" x14ac:dyDescent="0.3">
      <c r="A7793" s="22" t="s">
        <v>64</v>
      </c>
      <c r="B7793" t="s">
        <v>67</v>
      </c>
      <c r="C7793" s="23">
        <v>4.2909671522772287E-2</v>
      </c>
      <c r="D7793" s="23">
        <v>2.5641025641025599E-2</v>
      </c>
      <c r="E7793" s="23">
        <v>0</v>
      </c>
      <c r="F7793" s="23">
        <v>0.53285968028419195</v>
      </c>
      <c r="G7793">
        <v>45</v>
      </c>
      <c r="H7793">
        <v>50</v>
      </c>
    </row>
    <row r="7794" spans="1:8" x14ac:dyDescent="0.3">
      <c r="A7794" s="22" t="s">
        <v>64</v>
      </c>
      <c r="B7794" t="s">
        <v>68</v>
      </c>
      <c r="C7794" s="23">
        <v>4.1374817309654838E-2</v>
      </c>
      <c r="D7794" s="23">
        <v>5.0432276657060501E-2</v>
      </c>
      <c r="E7794" s="23">
        <v>1.1094674556213E-2</v>
      </c>
      <c r="F7794" s="23">
        <v>7.8713594962329894E-2</v>
      </c>
      <c r="G7794">
        <v>5</v>
      </c>
      <c r="H7794">
        <v>50</v>
      </c>
    </row>
    <row r="7795" spans="1:8" x14ac:dyDescent="0.3">
      <c r="C7795" s="23"/>
      <c r="D7795" s="23"/>
      <c r="E7795" s="23"/>
      <c r="F7795" s="23"/>
    </row>
    <row r="7796" spans="1:8" ht="57.6" x14ac:dyDescent="0.3">
      <c r="A7796" s="22" t="s">
        <v>1701</v>
      </c>
      <c r="C7796" s="23"/>
      <c r="D7796" s="23"/>
      <c r="E7796" s="23"/>
      <c r="F7796" s="23"/>
    </row>
    <row r="7797" spans="1:8" x14ac:dyDescent="0.3">
      <c r="A7797" s="22" t="s">
        <v>57</v>
      </c>
      <c r="B7797" t="s">
        <v>66</v>
      </c>
      <c r="C7797" s="23" t="s">
        <v>58</v>
      </c>
      <c r="D7797" s="23" t="s">
        <v>59</v>
      </c>
      <c r="E7797" s="23" t="s">
        <v>60</v>
      </c>
      <c r="F7797" s="23" t="s">
        <v>61</v>
      </c>
      <c r="G7797" t="s">
        <v>62</v>
      </c>
      <c r="H7797" t="s">
        <v>63</v>
      </c>
    </row>
    <row r="7798" spans="1:8" x14ac:dyDescent="0.3">
      <c r="A7798" s="22" t="s">
        <v>64</v>
      </c>
      <c r="B7798" t="s">
        <v>81</v>
      </c>
      <c r="C7798" s="23">
        <v>2.2296179284893022E-2</v>
      </c>
      <c r="D7798" s="23">
        <v>2.00803212851406E-2</v>
      </c>
      <c r="E7798" s="23">
        <v>0</v>
      </c>
      <c r="F7798" s="23">
        <v>4.8000000000000001E-2</v>
      </c>
      <c r="G7798">
        <v>19</v>
      </c>
      <c r="H7798">
        <v>50</v>
      </c>
    </row>
    <row r="7799" spans="1:8" x14ac:dyDescent="0.3">
      <c r="A7799" s="22" t="s">
        <v>64</v>
      </c>
      <c r="B7799" t="s">
        <v>82</v>
      </c>
      <c r="C7799" s="23">
        <v>8.9611169357023054E-2</v>
      </c>
      <c r="D7799" s="23">
        <v>4.31034482758621E-2</v>
      </c>
      <c r="E7799" s="23">
        <v>1.6260162601626001E-2</v>
      </c>
      <c r="F7799" s="23">
        <v>0.53285968028419195</v>
      </c>
      <c r="G7799">
        <v>14</v>
      </c>
      <c r="H7799">
        <v>50</v>
      </c>
    </row>
    <row r="7800" spans="1:8" x14ac:dyDescent="0.3">
      <c r="A7800" s="22" t="s">
        <v>64</v>
      </c>
      <c r="B7800" t="s">
        <v>83</v>
      </c>
      <c r="C7800" s="23">
        <v>2.5092269331665799E-2</v>
      </c>
      <c r="D7800" s="23">
        <v>2.0661157024793399E-2</v>
      </c>
      <c r="E7800" s="23">
        <v>7.1839080459770097E-3</v>
      </c>
      <c r="F7800" s="23">
        <v>4.6511627906976702E-2</v>
      </c>
      <c r="G7800">
        <v>8</v>
      </c>
      <c r="H7800">
        <v>50</v>
      </c>
    </row>
    <row r="7801" spans="1:8" x14ac:dyDescent="0.3">
      <c r="A7801" s="22" t="s">
        <v>64</v>
      </c>
      <c r="B7801" t="s">
        <v>84</v>
      </c>
      <c r="C7801" s="23">
        <v>2.8765263667601189E-2</v>
      </c>
      <c r="D7801" s="23">
        <v>3.1545741324921099E-2</v>
      </c>
      <c r="E7801" s="23">
        <v>1.1094674556213E-2</v>
      </c>
      <c r="F7801" s="23">
        <v>5.0432276657060501E-2</v>
      </c>
      <c r="G7801">
        <v>9</v>
      </c>
      <c r="H7801">
        <v>50</v>
      </c>
    </row>
    <row r="7802" spans="1:8" x14ac:dyDescent="0.3">
      <c r="C7802" s="23"/>
      <c r="D7802" s="23"/>
      <c r="E7802" s="23"/>
      <c r="F7802" s="23"/>
    </row>
    <row r="7803" spans="1:8" ht="57.6" x14ac:dyDescent="0.3">
      <c r="A7803" s="22" t="s">
        <v>1702</v>
      </c>
    </row>
    <row r="7804" spans="1:8" x14ac:dyDescent="0.3">
      <c r="A7804" s="22" t="s">
        <v>57</v>
      </c>
      <c r="B7804" t="s">
        <v>58</v>
      </c>
      <c r="C7804" t="s">
        <v>59</v>
      </c>
      <c r="D7804" t="s">
        <v>60</v>
      </c>
      <c r="E7804" t="s">
        <v>61</v>
      </c>
      <c r="F7804" t="s">
        <v>62</v>
      </c>
      <c r="G7804" t="s">
        <v>63</v>
      </c>
    </row>
    <row r="7805" spans="1:8" x14ac:dyDescent="0.3">
      <c r="A7805" s="22" t="s">
        <v>64</v>
      </c>
      <c r="B7805" s="23">
        <v>0.1092036743309089</v>
      </c>
      <c r="C7805" s="23">
        <v>9.1743119266055106E-2</v>
      </c>
      <c r="D7805" s="23">
        <v>0</v>
      </c>
      <c r="E7805" s="23">
        <v>0.21390374331550799</v>
      </c>
      <c r="F7805">
        <v>8</v>
      </c>
      <c r="G7805">
        <v>8</v>
      </c>
    </row>
    <row r="7807" spans="1:8" ht="72" x14ac:dyDescent="0.3">
      <c r="A7807" s="22" t="s">
        <v>1703</v>
      </c>
    </row>
    <row r="7808" spans="1:8" x14ac:dyDescent="0.3">
      <c r="A7808" s="22" t="s">
        <v>57</v>
      </c>
      <c r="B7808" t="s">
        <v>66</v>
      </c>
      <c r="C7808" s="23" t="s">
        <v>58</v>
      </c>
      <c r="D7808" s="23" t="s">
        <v>59</v>
      </c>
      <c r="E7808" s="23" t="s">
        <v>60</v>
      </c>
      <c r="F7808" s="23" t="s">
        <v>61</v>
      </c>
      <c r="G7808" t="s">
        <v>62</v>
      </c>
      <c r="H7808" t="s">
        <v>63</v>
      </c>
    </row>
    <row r="7809" spans="1:8" x14ac:dyDescent="0.3">
      <c r="A7809" s="22" t="s">
        <v>64</v>
      </c>
      <c r="B7809" t="s">
        <v>67</v>
      </c>
      <c r="C7809" s="23">
        <v>0.1092036743309089</v>
      </c>
      <c r="D7809" s="23">
        <v>9.1743119266055106E-2</v>
      </c>
      <c r="E7809" s="23">
        <v>0</v>
      </c>
      <c r="F7809" s="23">
        <v>0.21390374331550799</v>
      </c>
      <c r="G7809">
        <v>8</v>
      </c>
      <c r="H7809">
        <v>8</v>
      </c>
    </row>
    <row r="7810" spans="1:8" x14ac:dyDescent="0.3">
      <c r="C7810" s="23"/>
      <c r="D7810" s="23"/>
      <c r="E7810" s="23"/>
      <c r="F7810" s="23"/>
    </row>
    <row r="7811" spans="1:8" x14ac:dyDescent="0.3">
      <c r="A7811"/>
      <c r="C7811" s="23"/>
      <c r="D7811" s="23"/>
      <c r="E7811" s="23"/>
      <c r="F7811" s="23"/>
    </row>
    <row r="7812" spans="1:8" x14ac:dyDescent="0.3">
      <c r="A7812"/>
      <c r="C7812" s="23"/>
      <c r="D7812" s="23"/>
      <c r="E7812" s="23"/>
      <c r="F7812" s="23"/>
    </row>
    <row r="7813" spans="1:8" x14ac:dyDescent="0.3">
      <c r="A7813"/>
      <c r="C7813" s="23"/>
      <c r="D7813" s="23"/>
      <c r="E7813" s="23"/>
      <c r="F7813" s="23"/>
    </row>
    <row r="7814" spans="1:8" x14ac:dyDescent="0.3">
      <c r="C7814" s="23"/>
      <c r="D7814" s="23"/>
      <c r="E7814" s="23"/>
      <c r="F7814" s="23"/>
    </row>
    <row r="7815" spans="1:8" ht="72" x14ac:dyDescent="0.3">
      <c r="A7815" s="22" t="s">
        <v>1704</v>
      </c>
      <c r="C7815" s="23"/>
      <c r="D7815" s="23"/>
      <c r="E7815" s="23"/>
      <c r="F7815" s="23"/>
    </row>
    <row r="7816" spans="1:8" x14ac:dyDescent="0.3">
      <c r="A7816" s="22" t="s">
        <v>57</v>
      </c>
      <c r="B7816" t="s">
        <v>66</v>
      </c>
      <c r="C7816" s="23" t="s">
        <v>58</v>
      </c>
      <c r="D7816" s="23" t="s">
        <v>59</v>
      </c>
      <c r="E7816" s="23" t="s">
        <v>60</v>
      </c>
      <c r="F7816" s="23" t="s">
        <v>61</v>
      </c>
      <c r="G7816" t="s">
        <v>62</v>
      </c>
      <c r="H7816" t="s">
        <v>63</v>
      </c>
    </row>
    <row r="7817" spans="1:8" x14ac:dyDescent="0.3">
      <c r="A7817" s="22" t="s">
        <v>64</v>
      </c>
      <c r="B7817" t="s">
        <v>67</v>
      </c>
      <c r="C7817" s="23">
        <v>9.4663755344284659E-2</v>
      </c>
      <c r="D7817" s="23">
        <v>4.3478260869565202E-2</v>
      </c>
      <c r="E7817" s="23">
        <v>0</v>
      </c>
      <c r="F7817" s="23">
        <v>0.21256038647343001</v>
      </c>
      <c r="G7817">
        <v>6</v>
      </c>
      <c r="H7817">
        <v>8</v>
      </c>
    </row>
    <row r="7818" spans="1:8" x14ac:dyDescent="0.3">
      <c r="A7818" s="22" t="s">
        <v>64</v>
      </c>
      <c r="B7818" t="s">
        <v>68</v>
      </c>
      <c r="C7818" s="23">
        <v>0.15282343129078149</v>
      </c>
      <c r="D7818" s="23">
        <v>9.1743119266055106E-2</v>
      </c>
      <c r="E7818" s="23">
        <v>9.1743119266055106E-2</v>
      </c>
      <c r="F7818" s="23">
        <v>0.21390374331550799</v>
      </c>
      <c r="G7818">
        <v>2</v>
      </c>
      <c r="H7818">
        <v>8</v>
      </c>
    </row>
    <row r="7819" spans="1:8" x14ac:dyDescent="0.3">
      <c r="C7819" s="23"/>
      <c r="D7819" s="23"/>
      <c r="E7819" s="23"/>
      <c r="F7819" s="23"/>
    </row>
    <row r="7820" spans="1:8" ht="72" x14ac:dyDescent="0.3">
      <c r="A7820" s="22" t="s">
        <v>1705</v>
      </c>
      <c r="C7820" s="23"/>
      <c r="D7820" s="23"/>
      <c r="E7820" s="23"/>
      <c r="F7820" s="23"/>
    </row>
    <row r="7821" spans="1:8" x14ac:dyDescent="0.3">
      <c r="A7821" s="22" t="s">
        <v>57</v>
      </c>
      <c r="B7821" t="s">
        <v>66</v>
      </c>
      <c r="C7821" s="23" t="s">
        <v>58</v>
      </c>
      <c r="D7821" s="23" t="s">
        <v>59</v>
      </c>
      <c r="E7821" s="23" t="s">
        <v>60</v>
      </c>
      <c r="F7821" s="23" t="s">
        <v>61</v>
      </c>
      <c r="G7821" t="s">
        <v>62</v>
      </c>
      <c r="H7821" t="s">
        <v>63</v>
      </c>
    </row>
    <row r="7822" spans="1:8" x14ac:dyDescent="0.3">
      <c r="A7822" s="22" t="s">
        <v>64</v>
      </c>
      <c r="B7822" t="s">
        <v>67</v>
      </c>
      <c r="C7822" s="23">
        <v>0.1092036743309089</v>
      </c>
      <c r="D7822" s="23">
        <v>9.1743119266055106E-2</v>
      </c>
      <c r="E7822" s="23">
        <v>0</v>
      </c>
      <c r="F7822" s="23">
        <v>0.21390374331550799</v>
      </c>
      <c r="G7822">
        <v>8</v>
      </c>
      <c r="H7822">
        <v>8</v>
      </c>
    </row>
    <row r="7823" spans="1:8" x14ac:dyDescent="0.3">
      <c r="C7823" s="23"/>
      <c r="D7823" s="23"/>
      <c r="E7823" s="23"/>
      <c r="F7823" s="23"/>
    </row>
    <row r="7824" spans="1:8" ht="72" x14ac:dyDescent="0.3">
      <c r="A7824" s="22" t="s">
        <v>1706</v>
      </c>
      <c r="C7824" s="23"/>
      <c r="D7824" s="23"/>
      <c r="E7824" s="23"/>
      <c r="F7824" s="23"/>
    </row>
    <row r="7825" spans="1:8" x14ac:dyDescent="0.3">
      <c r="A7825" s="22" t="s">
        <v>57</v>
      </c>
      <c r="B7825" t="s">
        <v>66</v>
      </c>
      <c r="C7825" s="23" t="s">
        <v>58</v>
      </c>
      <c r="D7825" s="23" t="s">
        <v>59</v>
      </c>
      <c r="E7825" s="23" t="s">
        <v>60</v>
      </c>
      <c r="F7825" s="23" t="s">
        <v>61</v>
      </c>
      <c r="G7825" t="s">
        <v>62</v>
      </c>
      <c r="H7825" t="s">
        <v>63</v>
      </c>
    </row>
    <row r="7826" spans="1:8" x14ac:dyDescent="0.3">
      <c r="A7826" s="22" t="s">
        <v>64</v>
      </c>
      <c r="B7826" t="s">
        <v>67</v>
      </c>
      <c r="C7826" s="23">
        <v>0.1092036743309089</v>
      </c>
      <c r="D7826" s="23">
        <v>9.1743119266055106E-2</v>
      </c>
      <c r="E7826" s="23">
        <v>0</v>
      </c>
      <c r="F7826" s="23">
        <v>0.21390374331550799</v>
      </c>
      <c r="G7826">
        <v>8</v>
      </c>
      <c r="H7826">
        <v>8</v>
      </c>
    </row>
    <row r="7827" spans="1:8" x14ac:dyDescent="0.3">
      <c r="C7827" s="23"/>
      <c r="D7827" s="23"/>
      <c r="E7827" s="23"/>
      <c r="F7827" s="23"/>
    </row>
    <row r="7828" spans="1:8" ht="72" x14ac:dyDescent="0.3">
      <c r="A7828" s="22" t="s">
        <v>1707</v>
      </c>
      <c r="C7828" s="23"/>
      <c r="D7828" s="23"/>
      <c r="E7828" s="23"/>
      <c r="F7828" s="23"/>
    </row>
    <row r="7829" spans="1:8" x14ac:dyDescent="0.3">
      <c r="A7829" s="22" t="s">
        <v>57</v>
      </c>
      <c r="B7829" t="s">
        <v>66</v>
      </c>
      <c r="C7829" s="23" t="s">
        <v>58</v>
      </c>
      <c r="D7829" s="23" t="s">
        <v>59</v>
      </c>
      <c r="E7829" s="23" t="s">
        <v>60</v>
      </c>
      <c r="F7829" s="23" t="s">
        <v>61</v>
      </c>
      <c r="G7829" t="s">
        <v>62</v>
      </c>
      <c r="H7829" t="s">
        <v>63</v>
      </c>
    </row>
    <row r="7830" spans="1:8" x14ac:dyDescent="0.3">
      <c r="A7830" s="22" t="s">
        <v>64</v>
      </c>
      <c r="B7830" t="s">
        <v>67</v>
      </c>
      <c r="C7830" s="23">
        <v>0.21390374331550799</v>
      </c>
      <c r="D7830" s="23">
        <v>0.21390374331550799</v>
      </c>
      <c r="E7830" s="23">
        <v>0.21390374331550799</v>
      </c>
      <c r="F7830" s="23">
        <v>0.21390374331550799</v>
      </c>
      <c r="G7830">
        <v>1</v>
      </c>
      <c r="H7830">
        <v>8</v>
      </c>
    </row>
    <row r="7831" spans="1:8" x14ac:dyDescent="0.3">
      <c r="A7831" s="22" t="s">
        <v>64</v>
      </c>
      <c r="B7831" t="s">
        <v>68</v>
      </c>
      <c r="C7831" s="23">
        <v>9.4246521618823284E-2</v>
      </c>
      <c r="D7831" s="23">
        <v>0.102564102564103</v>
      </c>
      <c r="E7831" s="23">
        <v>0</v>
      </c>
      <c r="F7831" s="23">
        <v>0.21256038647343001</v>
      </c>
      <c r="G7831">
        <v>7</v>
      </c>
      <c r="H7831">
        <v>8</v>
      </c>
    </row>
    <row r="7832" spans="1:8" x14ac:dyDescent="0.3">
      <c r="C7832" s="23"/>
      <c r="D7832" s="23"/>
      <c r="E7832" s="23"/>
      <c r="F7832" s="23"/>
    </row>
    <row r="7833" spans="1:8" ht="72" x14ac:dyDescent="0.3">
      <c r="A7833" s="22" t="s">
        <v>1708</v>
      </c>
      <c r="C7833" s="23"/>
      <c r="D7833" s="23"/>
      <c r="E7833" s="23"/>
      <c r="F7833" s="23"/>
    </row>
    <row r="7834" spans="1:8" x14ac:dyDescent="0.3">
      <c r="A7834" s="22" t="s">
        <v>57</v>
      </c>
      <c r="B7834" t="s">
        <v>66</v>
      </c>
      <c r="C7834" s="23" t="s">
        <v>58</v>
      </c>
      <c r="D7834" s="23" t="s">
        <v>59</v>
      </c>
      <c r="E7834" s="23" t="s">
        <v>60</v>
      </c>
      <c r="F7834" s="23" t="s">
        <v>61</v>
      </c>
      <c r="G7834" t="s">
        <v>62</v>
      </c>
      <c r="H7834" t="s">
        <v>63</v>
      </c>
    </row>
    <row r="7835" spans="1:8" x14ac:dyDescent="0.3">
      <c r="A7835" s="22" t="s">
        <v>64</v>
      </c>
      <c r="B7835" t="s">
        <v>67</v>
      </c>
      <c r="C7835" s="23">
        <v>0.1248041992353244</v>
      </c>
      <c r="D7835" s="23">
        <v>0.19047619047618999</v>
      </c>
      <c r="E7835" s="23">
        <v>1.8903591682419701E-2</v>
      </c>
      <c r="F7835" s="23">
        <v>0.21390374331550799</v>
      </c>
      <c r="G7835">
        <v>7</v>
      </c>
      <c r="H7835">
        <v>8</v>
      </c>
    </row>
    <row r="7836" spans="1:8" x14ac:dyDescent="0.3">
      <c r="A7836" s="22" t="s">
        <v>64</v>
      </c>
      <c r="B7836" t="s">
        <v>68</v>
      </c>
      <c r="C7836" s="23">
        <v>0</v>
      </c>
      <c r="D7836" s="23">
        <v>0</v>
      </c>
      <c r="E7836" s="23">
        <v>0</v>
      </c>
      <c r="F7836" s="23">
        <v>0</v>
      </c>
      <c r="G7836">
        <v>1</v>
      </c>
      <c r="H7836">
        <v>8</v>
      </c>
    </row>
    <row r="7837" spans="1:8" x14ac:dyDescent="0.3">
      <c r="C7837" s="23"/>
      <c r="D7837" s="23"/>
      <c r="E7837" s="23"/>
      <c r="F7837" s="23"/>
    </row>
    <row r="7838" spans="1:8" ht="72" x14ac:dyDescent="0.3">
      <c r="A7838" s="22" t="s">
        <v>1709</v>
      </c>
      <c r="C7838" s="23"/>
      <c r="D7838" s="23"/>
      <c r="E7838" s="23"/>
      <c r="F7838" s="23"/>
    </row>
    <row r="7839" spans="1:8" x14ac:dyDescent="0.3">
      <c r="A7839" s="22" t="s">
        <v>57</v>
      </c>
      <c r="B7839" t="s">
        <v>66</v>
      </c>
      <c r="C7839" s="23" t="s">
        <v>58</v>
      </c>
      <c r="D7839" s="23" t="s">
        <v>59</v>
      </c>
      <c r="E7839" s="23" t="s">
        <v>60</v>
      </c>
      <c r="F7839" s="23" t="s">
        <v>61</v>
      </c>
      <c r="G7839" t="s">
        <v>62</v>
      </c>
      <c r="H7839" t="s">
        <v>63</v>
      </c>
    </row>
    <row r="7840" spans="1:8" x14ac:dyDescent="0.3">
      <c r="A7840" s="22" t="s">
        <v>64</v>
      </c>
      <c r="B7840" t="s">
        <v>67</v>
      </c>
      <c r="C7840" s="23">
        <v>0.1029317912173793</v>
      </c>
      <c r="D7840" s="23">
        <v>9.1743119266055106E-2</v>
      </c>
      <c r="E7840" s="23">
        <v>0</v>
      </c>
      <c r="F7840" s="23">
        <v>0.21390374331550799</v>
      </c>
      <c r="G7840">
        <v>6</v>
      </c>
      <c r="H7840">
        <v>8</v>
      </c>
    </row>
    <row r="7841" spans="1:8" x14ac:dyDescent="0.3">
      <c r="A7841" s="22" t="s">
        <v>64</v>
      </c>
      <c r="B7841" t="s">
        <v>68</v>
      </c>
      <c r="C7841" s="23">
        <v>0.1280193236714976</v>
      </c>
      <c r="D7841" s="23">
        <v>4.3478260869565202E-2</v>
      </c>
      <c r="E7841" s="23">
        <v>4.3478260869565202E-2</v>
      </c>
      <c r="F7841" s="23">
        <v>0.21256038647343001</v>
      </c>
      <c r="G7841">
        <v>2</v>
      </c>
      <c r="H7841">
        <v>8</v>
      </c>
    </row>
    <row r="7842" spans="1:8" x14ac:dyDescent="0.3">
      <c r="C7842" s="23"/>
      <c r="D7842" s="23"/>
      <c r="E7842" s="23"/>
      <c r="F7842" s="23"/>
    </row>
    <row r="7843" spans="1:8" ht="72" x14ac:dyDescent="0.3">
      <c r="A7843" s="22" t="s">
        <v>1710</v>
      </c>
      <c r="C7843" s="23"/>
      <c r="D7843" s="23"/>
      <c r="E7843" s="23"/>
      <c r="F7843" s="23"/>
    </row>
    <row r="7844" spans="1:8" x14ac:dyDescent="0.3">
      <c r="A7844" s="22" t="s">
        <v>57</v>
      </c>
      <c r="B7844" t="s">
        <v>66</v>
      </c>
      <c r="C7844" s="23" t="s">
        <v>58</v>
      </c>
      <c r="D7844" s="23" t="s">
        <v>59</v>
      </c>
      <c r="E7844" s="23" t="s">
        <v>60</v>
      </c>
      <c r="F7844" s="23" t="s">
        <v>61</v>
      </c>
      <c r="G7844" t="s">
        <v>62</v>
      </c>
      <c r="H7844" t="s">
        <v>63</v>
      </c>
    </row>
    <row r="7845" spans="1:8" x14ac:dyDescent="0.3">
      <c r="A7845" s="22" t="s">
        <v>64</v>
      </c>
      <c r="B7845" t="s">
        <v>67</v>
      </c>
      <c r="C7845" s="23">
        <v>0.1221036861378359</v>
      </c>
      <c r="D7845" s="23">
        <v>0.19047619047618999</v>
      </c>
      <c r="E7845" s="23">
        <v>0</v>
      </c>
      <c r="F7845" s="23">
        <v>0.21390374331550799</v>
      </c>
      <c r="G7845">
        <v>7</v>
      </c>
      <c r="H7845">
        <v>8</v>
      </c>
    </row>
    <row r="7846" spans="1:8" x14ac:dyDescent="0.3">
      <c r="A7846" s="22" t="s">
        <v>64</v>
      </c>
      <c r="B7846" t="s">
        <v>68</v>
      </c>
      <c r="C7846" s="23">
        <v>1.8903591682419701E-2</v>
      </c>
      <c r="D7846" s="23">
        <v>1.8903591682419701E-2</v>
      </c>
      <c r="E7846" s="23">
        <v>1.8903591682419701E-2</v>
      </c>
      <c r="F7846" s="23">
        <v>1.8903591682419701E-2</v>
      </c>
      <c r="G7846">
        <v>1</v>
      </c>
      <c r="H7846">
        <v>8</v>
      </c>
    </row>
    <row r="7847" spans="1:8" x14ac:dyDescent="0.3">
      <c r="C7847" s="23"/>
      <c r="D7847" s="23"/>
      <c r="E7847" s="23"/>
      <c r="F7847" s="23"/>
    </row>
    <row r="7848" spans="1:8" ht="86.4" x14ac:dyDescent="0.3">
      <c r="A7848" s="22" t="s">
        <v>1711</v>
      </c>
      <c r="C7848" s="23"/>
      <c r="D7848" s="23"/>
      <c r="E7848" s="23"/>
      <c r="F7848" s="23"/>
    </row>
    <row r="7849" spans="1:8" x14ac:dyDescent="0.3">
      <c r="A7849" s="22" t="s">
        <v>57</v>
      </c>
      <c r="B7849" t="s">
        <v>66</v>
      </c>
      <c r="C7849" s="23" t="s">
        <v>58</v>
      </c>
      <c r="D7849" s="23" t="s">
        <v>59</v>
      </c>
      <c r="E7849" s="23" t="s">
        <v>60</v>
      </c>
      <c r="F7849" s="23" t="s">
        <v>61</v>
      </c>
      <c r="G7849" t="s">
        <v>62</v>
      </c>
      <c r="H7849" t="s">
        <v>63</v>
      </c>
    </row>
    <row r="7850" spans="1:8" x14ac:dyDescent="0.3">
      <c r="A7850" s="22" t="s">
        <v>64</v>
      </c>
      <c r="B7850" t="s">
        <v>67</v>
      </c>
      <c r="C7850" s="23">
        <v>7.3605743026709594E-2</v>
      </c>
      <c r="D7850" s="23">
        <v>9.1743119266055106E-2</v>
      </c>
      <c r="E7850" s="23">
        <v>0</v>
      </c>
      <c r="F7850" s="23">
        <v>0.21390374331550799</v>
      </c>
      <c r="G7850">
        <v>5</v>
      </c>
      <c r="H7850">
        <v>8</v>
      </c>
    </row>
    <row r="7851" spans="1:8" x14ac:dyDescent="0.3">
      <c r="A7851" s="22" t="s">
        <v>64</v>
      </c>
      <c r="B7851" t="s">
        <v>68</v>
      </c>
      <c r="C7851" s="23">
        <v>0.16853355983790769</v>
      </c>
      <c r="D7851" s="23">
        <v>0.21256038647343001</v>
      </c>
      <c r="E7851" s="23">
        <v>0.102564102564103</v>
      </c>
      <c r="F7851" s="23">
        <v>0.21256038647343001</v>
      </c>
      <c r="G7851">
        <v>3</v>
      </c>
      <c r="H7851">
        <v>8</v>
      </c>
    </row>
    <row r="7852" spans="1:8" x14ac:dyDescent="0.3">
      <c r="C7852" s="23"/>
      <c r="D7852" s="23"/>
      <c r="E7852" s="23"/>
      <c r="F7852" s="23"/>
    </row>
    <row r="7853" spans="1:8" ht="86.4" x14ac:dyDescent="0.3">
      <c r="A7853" s="22" t="s">
        <v>1712</v>
      </c>
      <c r="C7853" s="23"/>
      <c r="D7853" s="23"/>
      <c r="E7853" s="23"/>
      <c r="F7853" s="23"/>
    </row>
    <row r="7854" spans="1:8" x14ac:dyDescent="0.3">
      <c r="A7854" s="22" t="s">
        <v>57</v>
      </c>
      <c r="B7854" t="s">
        <v>66</v>
      </c>
      <c r="C7854" s="23" t="s">
        <v>58</v>
      </c>
      <c r="D7854" s="23" t="s">
        <v>59</v>
      </c>
      <c r="E7854" s="23" t="s">
        <v>60</v>
      </c>
      <c r="F7854" s="23" t="s">
        <v>61</v>
      </c>
      <c r="G7854" t="s">
        <v>62</v>
      </c>
      <c r="H7854" t="s">
        <v>63</v>
      </c>
    </row>
    <row r="7855" spans="1:8" x14ac:dyDescent="0.3">
      <c r="A7855" s="22" t="s">
        <v>64</v>
      </c>
      <c r="B7855" t="s">
        <v>67</v>
      </c>
      <c r="C7855" s="23">
        <v>0.1092036743309089</v>
      </c>
      <c r="D7855" s="23">
        <v>9.1743119266055106E-2</v>
      </c>
      <c r="E7855" s="23">
        <v>0</v>
      </c>
      <c r="F7855" s="23">
        <v>0.21390374331550799</v>
      </c>
      <c r="G7855">
        <v>8</v>
      </c>
      <c r="H7855">
        <v>8</v>
      </c>
    </row>
    <row r="7856" spans="1:8" x14ac:dyDescent="0.3">
      <c r="C7856" s="23"/>
      <c r="D7856" s="23"/>
      <c r="E7856" s="23"/>
      <c r="F7856" s="23"/>
    </row>
    <row r="7857" spans="1:8" ht="72" x14ac:dyDescent="0.3">
      <c r="A7857" s="22" t="s">
        <v>1713</v>
      </c>
      <c r="C7857" s="23"/>
      <c r="D7857" s="23"/>
      <c r="E7857" s="23"/>
      <c r="F7857" s="23"/>
    </row>
    <row r="7858" spans="1:8" x14ac:dyDescent="0.3">
      <c r="A7858" s="22" t="s">
        <v>57</v>
      </c>
      <c r="B7858" t="s">
        <v>66</v>
      </c>
      <c r="C7858" s="23" t="s">
        <v>58</v>
      </c>
      <c r="D7858" s="23" t="s">
        <v>59</v>
      </c>
      <c r="E7858" s="23" t="s">
        <v>60</v>
      </c>
      <c r="F7858" s="23" t="s">
        <v>61</v>
      </c>
      <c r="G7858" t="s">
        <v>62</v>
      </c>
      <c r="H7858" t="s">
        <v>63</v>
      </c>
    </row>
    <row r="7859" spans="1:8" x14ac:dyDescent="0.3">
      <c r="A7859" s="22" t="s">
        <v>64</v>
      </c>
      <c r="B7859" t="s">
        <v>67</v>
      </c>
      <c r="C7859" s="23">
        <v>5.5323355474237397E-2</v>
      </c>
      <c r="D7859" s="23">
        <v>1.8903591682419701E-2</v>
      </c>
      <c r="E7859" s="23">
        <v>1.8903591682419701E-2</v>
      </c>
      <c r="F7859" s="23">
        <v>9.1743119266055106E-2</v>
      </c>
      <c r="G7859">
        <v>2</v>
      </c>
      <c r="H7859">
        <v>8</v>
      </c>
    </row>
    <row r="7860" spans="1:8" x14ac:dyDescent="0.3">
      <c r="A7860" s="22" t="s">
        <v>64</v>
      </c>
      <c r="B7860" t="s">
        <v>68</v>
      </c>
      <c r="C7860" s="23">
        <v>0.12716378061646599</v>
      </c>
      <c r="D7860" s="23">
        <v>0.102564102564103</v>
      </c>
      <c r="E7860" s="23">
        <v>0</v>
      </c>
      <c r="F7860" s="23">
        <v>0.21390374331550799</v>
      </c>
      <c r="G7860">
        <v>6</v>
      </c>
      <c r="H7860">
        <v>8</v>
      </c>
    </row>
    <row r="7861" spans="1:8" x14ac:dyDescent="0.3">
      <c r="C7861" s="23"/>
      <c r="D7861" s="23"/>
      <c r="E7861" s="23"/>
      <c r="F7861" s="23"/>
    </row>
    <row r="7862" spans="1:8" ht="72" x14ac:dyDescent="0.3">
      <c r="A7862" s="22" t="s">
        <v>1714</v>
      </c>
      <c r="C7862" s="23"/>
      <c r="D7862" s="23"/>
      <c r="E7862" s="23"/>
      <c r="F7862" s="23"/>
    </row>
    <row r="7863" spans="1:8" x14ac:dyDescent="0.3">
      <c r="A7863" s="22" t="s">
        <v>57</v>
      </c>
      <c r="B7863" t="s">
        <v>66</v>
      </c>
      <c r="C7863" s="23" t="s">
        <v>58</v>
      </c>
      <c r="D7863" s="23" t="s">
        <v>59</v>
      </c>
      <c r="E7863" s="23" t="s">
        <v>60</v>
      </c>
      <c r="F7863" s="23" t="s">
        <v>61</v>
      </c>
      <c r="G7863" t="s">
        <v>62</v>
      </c>
      <c r="H7863" t="s">
        <v>63</v>
      </c>
    </row>
    <row r="7864" spans="1:8" x14ac:dyDescent="0.3">
      <c r="A7864" s="22" t="s">
        <v>64</v>
      </c>
      <c r="B7864" t="s">
        <v>67</v>
      </c>
      <c r="C7864" s="23">
        <v>0.1092036743309089</v>
      </c>
      <c r="D7864" s="23">
        <v>9.1743119266055106E-2</v>
      </c>
      <c r="E7864" s="23">
        <v>0</v>
      </c>
      <c r="F7864" s="23">
        <v>0.21390374331550799</v>
      </c>
      <c r="G7864">
        <v>8</v>
      </c>
      <c r="H7864">
        <v>8</v>
      </c>
    </row>
    <row r="7865" spans="1:8" x14ac:dyDescent="0.3">
      <c r="C7865" s="23"/>
      <c r="D7865" s="23"/>
      <c r="E7865" s="23"/>
      <c r="F7865" s="23"/>
    </row>
    <row r="7866" spans="1:8" ht="57.6" x14ac:dyDescent="0.3">
      <c r="A7866" s="22" t="s">
        <v>1715</v>
      </c>
      <c r="C7866" s="23"/>
      <c r="D7866" s="23"/>
      <c r="E7866" s="23"/>
      <c r="F7866" s="23"/>
    </row>
    <row r="7867" spans="1:8" x14ac:dyDescent="0.3">
      <c r="A7867" s="22" t="s">
        <v>57</v>
      </c>
      <c r="B7867" t="s">
        <v>66</v>
      </c>
      <c r="C7867" s="23" t="s">
        <v>58</v>
      </c>
      <c r="D7867" s="23" t="s">
        <v>59</v>
      </c>
      <c r="E7867" s="23" t="s">
        <v>60</v>
      </c>
      <c r="F7867" s="23" t="s">
        <v>61</v>
      </c>
      <c r="G7867" t="s">
        <v>62</v>
      </c>
      <c r="H7867" t="s">
        <v>63</v>
      </c>
    </row>
    <row r="7868" spans="1:8" x14ac:dyDescent="0.3">
      <c r="A7868" s="22" t="s">
        <v>64</v>
      </c>
      <c r="B7868" t="s">
        <v>81</v>
      </c>
      <c r="C7868" s="23">
        <v>3.1190926275992448E-2</v>
      </c>
      <c r="D7868" s="23">
        <v>1.8903591682419701E-2</v>
      </c>
      <c r="E7868" s="23">
        <v>1.8903591682419701E-2</v>
      </c>
      <c r="F7868" s="23">
        <v>4.3478260869565202E-2</v>
      </c>
      <c r="G7868">
        <v>2</v>
      </c>
      <c r="H7868">
        <v>8</v>
      </c>
    </row>
    <row r="7869" spans="1:8" x14ac:dyDescent="0.3">
      <c r="A7869" s="22" t="s">
        <v>64</v>
      </c>
      <c r="B7869" t="s">
        <v>82</v>
      </c>
      <c r="C7869" s="23">
        <v>0.21390374331550799</v>
      </c>
      <c r="D7869" s="23">
        <v>0.21390374331550799</v>
      </c>
      <c r="E7869" s="23">
        <v>0.21390374331550799</v>
      </c>
      <c r="F7869" s="23">
        <v>0.21390374331550799</v>
      </c>
      <c r="G7869">
        <v>1</v>
      </c>
      <c r="H7869">
        <v>8</v>
      </c>
    </row>
    <row r="7870" spans="1:8" x14ac:dyDescent="0.3">
      <c r="A7870" s="22" t="s">
        <v>64</v>
      </c>
      <c r="B7870" t="s">
        <v>83</v>
      </c>
      <c r="C7870" s="23">
        <v>0.1236949240539188</v>
      </c>
      <c r="D7870" s="23">
        <v>9.1743119266055106E-2</v>
      </c>
      <c r="E7870" s="23">
        <v>0</v>
      </c>
      <c r="F7870" s="23">
        <v>0.21256038647343001</v>
      </c>
      <c r="G7870">
        <v>4</v>
      </c>
      <c r="H7870">
        <v>8</v>
      </c>
    </row>
    <row r="7871" spans="1:8" x14ac:dyDescent="0.3">
      <c r="A7871" s="22" t="s">
        <v>64</v>
      </c>
      <c r="B7871" t="s">
        <v>84</v>
      </c>
      <c r="C7871" s="23">
        <v>0.102564102564103</v>
      </c>
      <c r="D7871" s="23">
        <v>0.102564102564103</v>
      </c>
      <c r="E7871" s="23">
        <v>0.102564102564103</v>
      </c>
      <c r="F7871" s="23">
        <v>0.102564102564103</v>
      </c>
      <c r="G7871">
        <v>1</v>
      </c>
      <c r="H7871">
        <v>8</v>
      </c>
    </row>
    <row r="7872" spans="1:8" x14ac:dyDescent="0.3">
      <c r="C7872" s="23"/>
      <c r="D7872" s="23"/>
      <c r="E7872" s="23"/>
      <c r="F7872" s="23"/>
    </row>
    <row r="7873" spans="1:8" ht="57.6" x14ac:dyDescent="0.3">
      <c r="A7873" s="22" t="s">
        <v>1716</v>
      </c>
      <c r="C7873" s="23"/>
      <c r="D7873" s="23"/>
      <c r="E7873" s="23"/>
      <c r="F7873" s="23"/>
    </row>
    <row r="7874" spans="1:8" x14ac:dyDescent="0.3">
      <c r="A7874" s="22" t="s">
        <v>57</v>
      </c>
      <c r="B7874" t="s">
        <v>58</v>
      </c>
      <c r="C7874" t="s">
        <v>59</v>
      </c>
      <c r="D7874" t="s">
        <v>60</v>
      </c>
      <c r="E7874" t="s">
        <v>61</v>
      </c>
      <c r="F7874" t="s">
        <v>62</v>
      </c>
      <c r="G7874" t="s">
        <v>63</v>
      </c>
    </row>
    <row r="7875" spans="1:8" x14ac:dyDescent="0.3">
      <c r="A7875" s="22" t="s">
        <v>64</v>
      </c>
      <c r="B7875" s="23">
        <v>7.9859597339021648E-2</v>
      </c>
      <c r="C7875" s="23">
        <v>7.5757575757575801E-2</v>
      </c>
      <c r="D7875" s="23">
        <v>0</v>
      </c>
      <c r="E7875" s="23">
        <v>0.19230769230769201</v>
      </c>
      <c r="F7875">
        <v>11</v>
      </c>
      <c r="G7875">
        <v>11</v>
      </c>
    </row>
    <row r="7876" spans="1:8" x14ac:dyDescent="0.3">
      <c r="B7876" s="23"/>
      <c r="C7876" s="23"/>
      <c r="D7876" s="23"/>
      <c r="E7876" s="23"/>
    </row>
    <row r="7877" spans="1:8" ht="72" x14ac:dyDescent="0.3">
      <c r="A7877" s="22" t="s">
        <v>1717</v>
      </c>
      <c r="C7877" s="23"/>
      <c r="D7877" s="23"/>
      <c r="E7877" s="23"/>
      <c r="F7877" s="23"/>
    </row>
    <row r="7878" spans="1:8" x14ac:dyDescent="0.3">
      <c r="A7878" s="22" t="s">
        <v>57</v>
      </c>
      <c r="B7878" t="s">
        <v>66</v>
      </c>
      <c r="C7878" s="23" t="s">
        <v>58</v>
      </c>
      <c r="D7878" s="23" t="s">
        <v>59</v>
      </c>
      <c r="E7878" s="23" t="s">
        <v>60</v>
      </c>
      <c r="F7878" s="23" t="s">
        <v>61</v>
      </c>
      <c r="G7878" t="s">
        <v>62</v>
      </c>
      <c r="H7878" t="s">
        <v>63</v>
      </c>
    </row>
    <row r="7879" spans="1:8" x14ac:dyDescent="0.3">
      <c r="A7879" s="22" t="s">
        <v>64</v>
      </c>
      <c r="B7879" t="s">
        <v>67</v>
      </c>
      <c r="C7879" s="23">
        <v>7.9859597339021648E-2</v>
      </c>
      <c r="D7879" s="23">
        <v>7.5757575757575801E-2</v>
      </c>
      <c r="E7879" s="23">
        <v>0</v>
      </c>
      <c r="F7879" s="23">
        <v>0.19230769230769201</v>
      </c>
      <c r="G7879">
        <v>11</v>
      </c>
      <c r="H7879">
        <v>11</v>
      </c>
    </row>
    <row r="7880" spans="1:8" x14ac:dyDescent="0.3">
      <c r="C7880" s="23"/>
      <c r="D7880" s="23"/>
      <c r="E7880" s="23"/>
      <c r="F7880" s="23"/>
    </row>
    <row r="7881" spans="1:8" x14ac:dyDescent="0.3">
      <c r="A7881"/>
      <c r="C7881" s="23"/>
      <c r="D7881" s="23"/>
      <c r="E7881" s="23"/>
      <c r="F7881" s="23"/>
    </row>
    <row r="7882" spans="1:8" x14ac:dyDescent="0.3">
      <c r="A7882"/>
      <c r="C7882" s="23"/>
      <c r="D7882" s="23"/>
      <c r="E7882" s="23"/>
      <c r="F7882" s="23"/>
    </row>
    <row r="7883" spans="1:8" x14ac:dyDescent="0.3">
      <c r="A7883"/>
      <c r="C7883" s="23"/>
      <c r="D7883" s="23"/>
      <c r="E7883" s="23"/>
      <c r="F7883" s="23"/>
    </row>
    <row r="7884" spans="1:8" x14ac:dyDescent="0.3">
      <c r="C7884" s="23"/>
      <c r="D7884" s="23"/>
      <c r="E7884" s="23"/>
      <c r="F7884" s="23"/>
    </row>
    <row r="7885" spans="1:8" ht="72" x14ac:dyDescent="0.3">
      <c r="A7885" s="22" t="s">
        <v>1718</v>
      </c>
      <c r="C7885" s="23"/>
      <c r="D7885" s="23"/>
      <c r="E7885" s="23"/>
      <c r="F7885" s="23"/>
    </row>
    <row r="7886" spans="1:8" x14ac:dyDescent="0.3">
      <c r="A7886" s="22" t="s">
        <v>57</v>
      </c>
      <c r="B7886" t="s">
        <v>66</v>
      </c>
      <c r="C7886" s="23" t="s">
        <v>58</v>
      </c>
      <c r="D7886" s="23" t="s">
        <v>59</v>
      </c>
      <c r="E7886" s="23" t="s">
        <v>60</v>
      </c>
      <c r="F7886" s="23" t="s">
        <v>61</v>
      </c>
      <c r="G7886" t="s">
        <v>62</v>
      </c>
      <c r="H7886" t="s">
        <v>63</v>
      </c>
    </row>
    <row r="7887" spans="1:8" x14ac:dyDescent="0.3">
      <c r="A7887" s="22" t="s">
        <v>64</v>
      </c>
      <c r="B7887" t="s">
        <v>67</v>
      </c>
      <c r="C7887" s="23">
        <v>7.9859597339021648E-2</v>
      </c>
      <c r="D7887" s="23">
        <v>7.5757575757575801E-2</v>
      </c>
      <c r="E7887" s="23">
        <v>0</v>
      </c>
      <c r="F7887" s="23">
        <v>0.19230769230769201</v>
      </c>
      <c r="G7887">
        <v>11</v>
      </c>
      <c r="H7887">
        <v>11</v>
      </c>
    </row>
    <row r="7888" spans="1:8" x14ac:dyDescent="0.3">
      <c r="C7888" s="23"/>
      <c r="D7888" s="23"/>
      <c r="E7888" s="23"/>
      <c r="F7888" s="23"/>
    </row>
    <row r="7889" spans="1:8" ht="72" x14ac:dyDescent="0.3">
      <c r="A7889" s="22" t="s">
        <v>1719</v>
      </c>
      <c r="C7889" s="23"/>
      <c r="D7889" s="23"/>
      <c r="E7889" s="23"/>
      <c r="F7889" s="23"/>
    </row>
    <row r="7890" spans="1:8" x14ac:dyDescent="0.3">
      <c r="A7890" s="22" t="s">
        <v>57</v>
      </c>
      <c r="B7890" t="s">
        <v>66</v>
      </c>
      <c r="C7890" s="23" t="s">
        <v>58</v>
      </c>
      <c r="D7890" s="23" t="s">
        <v>59</v>
      </c>
      <c r="E7890" s="23" t="s">
        <v>60</v>
      </c>
      <c r="F7890" s="23" t="s">
        <v>61</v>
      </c>
      <c r="G7890" t="s">
        <v>62</v>
      </c>
      <c r="H7890" t="s">
        <v>63</v>
      </c>
    </row>
    <row r="7891" spans="1:8" x14ac:dyDescent="0.3">
      <c r="A7891" s="22" t="s">
        <v>64</v>
      </c>
      <c r="B7891" t="s">
        <v>67</v>
      </c>
      <c r="C7891" s="23">
        <v>7.9859597339021648E-2</v>
      </c>
      <c r="D7891" s="23">
        <v>7.5757575757575801E-2</v>
      </c>
      <c r="E7891" s="23">
        <v>0</v>
      </c>
      <c r="F7891" s="23">
        <v>0.19230769230769201</v>
      </c>
      <c r="G7891">
        <v>11</v>
      </c>
      <c r="H7891">
        <v>11</v>
      </c>
    </row>
    <row r="7892" spans="1:8" x14ac:dyDescent="0.3">
      <c r="C7892" s="23"/>
      <c r="D7892" s="23"/>
      <c r="E7892" s="23"/>
      <c r="F7892" s="23"/>
    </row>
    <row r="7893" spans="1:8" ht="72" x14ac:dyDescent="0.3">
      <c r="A7893" s="22" t="s">
        <v>1720</v>
      </c>
      <c r="C7893" s="23"/>
      <c r="D7893" s="23"/>
      <c r="E7893" s="23"/>
      <c r="F7893" s="23"/>
    </row>
    <row r="7894" spans="1:8" x14ac:dyDescent="0.3">
      <c r="A7894" s="22" t="s">
        <v>57</v>
      </c>
      <c r="B7894" t="s">
        <v>66</v>
      </c>
      <c r="C7894" s="23" t="s">
        <v>58</v>
      </c>
      <c r="D7894" s="23" t="s">
        <v>59</v>
      </c>
      <c r="E7894" s="23" t="s">
        <v>60</v>
      </c>
      <c r="F7894" s="23" t="s">
        <v>61</v>
      </c>
      <c r="G7894" t="s">
        <v>62</v>
      </c>
      <c r="H7894" t="s">
        <v>63</v>
      </c>
    </row>
    <row r="7895" spans="1:8" x14ac:dyDescent="0.3">
      <c r="A7895" s="22" t="s">
        <v>64</v>
      </c>
      <c r="B7895" t="s">
        <v>67</v>
      </c>
      <c r="C7895" s="23">
        <v>8.0269799497166228E-2</v>
      </c>
      <c r="D7895" s="23">
        <v>5.7471264367816098E-2</v>
      </c>
      <c r="E7895" s="23">
        <v>0</v>
      </c>
      <c r="F7895" s="23">
        <v>0.19230769230769201</v>
      </c>
      <c r="G7895">
        <v>10</v>
      </c>
      <c r="H7895">
        <v>11</v>
      </c>
    </row>
    <row r="7896" spans="1:8" x14ac:dyDescent="0.3">
      <c r="A7896" s="22" t="s">
        <v>64</v>
      </c>
      <c r="B7896" t="s">
        <v>68</v>
      </c>
      <c r="C7896" s="23">
        <v>7.5757575757575801E-2</v>
      </c>
      <c r="D7896" s="23">
        <v>7.5757575757575801E-2</v>
      </c>
      <c r="E7896" s="23">
        <v>7.5757575757575801E-2</v>
      </c>
      <c r="F7896" s="23">
        <v>7.5757575757575801E-2</v>
      </c>
      <c r="G7896">
        <v>1</v>
      </c>
      <c r="H7896">
        <v>11</v>
      </c>
    </row>
    <row r="7897" spans="1:8" x14ac:dyDescent="0.3">
      <c r="C7897" s="23"/>
      <c r="D7897" s="23"/>
      <c r="E7897" s="23"/>
      <c r="F7897" s="23"/>
    </row>
    <row r="7898" spans="1:8" ht="72" x14ac:dyDescent="0.3">
      <c r="A7898" s="22" t="s">
        <v>1721</v>
      </c>
      <c r="C7898" s="23"/>
      <c r="D7898" s="23"/>
      <c r="E7898" s="23"/>
      <c r="F7898" s="23"/>
    </row>
    <row r="7899" spans="1:8" x14ac:dyDescent="0.3">
      <c r="A7899" s="22" t="s">
        <v>57</v>
      </c>
      <c r="B7899" t="s">
        <v>66</v>
      </c>
      <c r="C7899" s="23" t="s">
        <v>58</v>
      </c>
      <c r="D7899" s="23" t="s">
        <v>59</v>
      </c>
      <c r="E7899" s="23" t="s">
        <v>60</v>
      </c>
      <c r="F7899" s="23" t="s">
        <v>61</v>
      </c>
      <c r="G7899" t="s">
        <v>62</v>
      </c>
      <c r="H7899" t="s">
        <v>63</v>
      </c>
    </row>
    <row r="7900" spans="1:8" x14ac:dyDescent="0.3">
      <c r="A7900" s="22" t="s">
        <v>64</v>
      </c>
      <c r="B7900" t="s">
        <v>68</v>
      </c>
      <c r="C7900" s="23">
        <v>7.9859597339021648E-2</v>
      </c>
      <c r="D7900" s="23">
        <v>7.5757575757575801E-2</v>
      </c>
      <c r="E7900" s="23">
        <v>0</v>
      </c>
      <c r="F7900" s="23">
        <v>0.19230769230769201</v>
      </c>
      <c r="G7900">
        <v>11</v>
      </c>
      <c r="H7900">
        <v>11</v>
      </c>
    </row>
    <row r="7901" spans="1:8" x14ac:dyDescent="0.3">
      <c r="C7901" s="23"/>
      <c r="D7901" s="23"/>
      <c r="E7901" s="23"/>
      <c r="F7901" s="23"/>
    </row>
    <row r="7902" spans="1:8" ht="72" x14ac:dyDescent="0.3">
      <c r="A7902" s="22" t="s">
        <v>1722</v>
      </c>
      <c r="C7902" s="23"/>
      <c r="D7902" s="23"/>
      <c r="E7902" s="23"/>
      <c r="F7902" s="23"/>
    </row>
    <row r="7903" spans="1:8" x14ac:dyDescent="0.3">
      <c r="A7903" s="22" t="s">
        <v>57</v>
      </c>
      <c r="B7903" t="s">
        <v>66</v>
      </c>
      <c r="C7903" s="23" t="s">
        <v>58</v>
      </c>
      <c r="D7903" s="23" t="s">
        <v>59</v>
      </c>
      <c r="E7903" s="23" t="s">
        <v>60</v>
      </c>
      <c r="F7903" s="23" t="s">
        <v>61</v>
      </c>
      <c r="G7903" t="s">
        <v>62</v>
      </c>
      <c r="H7903" t="s">
        <v>63</v>
      </c>
    </row>
    <row r="7904" spans="1:8" x14ac:dyDescent="0.3">
      <c r="A7904" s="22" t="s">
        <v>64</v>
      </c>
      <c r="B7904" t="s">
        <v>67</v>
      </c>
      <c r="C7904" s="23">
        <v>0.1052542628555494</v>
      </c>
      <c r="D7904" s="23">
        <v>7.5757575757575801E-2</v>
      </c>
      <c r="E7904" s="23">
        <v>2.8806584362139901E-2</v>
      </c>
      <c r="F7904" s="23">
        <v>0.19230769230769201</v>
      </c>
      <c r="G7904">
        <v>6</v>
      </c>
      <c r="H7904">
        <v>11</v>
      </c>
    </row>
    <row r="7905" spans="1:8" x14ac:dyDescent="0.3">
      <c r="A7905" s="22" t="s">
        <v>64</v>
      </c>
      <c r="B7905" t="s">
        <v>68</v>
      </c>
      <c r="C7905" s="23">
        <v>4.93859987191883E-2</v>
      </c>
      <c r="D7905" s="23">
        <v>5.8139534883720902E-2</v>
      </c>
      <c r="E7905" s="23">
        <v>0</v>
      </c>
      <c r="F7905" s="23">
        <v>8.8235294117647106E-2</v>
      </c>
      <c r="G7905">
        <v>5</v>
      </c>
      <c r="H7905">
        <v>11</v>
      </c>
    </row>
    <row r="7906" spans="1:8" x14ac:dyDescent="0.3">
      <c r="C7906" s="23"/>
      <c r="D7906" s="23"/>
      <c r="E7906" s="23"/>
      <c r="F7906" s="23"/>
    </row>
    <row r="7907" spans="1:8" ht="72" x14ac:dyDescent="0.3">
      <c r="A7907" s="22" t="s">
        <v>1723</v>
      </c>
      <c r="C7907" s="23"/>
      <c r="D7907" s="23"/>
      <c r="E7907" s="23"/>
      <c r="F7907" s="23"/>
    </row>
    <row r="7908" spans="1:8" x14ac:dyDescent="0.3">
      <c r="A7908" s="22" t="s">
        <v>57</v>
      </c>
      <c r="B7908" t="s">
        <v>66</v>
      </c>
      <c r="C7908" s="23" t="s">
        <v>58</v>
      </c>
      <c r="D7908" s="23" t="s">
        <v>59</v>
      </c>
      <c r="E7908" s="23" t="s">
        <v>60</v>
      </c>
      <c r="F7908" s="23" t="s">
        <v>61</v>
      </c>
      <c r="G7908" t="s">
        <v>62</v>
      </c>
      <c r="H7908" t="s">
        <v>63</v>
      </c>
    </row>
    <row r="7909" spans="1:8" x14ac:dyDescent="0.3">
      <c r="A7909" s="22" t="s">
        <v>64</v>
      </c>
      <c r="B7909" t="s">
        <v>67</v>
      </c>
      <c r="C7909" s="23">
        <v>6.6956669779972069E-2</v>
      </c>
      <c r="D7909" s="23">
        <v>5.2356020942408397E-2</v>
      </c>
      <c r="E7909" s="23">
        <v>0</v>
      </c>
      <c r="F7909" s="23">
        <v>0.189274447949527</v>
      </c>
      <c r="G7909">
        <v>8</v>
      </c>
      <c r="H7909">
        <v>11</v>
      </c>
    </row>
    <row r="7910" spans="1:8" x14ac:dyDescent="0.3">
      <c r="A7910" s="22" t="s">
        <v>64</v>
      </c>
      <c r="B7910" t="s">
        <v>68</v>
      </c>
      <c r="C7910" s="23">
        <v>0.1142674041631539</v>
      </c>
      <c r="D7910" s="23">
        <v>0.19230769230769201</v>
      </c>
      <c r="E7910" s="23">
        <v>5.7471264367816098E-2</v>
      </c>
      <c r="F7910" s="23">
        <v>0.19230769230769201</v>
      </c>
      <c r="G7910">
        <v>3</v>
      </c>
      <c r="H7910">
        <v>11</v>
      </c>
    </row>
    <row r="7911" spans="1:8" x14ac:dyDescent="0.3">
      <c r="C7911" s="23"/>
      <c r="D7911" s="23"/>
      <c r="E7911" s="23"/>
      <c r="F7911" s="23"/>
    </row>
    <row r="7912" spans="1:8" ht="72" x14ac:dyDescent="0.3">
      <c r="A7912" s="22" t="s">
        <v>1724</v>
      </c>
      <c r="C7912" s="23"/>
      <c r="D7912" s="23"/>
      <c r="E7912" s="23"/>
      <c r="F7912" s="23"/>
    </row>
    <row r="7913" spans="1:8" x14ac:dyDescent="0.3">
      <c r="A7913" s="22" t="s">
        <v>57</v>
      </c>
      <c r="B7913" t="s">
        <v>66</v>
      </c>
      <c r="C7913" s="23" t="s">
        <v>58</v>
      </c>
      <c r="D7913" s="23" t="s">
        <v>59</v>
      </c>
      <c r="E7913" s="23" t="s">
        <v>60</v>
      </c>
      <c r="F7913" s="23" t="s">
        <v>61</v>
      </c>
      <c r="G7913" t="s">
        <v>62</v>
      </c>
      <c r="H7913" t="s">
        <v>63</v>
      </c>
    </row>
    <row r="7914" spans="1:8" x14ac:dyDescent="0.3">
      <c r="A7914" s="22" t="s">
        <v>64</v>
      </c>
      <c r="B7914" t="s">
        <v>67</v>
      </c>
      <c r="C7914" s="23">
        <v>8.1452921552541802E-2</v>
      </c>
      <c r="D7914" s="23">
        <v>7.5757575757575801E-2</v>
      </c>
      <c r="E7914" s="23">
        <v>0</v>
      </c>
      <c r="F7914" s="23">
        <v>0.19230769230769201</v>
      </c>
      <c r="G7914">
        <v>9</v>
      </c>
      <c r="H7914">
        <v>11</v>
      </c>
    </row>
    <row r="7915" spans="1:8" x14ac:dyDescent="0.3">
      <c r="A7915" s="22" t="s">
        <v>64</v>
      </c>
      <c r="B7915" t="s">
        <v>68</v>
      </c>
      <c r="C7915" s="23">
        <v>7.2689638378180946E-2</v>
      </c>
      <c r="D7915" s="23">
        <v>5.2356020942408397E-2</v>
      </c>
      <c r="E7915" s="23">
        <v>5.2356020942408397E-2</v>
      </c>
      <c r="F7915" s="23">
        <v>9.3023255813953501E-2</v>
      </c>
      <c r="G7915">
        <v>2</v>
      </c>
      <c r="H7915">
        <v>11</v>
      </c>
    </row>
    <row r="7916" spans="1:8" x14ac:dyDescent="0.3">
      <c r="C7916" s="23"/>
      <c r="D7916" s="23"/>
      <c r="E7916" s="23"/>
      <c r="F7916" s="23"/>
    </row>
    <row r="7917" spans="1:8" ht="86.4" x14ac:dyDescent="0.3">
      <c r="A7917" s="22" t="s">
        <v>1725</v>
      </c>
      <c r="C7917" s="23"/>
      <c r="D7917" s="23"/>
      <c r="E7917" s="23"/>
      <c r="F7917" s="23"/>
    </row>
    <row r="7918" spans="1:8" x14ac:dyDescent="0.3">
      <c r="A7918" s="22" t="s">
        <v>57</v>
      </c>
      <c r="B7918" t="s">
        <v>66</v>
      </c>
      <c r="C7918" s="23" t="s">
        <v>58</v>
      </c>
      <c r="D7918" s="23" t="s">
        <v>59</v>
      </c>
      <c r="E7918" s="23" t="s">
        <v>60</v>
      </c>
      <c r="F7918" s="23" t="s">
        <v>61</v>
      </c>
      <c r="G7918" t="s">
        <v>62</v>
      </c>
      <c r="H7918" t="s">
        <v>63</v>
      </c>
    </row>
    <row r="7919" spans="1:8" x14ac:dyDescent="0.3">
      <c r="A7919" s="22" t="s">
        <v>64</v>
      </c>
      <c r="B7919" t="s">
        <v>67</v>
      </c>
      <c r="C7919" s="23">
        <v>8.0269799497166228E-2</v>
      </c>
      <c r="D7919" s="23">
        <v>5.7471264367816098E-2</v>
      </c>
      <c r="E7919" s="23">
        <v>0</v>
      </c>
      <c r="F7919" s="23">
        <v>0.19230769230769201</v>
      </c>
      <c r="G7919">
        <v>10</v>
      </c>
      <c r="H7919">
        <v>11</v>
      </c>
    </row>
    <row r="7920" spans="1:8" x14ac:dyDescent="0.3">
      <c r="A7920" s="22" t="s">
        <v>64</v>
      </c>
      <c r="B7920" t="s">
        <v>68</v>
      </c>
      <c r="C7920" s="23">
        <v>7.5757575757575801E-2</v>
      </c>
      <c r="D7920" s="23">
        <v>7.5757575757575801E-2</v>
      </c>
      <c r="E7920" s="23">
        <v>7.5757575757575801E-2</v>
      </c>
      <c r="F7920" s="23">
        <v>7.5757575757575801E-2</v>
      </c>
      <c r="G7920">
        <v>1</v>
      </c>
      <c r="H7920">
        <v>11</v>
      </c>
    </row>
    <row r="7921" spans="1:8" x14ac:dyDescent="0.3">
      <c r="C7921" s="23"/>
      <c r="D7921" s="23"/>
      <c r="E7921" s="23"/>
      <c r="F7921" s="23"/>
    </row>
    <row r="7922" spans="1:8" ht="86.4" x14ac:dyDescent="0.3">
      <c r="A7922" s="22" t="s">
        <v>1726</v>
      </c>
      <c r="C7922" s="23"/>
      <c r="D7922" s="23"/>
      <c r="E7922" s="23"/>
      <c r="F7922" s="23"/>
    </row>
    <row r="7923" spans="1:8" x14ac:dyDescent="0.3">
      <c r="A7923" s="22" t="s">
        <v>57</v>
      </c>
      <c r="B7923" t="s">
        <v>66</v>
      </c>
      <c r="C7923" s="23" t="s">
        <v>58</v>
      </c>
      <c r="D7923" s="23" t="s">
        <v>59</v>
      </c>
      <c r="E7923" s="23" t="s">
        <v>60</v>
      </c>
      <c r="F7923" s="23" t="s">
        <v>61</v>
      </c>
      <c r="G7923" t="s">
        <v>62</v>
      </c>
      <c r="H7923" t="s">
        <v>63</v>
      </c>
    </row>
    <row r="7924" spans="1:8" x14ac:dyDescent="0.3">
      <c r="A7924" s="22" t="s">
        <v>64</v>
      </c>
      <c r="B7924" t="s">
        <v>67</v>
      </c>
      <c r="C7924" s="23">
        <v>7.9859597339021648E-2</v>
      </c>
      <c r="D7924" s="23">
        <v>7.5757575757575801E-2</v>
      </c>
      <c r="E7924" s="23">
        <v>0</v>
      </c>
      <c r="F7924" s="23">
        <v>0.19230769230769201</v>
      </c>
      <c r="G7924">
        <v>11</v>
      </c>
      <c r="H7924">
        <v>11</v>
      </c>
    </row>
    <row r="7925" spans="1:8" x14ac:dyDescent="0.3">
      <c r="C7925" s="23"/>
      <c r="D7925" s="23"/>
      <c r="E7925" s="23"/>
      <c r="F7925" s="23"/>
    </row>
    <row r="7926" spans="1:8" ht="72" x14ac:dyDescent="0.3">
      <c r="A7926" s="22" t="s">
        <v>1727</v>
      </c>
      <c r="C7926" s="23"/>
      <c r="D7926" s="23"/>
      <c r="E7926" s="23"/>
      <c r="F7926" s="23"/>
    </row>
    <row r="7927" spans="1:8" x14ac:dyDescent="0.3">
      <c r="A7927" s="22" t="s">
        <v>57</v>
      </c>
      <c r="B7927" t="s">
        <v>66</v>
      </c>
      <c r="C7927" s="23" t="s">
        <v>58</v>
      </c>
      <c r="D7927" s="23" t="s">
        <v>59</v>
      </c>
      <c r="E7927" s="23" t="s">
        <v>60</v>
      </c>
      <c r="F7927" s="23" t="s">
        <v>61</v>
      </c>
      <c r="G7927" t="s">
        <v>62</v>
      </c>
      <c r="H7927" t="s">
        <v>63</v>
      </c>
    </row>
    <row r="7928" spans="1:8" x14ac:dyDescent="0.3">
      <c r="A7928" s="22" t="s">
        <v>64</v>
      </c>
      <c r="B7928" t="s">
        <v>67</v>
      </c>
      <c r="C7928" s="23">
        <v>6.2124059777662798E-2</v>
      </c>
      <c r="D7928" s="23">
        <v>8.8235294117647106E-2</v>
      </c>
      <c r="E7928" s="23">
        <v>2.8806584362139901E-2</v>
      </c>
      <c r="F7928" s="23">
        <v>9.3023255813953501E-2</v>
      </c>
      <c r="G7928">
        <v>5</v>
      </c>
      <c r="H7928">
        <v>11</v>
      </c>
    </row>
    <row r="7929" spans="1:8" x14ac:dyDescent="0.3">
      <c r="A7929" s="22" t="s">
        <v>64</v>
      </c>
      <c r="B7929" t="s">
        <v>68</v>
      </c>
      <c r="C7929" s="23">
        <v>9.4639211973487347E-2</v>
      </c>
      <c r="D7929" s="23">
        <v>5.8139534883720902E-2</v>
      </c>
      <c r="E7929" s="23">
        <v>0</v>
      </c>
      <c r="F7929" s="23">
        <v>0.19230769230769201</v>
      </c>
      <c r="G7929">
        <v>6</v>
      </c>
      <c r="H7929">
        <v>11</v>
      </c>
    </row>
    <row r="7930" spans="1:8" x14ac:dyDescent="0.3">
      <c r="C7930" s="23"/>
      <c r="D7930" s="23"/>
      <c r="E7930" s="23"/>
      <c r="F7930" s="23"/>
    </row>
    <row r="7931" spans="1:8" ht="86.4" x14ac:dyDescent="0.3">
      <c r="A7931" s="22" t="s">
        <v>1728</v>
      </c>
      <c r="C7931" s="23"/>
      <c r="D7931" s="23"/>
      <c r="E7931" s="23"/>
      <c r="F7931" s="23"/>
    </row>
    <row r="7932" spans="1:8" x14ac:dyDescent="0.3">
      <c r="A7932" s="22" t="s">
        <v>57</v>
      </c>
      <c r="B7932" t="s">
        <v>66</v>
      </c>
      <c r="C7932" s="23" t="s">
        <v>58</v>
      </c>
      <c r="D7932" s="23" t="s">
        <v>59</v>
      </c>
      <c r="E7932" s="23" t="s">
        <v>60</v>
      </c>
      <c r="F7932" s="23" t="s">
        <v>61</v>
      </c>
      <c r="G7932" t="s">
        <v>62</v>
      </c>
      <c r="H7932" t="s">
        <v>63</v>
      </c>
    </row>
    <row r="7933" spans="1:8" x14ac:dyDescent="0.3">
      <c r="A7933" s="22" t="s">
        <v>64</v>
      </c>
      <c r="B7933" t="s">
        <v>67</v>
      </c>
      <c r="C7933" s="23">
        <v>8.0269799497166228E-2</v>
      </c>
      <c r="D7933" s="23">
        <v>5.7471264367816098E-2</v>
      </c>
      <c r="E7933" s="23">
        <v>0</v>
      </c>
      <c r="F7933" s="23">
        <v>0.19230769230769201</v>
      </c>
      <c r="G7933">
        <v>10</v>
      </c>
      <c r="H7933">
        <v>11</v>
      </c>
    </row>
    <row r="7934" spans="1:8" x14ac:dyDescent="0.3">
      <c r="A7934" s="22" t="s">
        <v>64</v>
      </c>
      <c r="B7934" t="s">
        <v>68</v>
      </c>
      <c r="C7934" s="23">
        <v>7.5757575757575801E-2</v>
      </c>
      <c r="D7934" s="23">
        <v>7.5757575757575801E-2</v>
      </c>
      <c r="E7934" s="23">
        <v>7.5757575757575801E-2</v>
      </c>
      <c r="F7934" s="23">
        <v>7.5757575757575801E-2</v>
      </c>
      <c r="G7934">
        <v>1</v>
      </c>
      <c r="H7934">
        <v>11</v>
      </c>
    </row>
    <row r="7935" spans="1:8" x14ac:dyDescent="0.3">
      <c r="C7935" s="23"/>
      <c r="D7935" s="23"/>
      <c r="E7935" s="23"/>
      <c r="F7935" s="23"/>
    </row>
    <row r="7936" spans="1:8" ht="72" x14ac:dyDescent="0.3">
      <c r="A7936" s="22" t="s">
        <v>1729</v>
      </c>
      <c r="C7936" s="23"/>
      <c r="D7936" s="23"/>
      <c r="E7936" s="23"/>
      <c r="F7936" s="23"/>
    </row>
    <row r="7937" spans="1:8" x14ac:dyDescent="0.3">
      <c r="A7937" s="22" t="s">
        <v>57</v>
      </c>
      <c r="B7937" t="s">
        <v>66</v>
      </c>
      <c r="C7937" s="23" t="s">
        <v>58</v>
      </c>
      <c r="D7937" s="23" t="s">
        <v>59</v>
      </c>
      <c r="E7937" s="23" t="s">
        <v>60</v>
      </c>
      <c r="F7937" s="23" t="s">
        <v>61</v>
      </c>
      <c r="G7937" t="s">
        <v>62</v>
      </c>
      <c r="H7937" t="s">
        <v>63</v>
      </c>
    </row>
    <row r="7938" spans="1:8" x14ac:dyDescent="0.3">
      <c r="A7938" s="22" t="s">
        <v>64</v>
      </c>
      <c r="B7938" t="s">
        <v>81</v>
      </c>
      <c r="C7938" s="23">
        <v>8.6690834392464194E-2</v>
      </c>
      <c r="D7938" s="23">
        <v>8.8235294117647106E-2</v>
      </c>
      <c r="E7938" s="23">
        <v>4.3083900226757399E-2</v>
      </c>
      <c r="F7938" s="23">
        <v>0.19230769230769201</v>
      </c>
      <c r="G7938">
        <v>5</v>
      </c>
      <c r="H7938">
        <v>11</v>
      </c>
    </row>
    <row r="7939" spans="1:8" x14ac:dyDescent="0.3">
      <c r="A7939" s="22" t="s">
        <v>64</v>
      </c>
      <c r="B7939" t="s">
        <v>82</v>
      </c>
      <c r="C7939" s="23">
        <v>5.9989791686604767E-2</v>
      </c>
      <c r="D7939" s="23">
        <v>9.3023255813953501E-2</v>
      </c>
      <c r="E7939" s="23">
        <v>2.8806584362139901E-2</v>
      </c>
      <c r="F7939" s="23">
        <v>9.3023255813953501E-2</v>
      </c>
      <c r="G7939">
        <v>3</v>
      </c>
      <c r="H7939">
        <v>11</v>
      </c>
    </row>
    <row r="7940" spans="1:8" x14ac:dyDescent="0.3">
      <c r="A7940" s="22" t="s">
        <v>64</v>
      </c>
      <c r="B7940" t="s">
        <v>83</v>
      </c>
      <c r="C7940" s="23">
        <v>0</v>
      </c>
      <c r="D7940" s="23">
        <v>0</v>
      </c>
      <c r="E7940" s="23">
        <v>0</v>
      </c>
      <c r="F7940" s="23">
        <v>0</v>
      </c>
      <c r="G7940">
        <v>1</v>
      </c>
      <c r="H7940">
        <v>11</v>
      </c>
    </row>
    <row r="7941" spans="1:8" x14ac:dyDescent="0.3">
      <c r="A7941" s="22" t="s">
        <v>64</v>
      </c>
      <c r="B7941" t="s">
        <v>84</v>
      </c>
      <c r="C7941" s="23">
        <v>0.13251601185355141</v>
      </c>
      <c r="D7941" s="23">
        <v>7.5757575757575801E-2</v>
      </c>
      <c r="E7941" s="23">
        <v>7.5757575757575801E-2</v>
      </c>
      <c r="F7941" s="23">
        <v>0.189274447949527</v>
      </c>
      <c r="G7941">
        <v>2</v>
      </c>
      <c r="H7941">
        <v>11</v>
      </c>
    </row>
    <row r="7943" spans="1:8" ht="57.6" x14ac:dyDescent="0.3">
      <c r="A7943" s="22" t="s">
        <v>1730</v>
      </c>
    </row>
    <row r="7944" spans="1:8" x14ac:dyDescent="0.3">
      <c r="A7944" s="22" t="s">
        <v>57</v>
      </c>
      <c r="B7944" t="s">
        <v>58</v>
      </c>
      <c r="C7944" t="s">
        <v>59</v>
      </c>
      <c r="D7944" t="s">
        <v>60</v>
      </c>
      <c r="E7944" t="s">
        <v>61</v>
      </c>
      <c r="F7944" t="s">
        <v>62</v>
      </c>
      <c r="G7944" t="s">
        <v>63</v>
      </c>
    </row>
    <row r="7945" spans="1:8" x14ac:dyDescent="0.3">
      <c r="A7945" s="22" t="s">
        <v>64</v>
      </c>
      <c r="B7945" s="23">
        <v>0.1964352656531258</v>
      </c>
      <c r="C7945" s="23">
        <v>0.15463917525773199</v>
      </c>
      <c r="D7945" s="23">
        <v>1.2903225806451601E-2</v>
      </c>
      <c r="E7945" s="23">
        <v>0.92165898617511499</v>
      </c>
      <c r="F7945">
        <v>142</v>
      </c>
      <c r="G7945">
        <v>142</v>
      </c>
    </row>
    <row r="7947" spans="1:8" ht="72" x14ac:dyDescent="0.3">
      <c r="A7947" s="22" t="s">
        <v>1731</v>
      </c>
      <c r="C7947" s="23"/>
      <c r="D7947" s="23"/>
      <c r="E7947" s="23"/>
      <c r="F7947" s="23"/>
    </row>
    <row r="7948" spans="1:8" x14ac:dyDescent="0.3">
      <c r="A7948" s="22" t="s">
        <v>57</v>
      </c>
      <c r="B7948" t="s">
        <v>66</v>
      </c>
      <c r="C7948" s="23" t="s">
        <v>58</v>
      </c>
      <c r="D7948" s="23" t="s">
        <v>59</v>
      </c>
      <c r="E7948" s="23" t="s">
        <v>60</v>
      </c>
      <c r="F7948" s="23" t="s">
        <v>61</v>
      </c>
      <c r="G7948" t="s">
        <v>62</v>
      </c>
      <c r="H7948" t="s">
        <v>63</v>
      </c>
    </row>
    <row r="7949" spans="1:8" x14ac:dyDescent="0.3">
      <c r="A7949" s="22" t="s">
        <v>64</v>
      </c>
      <c r="B7949" t="s">
        <v>67</v>
      </c>
      <c r="C7949" s="23">
        <v>0.19994494030634349</v>
      </c>
      <c r="D7949" s="23">
        <v>0.157894736842105</v>
      </c>
      <c r="E7949" s="23">
        <v>1.2903225806451601E-2</v>
      </c>
      <c r="F7949" s="23">
        <v>0.92165898617511499</v>
      </c>
      <c r="G7949">
        <v>138</v>
      </c>
      <c r="H7949">
        <v>142</v>
      </c>
    </row>
    <row r="7950" spans="1:8" x14ac:dyDescent="0.3">
      <c r="A7950" s="22" t="s">
        <v>64</v>
      </c>
      <c r="B7950" t="s">
        <v>68</v>
      </c>
      <c r="C7950" s="23">
        <v>7.5351490117113298E-2</v>
      </c>
      <c r="D7950" s="23">
        <v>4.3478260869565202E-2</v>
      </c>
      <c r="E7950" s="23">
        <v>2.39234449760766E-2</v>
      </c>
      <c r="F7950" s="23">
        <v>0.15463917525773199</v>
      </c>
      <c r="G7950">
        <v>4</v>
      </c>
      <c r="H7950">
        <v>142</v>
      </c>
    </row>
    <row r="7951" spans="1:8" x14ac:dyDescent="0.3">
      <c r="C7951" s="23"/>
      <c r="D7951" s="23"/>
      <c r="E7951" s="23"/>
      <c r="F7951" s="23"/>
    </row>
    <row r="7952" spans="1:8" x14ac:dyDescent="0.3">
      <c r="A7952"/>
      <c r="C7952" s="23"/>
      <c r="D7952" s="23"/>
      <c r="E7952" s="23"/>
      <c r="F7952" s="23"/>
    </row>
    <row r="7953" spans="1:8" x14ac:dyDescent="0.3">
      <c r="A7953"/>
      <c r="C7953" s="23"/>
      <c r="D7953" s="23"/>
      <c r="E7953" s="23"/>
      <c r="F7953" s="23"/>
    </row>
    <row r="7954" spans="1:8" x14ac:dyDescent="0.3">
      <c r="A7954"/>
      <c r="C7954" s="23"/>
      <c r="D7954" s="23"/>
      <c r="E7954" s="23"/>
      <c r="F7954" s="23"/>
    </row>
    <row r="7955" spans="1:8" x14ac:dyDescent="0.3">
      <c r="C7955" s="23"/>
      <c r="D7955" s="23"/>
      <c r="E7955" s="23"/>
      <c r="F7955" s="23"/>
    </row>
    <row r="7956" spans="1:8" ht="72" x14ac:dyDescent="0.3">
      <c r="A7956" s="22" t="s">
        <v>1732</v>
      </c>
      <c r="C7956" s="23"/>
      <c r="D7956" s="23"/>
      <c r="E7956" s="23"/>
      <c r="F7956" s="23"/>
    </row>
    <row r="7957" spans="1:8" x14ac:dyDescent="0.3">
      <c r="A7957" s="22" t="s">
        <v>57</v>
      </c>
      <c r="B7957" t="s">
        <v>66</v>
      </c>
      <c r="C7957" s="23" t="s">
        <v>58</v>
      </c>
      <c r="D7957" s="23" t="s">
        <v>59</v>
      </c>
      <c r="E7957" s="23" t="s">
        <v>60</v>
      </c>
      <c r="F7957" s="23" t="s">
        <v>61</v>
      </c>
      <c r="G7957" t="s">
        <v>62</v>
      </c>
      <c r="H7957" t="s">
        <v>63</v>
      </c>
    </row>
    <row r="7958" spans="1:8" x14ac:dyDescent="0.3">
      <c r="A7958" s="22" t="s">
        <v>64</v>
      </c>
      <c r="B7958" t="s">
        <v>67</v>
      </c>
      <c r="C7958" s="23">
        <v>0.19973267693447361</v>
      </c>
      <c r="D7958" s="23">
        <v>0.17647058823529399</v>
      </c>
      <c r="E7958" s="23">
        <v>1.2903225806451601E-2</v>
      </c>
      <c r="F7958" s="23">
        <v>0.92165898617511499</v>
      </c>
      <c r="G7958">
        <v>137</v>
      </c>
      <c r="H7958">
        <v>142</v>
      </c>
    </row>
    <row r="7959" spans="1:8" x14ac:dyDescent="0.3">
      <c r="A7959" s="22" t="s">
        <v>64</v>
      </c>
      <c r="B7959" t="s">
        <v>68</v>
      </c>
      <c r="C7959" s="23">
        <v>0.1060861965441951</v>
      </c>
      <c r="D7959" s="23">
        <v>0.13861386138613899</v>
      </c>
      <c r="E7959" s="23">
        <v>3.7593984962405999E-2</v>
      </c>
      <c r="F7959" s="23">
        <v>0.17431192660550501</v>
      </c>
      <c r="G7959">
        <v>5</v>
      </c>
      <c r="H7959">
        <v>142</v>
      </c>
    </row>
    <row r="7960" spans="1:8" x14ac:dyDescent="0.3">
      <c r="C7960" s="23"/>
      <c r="D7960" s="23"/>
      <c r="E7960" s="23"/>
      <c r="F7960" s="23"/>
    </row>
    <row r="7961" spans="1:8" ht="72" x14ac:dyDescent="0.3">
      <c r="A7961" s="22" t="s">
        <v>1733</v>
      </c>
      <c r="C7961" s="23"/>
      <c r="D7961" s="23"/>
      <c r="E7961" s="23"/>
      <c r="F7961" s="23"/>
    </row>
    <row r="7962" spans="1:8" x14ac:dyDescent="0.3">
      <c r="A7962" s="22" t="s">
        <v>57</v>
      </c>
      <c r="B7962" t="s">
        <v>66</v>
      </c>
      <c r="C7962" s="23" t="s">
        <v>58</v>
      </c>
      <c r="D7962" s="23" t="s">
        <v>59</v>
      </c>
      <c r="E7962" s="23" t="s">
        <v>60</v>
      </c>
      <c r="F7962" s="23" t="s">
        <v>61</v>
      </c>
      <c r="G7962" t="s">
        <v>62</v>
      </c>
      <c r="H7962" t="s">
        <v>63</v>
      </c>
    </row>
    <row r="7963" spans="1:8" x14ac:dyDescent="0.3">
      <c r="A7963" s="22" t="s">
        <v>64</v>
      </c>
      <c r="B7963" t="s">
        <v>67</v>
      </c>
      <c r="C7963" s="23">
        <v>0.19580208111368499</v>
      </c>
      <c r="D7963" s="23">
        <v>0.15625</v>
      </c>
      <c r="E7963" s="23">
        <v>1.2903225806451601E-2</v>
      </c>
      <c r="F7963" s="23">
        <v>0.92165898617511499</v>
      </c>
      <c r="G7963">
        <v>141</v>
      </c>
      <c r="H7963">
        <v>142</v>
      </c>
    </row>
    <row r="7964" spans="1:8" x14ac:dyDescent="0.3">
      <c r="A7964" s="22" t="s">
        <v>64</v>
      </c>
      <c r="B7964" t="s">
        <v>68</v>
      </c>
      <c r="C7964" s="23">
        <v>0.28571428571428598</v>
      </c>
      <c r="D7964" s="23">
        <v>0.28571428571428598</v>
      </c>
      <c r="E7964" s="23">
        <v>0.28571428571428598</v>
      </c>
      <c r="F7964" s="23">
        <v>0.28571428571428598</v>
      </c>
      <c r="G7964">
        <v>1</v>
      </c>
      <c r="H7964">
        <v>142</v>
      </c>
    </row>
    <row r="7965" spans="1:8" x14ac:dyDescent="0.3">
      <c r="C7965" s="23"/>
      <c r="D7965" s="23"/>
      <c r="E7965" s="23"/>
      <c r="F7965" s="23"/>
    </row>
    <row r="7966" spans="1:8" ht="72" x14ac:dyDescent="0.3">
      <c r="A7966" s="22" t="s">
        <v>1734</v>
      </c>
      <c r="C7966" s="23"/>
      <c r="D7966" s="23"/>
      <c r="E7966" s="23"/>
      <c r="F7966" s="23"/>
    </row>
    <row r="7967" spans="1:8" x14ac:dyDescent="0.3">
      <c r="A7967" s="22" t="s">
        <v>57</v>
      </c>
      <c r="B7967" t="s">
        <v>66</v>
      </c>
      <c r="C7967" s="23" t="s">
        <v>58</v>
      </c>
      <c r="D7967" s="23" t="s">
        <v>59</v>
      </c>
      <c r="E7967" s="23" t="s">
        <v>60</v>
      </c>
      <c r="F7967" s="23" t="s">
        <v>61</v>
      </c>
      <c r="G7967" t="s">
        <v>62</v>
      </c>
      <c r="H7967" t="s">
        <v>63</v>
      </c>
    </row>
    <row r="7968" spans="1:8" x14ac:dyDescent="0.3">
      <c r="A7968" s="22" t="s">
        <v>64</v>
      </c>
      <c r="B7968" t="s">
        <v>67</v>
      </c>
      <c r="C7968" s="23">
        <v>0.19307376077747129</v>
      </c>
      <c r="D7968" s="23">
        <v>0.15463917525773199</v>
      </c>
      <c r="E7968" s="23">
        <v>1.2903225806451601E-2</v>
      </c>
      <c r="F7968" s="23">
        <v>0.92165898617511499</v>
      </c>
      <c r="G7968">
        <v>133</v>
      </c>
      <c r="H7968">
        <v>142</v>
      </c>
    </row>
    <row r="7969" spans="1:8" x14ac:dyDescent="0.3">
      <c r="A7969" s="22" t="s">
        <v>64</v>
      </c>
      <c r="B7969" t="s">
        <v>68</v>
      </c>
      <c r="C7969" s="23">
        <v>0.24611083770446501</v>
      </c>
      <c r="D7969" s="23">
        <v>0.31578947368421101</v>
      </c>
      <c r="E7969" s="23">
        <v>3.9682539682539701E-2</v>
      </c>
      <c r="F7969" s="23">
        <v>0.5</v>
      </c>
      <c r="G7969">
        <v>9</v>
      </c>
      <c r="H7969">
        <v>142</v>
      </c>
    </row>
    <row r="7970" spans="1:8" x14ac:dyDescent="0.3">
      <c r="C7970" s="23"/>
      <c r="D7970" s="23"/>
      <c r="E7970" s="23"/>
      <c r="F7970" s="23"/>
    </row>
    <row r="7971" spans="1:8" ht="72" x14ac:dyDescent="0.3">
      <c r="A7971" s="22" t="s">
        <v>1735</v>
      </c>
      <c r="C7971" s="23"/>
      <c r="D7971" s="23"/>
      <c r="E7971" s="23"/>
      <c r="F7971" s="23"/>
    </row>
    <row r="7972" spans="1:8" x14ac:dyDescent="0.3">
      <c r="A7972" s="22" t="s">
        <v>57</v>
      </c>
      <c r="B7972" t="s">
        <v>66</v>
      </c>
      <c r="C7972" s="23" t="s">
        <v>58</v>
      </c>
      <c r="D7972" s="23" t="s">
        <v>59</v>
      </c>
      <c r="E7972" s="23" t="s">
        <v>60</v>
      </c>
      <c r="F7972" s="23" t="s">
        <v>61</v>
      </c>
      <c r="G7972" t="s">
        <v>62</v>
      </c>
      <c r="H7972" t="s">
        <v>63</v>
      </c>
    </row>
    <row r="7973" spans="1:8" x14ac:dyDescent="0.3">
      <c r="A7973" s="22" t="s">
        <v>64</v>
      </c>
      <c r="B7973" t="s">
        <v>68</v>
      </c>
      <c r="C7973" s="23">
        <v>0.1964352656531258</v>
      </c>
      <c r="D7973" s="23">
        <v>0.15463917525773199</v>
      </c>
      <c r="E7973" s="23">
        <v>1.2903225806451601E-2</v>
      </c>
      <c r="F7973" s="23">
        <v>0.92165898617511499</v>
      </c>
      <c r="G7973">
        <v>142</v>
      </c>
      <c r="H7973">
        <v>142</v>
      </c>
    </row>
    <row r="7974" spans="1:8" x14ac:dyDescent="0.3">
      <c r="C7974" s="23"/>
      <c r="D7974" s="23"/>
      <c r="E7974" s="23"/>
      <c r="F7974" s="23"/>
    </row>
    <row r="7975" spans="1:8" ht="72" x14ac:dyDescent="0.3">
      <c r="A7975" s="22" t="s">
        <v>1736</v>
      </c>
      <c r="C7975" s="23"/>
      <c r="D7975" s="23"/>
      <c r="E7975" s="23"/>
      <c r="F7975" s="23"/>
    </row>
    <row r="7976" spans="1:8" x14ac:dyDescent="0.3">
      <c r="A7976" s="22" t="s">
        <v>57</v>
      </c>
      <c r="B7976" t="s">
        <v>66</v>
      </c>
      <c r="C7976" s="23" t="s">
        <v>58</v>
      </c>
      <c r="D7976" s="23" t="s">
        <v>59</v>
      </c>
      <c r="E7976" s="23" t="s">
        <v>60</v>
      </c>
      <c r="F7976" s="23" t="s">
        <v>61</v>
      </c>
      <c r="G7976" t="s">
        <v>62</v>
      </c>
      <c r="H7976" t="s">
        <v>63</v>
      </c>
    </row>
    <row r="7977" spans="1:8" x14ac:dyDescent="0.3">
      <c r="A7977" s="22" t="s">
        <v>64</v>
      </c>
      <c r="B7977" t="s">
        <v>67</v>
      </c>
      <c r="C7977" s="23">
        <v>0.19533282820071321</v>
      </c>
      <c r="D7977" s="23">
        <v>0.15463917525773199</v>
      </c>
      <c r="E7977" s="23">
        <v>1.3043478260869599E-2</v>
      </c>
      <c r="F7977" s="23">
        <v>0.92165898617511499</v>
      </c>
      <c r="G7977">
        <v>108</v>
      </c>
      <c r="H7977">
        <v>142</v>
      </c>
    </row>
    <row r="7978" spans="1:8" x14ac:dyDescent="0.3">
      <c r="A7978" s="22" t="s">
        <v>64</v>
      </c>
      <c r="B7978" t="s">
        <v>68</v>
      </c>
      <c r="C7978" s="23">
        <v>0.19993712579608361</v>
      </c>
      <c r="D7978" s="23">
        <v>0.143589743589744</v>
      </c>
      <c r="E7978" s="23">
        <v>1.2903225806451601E-2</v>
      </c>
      <c r="F7978" s="23">
        <v>0.68548387096774199</v>
      </c>
      <c r="G7978">
        <v>34</v>
      </c>
      <c r="H7978">
        <v>142</v>
      </c>
    </row>
    <row r="7979" spans="1:8" x14ac:dyDescent="0.3">
      <c r="C7979" s="23"/>
      <c r="D7979" s="23"/>
      <c r="E7979" s="23"/>
      <c r="F7979" s="23"/>
    </row>
    <row r="7980" spans="1:8" ht="72" x14ac:dyDescent="0.3">
      <c r="A7980" s="22" t="s">
        <v>1737</v>
      </c>
      <c r="C7980" s="23"/>
      <c r="D7980" s="23"/>
      <c r="E7980" s="23"/>
      <c r="F7980" s="23"/>
    </row>
    <row r="7981" spans="1:8" x14ac:dyDescent="0.3">
      <c r="A7981" s="22" t="s">
        <v>57</v>
      </c>
      <c r="B7981" t="s">
        <v>66</v>
      </c>
      <c r="C7981" s="23" t="s">
        <v>58</v>
      </c>
      <c r="D7981" s="23" t="s">
        <v>59</v>
      </c>
      <c r="E7981" s="23" t="s">
        <v>60</v>
      </c>
      <c r="F7981" s="23" t="s">
        <v>61</v>
      </c>
      <c r="G7981" t="s">
        <v>62</v>
      </c>
      <c r="H7981" t="s">
        <v>63</v>
      </c>
    </row>
    <row r="7982" spans="1:8" x14ac:dyDescent="0.3">
      <c r="A7982" s="22" t="s">
        <v>64</v>
      </c>
      <c r="B7982" t="s">
        <v>67</v>
      </c>
      <c r="C7982" s="23">
        <v>0.20575379113683109</v>
      </c>
      <c r="D7982" s="23">
        <v>0.17431192660550501</v>
      </c>
      <c r="E7982" s="23">
        <v>1.2903225806451601E-2</v>
      </c>
      <c r="F7982" s="23">
        <v>0.92165898617511499</v>
      </c>
      <c r="G7982">
        <v>109</v>
      </c>
      <c r="H7982">
        <v>142</v>
      </c>
    </row>
    <row r="7983" spans="1:8" x14ac:dyDescent="0.3">
      <c r="A7983" s="22" t="s">
        <v>64</v>
      </c>
      <c r="B7983" t="s">
        <v>68</v>
      </c>
      <c r="C7983" s="23">
        <v>0.16565589360088701</v>
      </c>
      <c r="D7983" s="23">
        <v>0.136054421768707</v>
      </c>
      <c r="E7983" s="23">
        <v>1.3043478260869599E-2</v>
      </c>
      <c r="F7983" s="23">
        <v>0.68548387096774199</v>
      </c>
      <c r="G7983">
        <v>33</v>
      </c>
      <c r="H7983">
        <v>142</v>
      </c>
    </row>
    <row r="7984" spans="1:8" x14ac:dyDescent="0.3">
      <c r="C7984" s="23"/>
      <c r="D7984" s="23"/>
      <c r="E7984" s="23"/>
      <c r="F7984" s="23"/>
    </row>
    <row r="7985" spans="1:8" ht="72" x14ac:dyDescent="0.3">
      <c r="A7985" s="22" t="s">
        <v>1738</v>
      </c>
      <c r="C7985" s="23"/>
      <c r="D7985" s="23"/>
      <c r="E7985" s="23"/>
      <c r="F7985" s="23"/>
    </row>
    <row r="7986" spans="1:8" x14ac:dyDescent="0.3">
      <c r="A7986" s="22" t="s">
        <v>57</v>
      </c>
      <c r="B7986" t="s">
        <v>66</v>
      </c>
      <c r="C7986" s="23" t="s">
        <v>58</v>
      </c>
      <c r="D7986" s="23" t="s">
        <v>59</v>
      </c>
      <c r="E7986" s="23" t="s">
        <v>60</v>
      </c>
      <c r="F7986" s="23" t="s">
        <v>61</v>
      </c>
      <c r="G7986" t="s">
        <v>62</v>
      </c>
      <c r="H7986" t="s">
        <v>63</v>
      </c>
    </row>
    <row r="7987" spans="1:8" x14ac:dyDescent="0.3">
      <c r="A7987" s="22" t="s">
        <v>64</v>
      </c>
      <c r="B7987" t="s">
        <v>67</v>
      </c>
      <c r="C7987" s="23">
        <v>0.19364785623925029</v>
      </c>
      <c r="D7987" s="23">
        <v>0.14150943396226401</v>
      </c>
      <c r="E7987" s="23">
        <v>1.2903225806451601E-2</v>
      </c>
      <c r="F7987" s="23">
        <v>0.92165898617511499</v>
      </c>
      <c r="G7987">
        <v>103</v>
      </c>
      <c r="H7987">
        <v>142</v>
      </c>
    </row>
    <row r="7988" spans="1:8" x14ac:dyDescent="0.3">
      <c r="A7988" s="22" t="s">
        <v>64</v>
      </c>
      <c r="B7988" t="s">
        <v>68</v>
      </c>
      <c r="C7988" s="23">
        <v>0.20379688538720739</v>
      </c>
      <c r="D7988" s="23">
        <v>0.1875</v>
      </c>
      <c r="E7988" s="23">
        <v>1.35025654874426E-2</v>
      </c>
      <c r="F7988" s="23">
        <v>0.62761506276150603</v>
      </c>
      <c r="G7988">
        <v>39</v>
      </c>
      <c r="H7988">
        <v>142</v>
      </c>
    </row>
    <row r="7989" spans="1:8" x14ac:dyDescent="0.3">
      <c r="C7989" s="23"/>
      <c r="D7989" s="23"/>
      <c r="E7989" s="23"/>
      <c r="F7989" s="23"/>
    </row>
    <row r="7990" spans="1:8" ht="86.4" x14ac:dyDescent="0.3">
      <c r="A7990" s="22" t="s">
        <v>1739</v>
      </c>
      <c r="C7990" s="23"/>
      <c r="D7990" s="23"/>
      <c r="E7990" s="23"/>
      <c r="F7990" s="23"/>
    </row>
    <row r="7991" spans="1:8" x14ac:dyDescent="0.3">
      <c r="A7991" s="22" t="s">
        <v>57</v>
      </c>
      <c r="B7991" t="s">
        <v>66</v>
      </c>
      <c r="C7991" s="23" t="s">
        <v>58</v>
      </c>
      <c r="D7991" s="23" t="s">
        <v>59</v>
      </c>
      <c r="E7991" s="23" t="s">
        <v>60</v>
      </c>
      <c r="F7991" s="23" t="s">
        <v>61</v>
      </c>
      <c r="G7991" t="s">
        <v>62</v>
      </c>
      <c r="H7991" t="s">
        <v>63</v>
      </c>
    </row>
    <row r="7992" spans="1:8" x14ac:dyDescent="0.3">
      <c r="A7992" s="22" t="s">
        <v>64</v>
      </c>
      <c r="B7992" t="s">
        <v>67</v>
      </c>
      <c r="C7992" s="23">
        <v>0.1968554207762605</v>
      </c>
      <c r="D7992" s="23">
        <v>0.146182390644327</v>
      </c>
      <c r="E7992" s="23">
        <v>1.2903225806451601E-2</v>
      </c>
      <c r="F7992" s="23">
        <v>0.92165898617511499</v>
      </c>
      <c r="G7992">
        <v>134</v>
      </c>
      <c r="H7992">
        <v>142</v>
      </c>
    </row>
    <row r="7993" spans="1:8" x14ac:dyDescent="0.3">
      <c r="A7993" s="22" t="s">
        <v>64</v>
      </c>
      <c r="B7993" t="s">
        <v>68</v>
      </c>
      <c r="C7993" s="23">
        <v>0.18939766734061919</v>
      </c>
      <c r="D7993" s="23">
        <v>0.19047619047618999</v>
      </c>
      <c r="E7993" s="23">
        <v>1.9323671497584499E-2</v>
      </c>
      <c r="F7993" s="23">
        <v>0.39285714285714302</v>
      </c>
      <c r="G7993">
        <v>8</v>
      </c>
      <c r="H7993">
        <v>142</v>
      </c>
    </row>
    <row r="7994" spans="1:8" x14ac:dyDescent="0.3">
      <c r="C7994" s="23"/>
      <c r="D7994" s="23"/>
      <c r="E7994" s="23"/>
      <c r="F7994" s="23"/>
    </row>
    <row r="7995" spans="1:8" ht="86.4" x14ac:dyDescent="0.3">
      <c r="A7995" s="22" t="s">
        <v>1740</v>
      </c>
      <c r="C7995" s="23"/>
      <c r="D7995" s="23"/>
      <c r="E7995" s="23"/>
      <c r="F7995" s="23"/>
    </row>
    <row r="7996" spans="1:8" x14ac:dyDescent="0.3">
      <c r="A7996" s="22" t="s">
        <v>57</v>
      </c>
      <c r="B7996" t="s">
        <v>66</v>
      </c>
      <c r="C7996" s="23" t="s">
        <v>58</v>
      </c>
      <c r="D7996" s="23" t="s">
        <v>59</v>
      </c>
      <c r="E7996" s="23" t="s">
        <v>60</v>
      </c>
      <c r="F7996" s="23" t="s">
        <v>61</v>
      </c>
      <c r="G7996" t="s">
        <v>62</v>
      </c>
      <c r="H7996" t="s">
        <v>63</v>
      </c>
    </row>
    <row r="7997" spans="1:8" x14ac:dyDescent="0.3">
      <c r="A7997" s="22" t="s">
        <v>64</v>
      </c>
      <c r="B7997" t="s">
        <v>67</v>
      </c>
      <c r="C7997" s="23">
        <v>0.1964352656531258</v>
      </c>
      <c r="D7997" s="23">
        <v>0.15463917525773199</v>
      </c>
      <c r="E7997" s="23">
        <v>1.2903225806451601E-2</v>
      </c>
      <c r="F7997" s="23">
        <v>0.92165898617511499</v>
      </c>
      <c r="G7997">
        <v>142</v>
      </c>
      <c r="H7997">
        <v>142</v>
      </c>
    </row>
    <row r="7998" spans="1:8" x14ac:dyDescent="0.3">
      <c r="C7998" s="23"/>
      <c r="D7998" s="23"/>
      <c r="E7998" s="23"/>
      <c r="F7998" s="23"/>
    </row>
    <row r="7999" spans="1:8" ht="72" x14ac:dyDescent="0.3">
      <c r="A7999" s="22" t="s">
        <v>1741</v>
      </c>
      <c r="C7999" s="23"/>
      <c r="D7999" s="23"/>
      <c r="E7999" s="23"/>
      <c r="F7999" s="23"/>
    </row>
    <row r="8000" spans="1:8" x14ac:dyDescent="0.3">
      <c r="A8000" s="22" t="s">
        <v>57</v>
      </c>
      <c r="B8000" t="s">
        <v>66</v>
      </c>
      <c r="C8000" s="23" t="s">
        <v>58</v>
      </c>
      <c r="D8000" s="23" t="s">
        <v>59</v>
      </c>
      <c r="E8000" s="23" t="s">
        <v>60</v>
      </c>
      <c r="F8000" s="23" t="s">
        <v>61</v>
      </c>
      <c r="G8000" t="s">
        <v>62</v>
      </c>
      <c r="H8000" t="s">
        <v>63</v>
      </c>
    </row>
    <row r="8001" spans="1:8" x14ac:dyDescent="0.3">
      <c r="A8001" s="22" t="s">
        <v>64</v>
      </c>
      <c r="B8001" t="s">
        <v>67</v>
      </c>
      <c r="C8001" s="23">
        <v>0.2016280357117288</v>
      </c>
      <c r="D8001" s="23">
        <v>0.17431192660550501</v>
      </c>
      <c r="E8001" s="23">
        <v>1.35025654874426E-2</v>
      </c>
      <c r="F8001" s="23">
        <v>0.92165898617511499</v>
      </c>
      <c r="G8001">
        <v>89</v>
      </c>
      <c r="H8001">
        <v>142</v>
      </c>
    </row>
    <row r="8002" spans="1:8" x14ac:dyDescent="0.3">
      <c r="A8002" s="22" t="s">
        <v>64</v>
      </c>
      <c r="B8002" t="s">
        <v>68</v>
      </c>
      <c r="C8002" s="23">
        <v>0.18771533102641519</v>
      </c>
      <c r="D8002" s="23">
        <v>0.15625</v>
      </c>
      <c r="E8002" s="23">
        <v>1.2903225806451601E-2</v>
      </c>
      <c r="F8002" s="23">
        <v>0.68548387096774199</v>
      </c>
      <c r="G8002">
        <v>53</v>
      </c>
      <c r="H8002">
        <v>142</v>
      </c>
    </row>
    <row r="8003" spans="1:8" x14ac:dyDescent="0.3">
      <c r="C8003" s="23"/>
      <c r="D8003" s="23"/>
      <c r="E8003" s="23"/>
      <c r="F8003" s="23"/>
    </row>
    <row r="8004" spans="1:8" ht="72" x14ac:dyDescent="0.3">
      <c r="A8004" s="22" t="s">
        <v>1742</v>
      </c>
      <c r="C8004" s="23"/>
      <c r="D8004" s="23"/>
      <c r="E8004" s="23"/>
      <c r="F8004" s="23"/>
    </row>
    <row r="8005" spans="1:8" x14ac:dyDescent="0.3">
      <c r="A8005" s="22" t="s">
        <v>57</v>
      </c>
      <c r="B8005" t="s">
        <v>66</v>
      </c>
      <c r="C8005" s="23" t="s">
        <v>58</v>
      </c>
      <c r="D8005" s="23" t="s">
        <v>59</v>
      </c>
      <c r="E8005" s="23" t="s">
        <v>60</v>
      </c>
      <c r="F8005" s="23" t="s">
        <v>61</v>
      </c>
      <c r="G8005" t="s">
        <v>62</v>
      </c>
      <c r="H8005" t="s">
        <v>63</v>
      </c>
    </row>
    <row r="8006" spans="1:8" x14ac:dyDescent="0.3">
      <c r="A8006" s="22" t="s">
        <v>64</v>
      </c>
      <c r="B8006" t="s">
        <v>67</v>
      </c>
      <c r="C8006" s="23">
        <v>0.19470722796893489</v>
      </c>
      <c r="D8006" s="23">
        <v>0.15463917525773199</v>
      </c>
      <c r="E8006" s="23">
        <v>1.2903225806451601E-2</v>
      </c>
      <c r="F8006" s="23">
        <v>0.92165898617511499</v>
      </c>
      <c r="G8006">
        <v>127</v>
      </c>
      <c r="H8006">
        <v>142</v>
      </c>
    </row>
    <row r="8007" spans="1:8" x14ac:dyDescent="0.3">
      <c r="A8007" s="22" t="s">
        <v>64</v>
      </c>
      <c r="B8007" t="s">
        <v>68</v>
      </c>
      <c r="C8007" s="23">
        <v>0.21106598471260879</v>
      </c>
      <c r="D8007" s="23">
        <v>0.235849056603774</v>
      </c>
      <c r="E8007" s="23">
        <v>3.8167938931297697E-2</v>
      </c>
      <c r="F8007" s="23">
        <v>0.4</v>
      </c>
      <c r="G8007">
        <v>15</v>
      </c>
      <c r="H8007">
        <v>142</v>
      </c>
    </row>
    <row r="8008" spans="1:8" x14ac:dyDescent="0.3">
      <c r="C8008" s="23"/>
      <c r="D8008" s="23"/>
      <c r="E8008" s="23"/>
      <c r="F8008" s="23"/>
    </row>
    <row r="8009" spans="1:8" ht="57.6" x14ac:dyDescent="0.3">
      <c r="A8009" s="22" t="s">
        <v>1743</v>
      </c>
      <c r="C8009" s="23"/>
      <c r="D8009" s="23"/>
      <c r="E8009" s="23"/>
      <c r="F8009" s="23"/>
    </row>
    <row r="8010" spans="1:8" x14ac:dyDescent="0.3">
      <c r="A8010" s="22" t="s">
        <v>57</v>
      </c>
      <c r="B8010" t="s">
        <v>66</v>
      </c>
      <c r="C8010" s="23" t="s">
        <v>58</v>
      </c>
      <c r="D8010" s="23" t="s">
        <v>59</v>
      </c>
      <c r="E8010" s="23" t="s">
        <v>60</v>
      </c>
      <c r="F8010" s="23" t="s">
        <v>61</v>
      </c>
      <c r="G8010" t="s">
        <v>62</v>
      </c>
      <c r="H8010" t="s">
        <v>63</v>
      </c>
    </row>
    <row r="8011" spans="1:8" x14ac:dyDescent="0.3">
      <c r="A8011" s="22" t="s">
        <v>64</v>
      </c>
      <c r="B8011" t="s">
        <v>81</v>
      </c>
      <c r="C8011" s="23">
        <v>0.16772961417727611</v>
      </c>
      <c r="D8011" s="23">
        <v>0.115384615384615</v>
      </c>
      <c r="E8011" s="23">
        <v>1.3043478260869599E-2</v>
      </c>
      <c r="F8011" s="23">
        <v>0.68548387096774199</v>
      </c>
      <c r="G8011">
        <v>38</v>
      </c>
      <c r="H8011">
        <v>142</v>
      </c>
    </row>
    <row r="8012" spans="1:8" x14ac:dyDescent="0.3">
      <c r="A8012" s="22" t="s">
        <v>64</v>
      </c>
      <c r="B8012" t="s">
        <v>82</v>
      </c>
      <c r="C8012" s="23">
        <v>0.21617430314253111</v>
      </c>
      <c r="D8012" s="23">
        <v>0.18518518518518501</v>
      </c>
      <c r="E8012" s="23">
        <v>1.2903225806451601E-2</v>
      </c>
      <c r="F8012" s="23">
        <v>0.66666666666666696</v>
      </c>
      <c r="G8012">
        <v>36</v>
      </c>
      <c r="H8012">
        <v>142</v>
      </c>
    </row>
    <row r="8013" spans="1:8" x14ac:dyDescent="0.3">
      <c r="A8013" s="22" t="s">
        <v>64</v>
      </c>
      <c r="B8013" t="s">
        <v>83</v>
      </c>
      <c r="C8013" s="23">
        <v>0.22123804040704631</v>
      </c>
      <c r="D8013" s="23">
        <v>0.1875</v>
      </c>
      <c r="E8013" s="23">
        <v>1.9323671497584499E-2</v>
      </c>
      <c r="F8013" s="23">
        <v>0.92165898617511499</v>
      </c>
      <c r="G8013">
        <v>35</v>
      </c>
      <c r="H8013">
        <v>142</v>
      </c>
    </row>
    <row r="8014" spans="1:8" x14ac:dyDescent="0.3">
      <c r="A8014" s="22" t="s">
        <v>64</v>
      </c>
      <c r="B8014" t="s">
        <v>84</v>
      </c>
      <c r="C8014" s="23">
        <v>0.18165078959483749</v>
      </c>
      <c r="D8014" s="23">
        <v>0.157894736842105</v>
      </c>
      <c r="E8014" s="23">
        <v>2.4390243902439001E-2</v>
      </c>
      <c r="F8014" s="23">
        <v>0.52631578947368396</v>
      </c>
      <c r="G8014">
        <v>33</v>
      </c>
      <c r="H8014">
        <v>142</v>
      </c>
    </row>
    <row r="8015" spans="1:8" x14ac:dyDescent="0.3">
      <c r="C8015" s="23"/>
      <c r="D8015" s="23"/>
      <c r="E8015" s="23"/>
      <c r="F8015" s="23"/>
    </row>
    <row r="8016" spans="1:8" ht="57.6" x14ac:dyDescent="0.3">
      <c r="A8016" s="22" t="s">
        <v>1744</v>
      </c>
    </row>
    <row r="8017" spans="1:8" x14ac:dyDescent="0.3">
      <c r="A8017" s="22" t="s">
        <v>57</v>
      </c>
      <c r="B8017" t="s">
        <v>58</v>
      </c>
      <c r="C8017" t="s">
        <v>59</v>
      </c>
      <c r="D8017" t="s">
        <v>60</v>
      </c>
      <c r="E8017" t="s">
        <v>61</v>
      </c>
      <c r="F8017" t="s">
        <v>62</v>
      </c>
      <c r="G8017" t="s">
        <v>63</v>
      </c>
    </row>
    <row r="8018" spans="1:8" x14ac:dyDescent="0.3">
      <c r="A8018" s="22" t="s">
        <v>64</v>
      </c>
      <c r="B8018" s="23">
        <v>8.116218611386225E-2</v>
      </c>
      <c r="C8018" s="23">
        <v>5.8823529411764698E-2</v>
      </c>
      <c r="D8018" s="23">
        <v>0</v>
      </c>
      <c r="E8018" s="23">
        <v>0.36363636363636398</v>
      </c>
      <c r="F8018">
        <v>19</v>
      </c>
      <c r="G8018">
        <v>19</v>
      </c>
    </row>
    <row r="8019" spans="1:8" x14ac:dyDescent="0.3">
      <c r="C8019" s="23"/>
      <c r="D8019" s="23"/>
      <c r="E8019" s="23"/>
      <c r="F8019" s="23"/>
    </row>
    <row r="8020" spans="1:8" ht="72" x14ac:dyDescent="0.3">
      <c r="A8020" s="22" t="s">
        <v>1745</v>
      </c>
      <c r="C8020" s="23"/>
      <c r="D8020" s="23"/>
      <c r="E8020" s="23"/>
      <c r="F8020" s="23"/>
    </row>
    <row r="8021" spans="1:8" x14ac:dyDescent="0.3">
      <c r="A8021" s="22" t="s">
        <v>57</v>
      </c>
      <c r="B8021" t="s">
        <v>66</v>
      </c>
      <c r="C8021" s="23" t="s">
        <v>58</v>
      </c>
      <c r="D8021" s="23" t="s">
        <v>59</v>
      </c>
      <c r="E8021" s="23" t="s">
        <v>60</v>
      </c>
      <c r="F8021" s="23" t="s">
        <v>61</v>
      </c>
      <c r="G8021" t="s">
        <v>62</v>
      </c>
      <c r="H8021" t="s">
        <v>63</v>
      </c>
    </row>
    <row r="8022" spans="1:8" x14ac:dyDescent="0.3">
      <c r="A8022" s="22" t="s">
        <v>64</v>
      </c>
      <c r="B8022" t="s">
        <v>67</v>
      </c>
      <c r="C8022" s="23">
        <v>8.116218611386225E-2</v>
      </c>
      <c r="D8022" s="23">
        <v>5.8823529411764698E-2</v>
      </c>
      <c r="E8022" s="23">
        <v>0</v>
      </c>
      <c r="F8022" s="23">
        <v>0.36363636363636398</v>
      </c>
      <c r="G8022">
        <v>19</v>
      </c>
      <c r="H8022">
        <v>19</v>
      </c>
    </row>
    <row r="8023" spans="1:8" x14ac:dyDescent="0.3">
      <c r="C8023" s="23"/>
      <c r="D8023" s="23"/>
      <c r="E8023" s="23"/>
      <c r="F8023" s="23"/>
    </row>
    <row r="8024" spans="1:8" x14ac:dyDescent="0.3">
      <c r="A8024"/>
      <c r="C8024" s="23"/>
      <c r="D8024" s="23"/>
      <c r="E8024" s="23"/>
      <c r="F8024" s="23"/>
    </row>
    <row r="8025" spans="1:8" x14ac:dyDescent="0.3">
      <c r="A8025"/>
      <c r="C8025" s="23"/>
      <c r="D8025" s="23"/>
      <c r="E8025" s="23"/>
      <c r="F8025" s="23"/>
    </row>
    <row r="8026" spans="1:8" x14ac:dyDescent="0.3">
      <c r="A8026"/>
      <c r="C8026" s="23"/>
      <c r="D8026" s="23"/>
      <c r="E8026" s="23"/>
      <c r="F8026" s="23"/>
    </row>
    <row r="8027" spans="1:8" x14ac:dyDescent="0.3">
      <c r="C8027" s="23"/>
      <c r="D8027" s="23"/>
      <c r="E8027" s="23"/>
      <c r="F8027" s="23"/>
    </row>
    <row r="8028" spans="1:8" ht="72" x14ac:dyDescent="0.3">
      <c r="A8028" s="22" t="s">
        <v>1746</v>
      </c>
      <c r="C8028" s="23"/>
      <c r="D8028" s="23"/>
      <c r="E8028" s="23"/>
      <c r="F8028" s="23"/>
    </row>
    <row r="8029" spans="1:8" x14ac:dyDescent="0.3">
      <c r="A8029" s="22" t="s">
        <v>57</v>
      </c>
      <c r="B8029" t="s">
        <v>66</v>
      </c>
      <c r="C8029" s="23" t="s">
        <v>58</v>
      </c>
      <c r="D8029" s="23" t="s">
        <v>59</v>
      </c>
      <c r="E8029" s="23" t="s">
        <v>60</v>
      </c>
      <c r="F8029" s="23" t="s">
        <v>61</v>
      </c>
      <c r="G8029" t="s">
        <v>62</v>
      </c>
      <c r="H8029" t="s">
        <v>63</v>
      </c>
    </row>
    <row r="8030" spans="1:8" x14ac:dyDescent="0.3">
      <c r="A8030" s="22" t="s">
        <v>64</v>
      </c>
      <c r="B8030" t="s">
        <v>67</v>
      </c>
      <c r="C8030" s="23">
        <v>8.116218611386225E-2</v>
      </c>
      <c r="D8030" s="23">
        <v>5.8823529411764698E-2</v>
      </c>
      <c r="E8030" s="23">
        <v>0</v>
      </c>
      <c r="F8030" s="23">
        <v>0.36363636363636398</v>
      </c>
      <c r="G8030">
        <v>19</v>
      </c>
      <c r="H8030">
        <v>19</v>
      </c>
    </row>
    <row r="8031" spans="1:8" x14ac:dyDescent="0.3">
      <c r="C8031" s="23"/>
      <c r="D8031" s="23"/>
      <c r="E8031" s="23"/>
      <c r="F8031" s="23"/>
    </row>
    <row r="8032" spans="1:8" ht="72" x14ac:dyDescent="0.3">
      <c r="A8032" s="22" t="s">
        <v>1747</v>
      </c>
      <c r="C8032" s="23"/>
      <c r="D8032" s="23"/>
      <c r="E8032" s="23"/>
      <c r="F8032" s="23"/>
    </row>
    <row r="8033" spans="1:8" x14ac:dyDescent="0.3">
      <c r="A8033" s="22" t="s">
        <v>57</v>
      </c>
      <c r="B8033" t="s">
        <v>66</v>
      </c>
      <c r="C8033" s="23" t="s">
        <v>58</v>
      </c>
      <c r="D8033" s="23" t="s">
        <v>59</v>
      </c>
      <c r="E8033" s="23" t="s">
        <v>60</v>
      </c>
      <c r="F8033" s="23" t="s">
        <v>61</v>
      </c>
      <c r="G8033" t="s">
        <v>62</v>
      </c>
      <c r="H8033" t="s">
        <v>63</v>
      </c>
    </row>
    <row r="8034" spans="1:8" x14ac:dyDescent="0.3">
      <c r="A8034" s="22" t="s">
        <v>64</v>
      </c>
      <c r="B8034" t="s">
        <v>67</v>
      </c>
      <c r="C8034" s="23">
        <v>8.116218611386225E-2</v>
      </c>
      <c r="D8034" s="23">
        <v>5.8823529411764698E-2</v>
      </c>
      <c r="E8034" s="23">
        <v>0</v>
      </c>
      <c r="F8034" s="23">
        <v>0.36363636363636398</v>
      </c>
      <c r="G8034">
        <v>19</v>
      </c>
      <c r="H8034">
        <v>19</v>
      </c>
    </row>
    <row r="8035" spans="1:8" x14ac:dyDescent="0.3">
      <c r="C8035" s="23"/>
      <c r="D8035" s="23"/>
      <c r="E8035" s="23"/>
      <c r="F8035" s="23"/>
    </row>
    <row r="8036" spans="1:8" ht="72" x14ac:dyDescent="0.3">
      <c r="A8036" s="22" t="s">
        <v>1748</v>
      </c>
      <c r="C8036" s="23"/>
      <c r="D8036" s="23"/>
      <c r="E8036" s="23"/>
      <c r="F8036" s="23"/>
    </row>
    <row r="8037" spans="1:8" x14ac:dyDescent="0.3">
      <c r="A8037" s="22" t="s">
        <v>57</v>
      </c>
      <c r="B8037" t="s">
        <v>66</v>
      </c>
      <c r="C8037" s="23" t="s">
        <v>58</v>
      </c>
      <c r="D8037" s="23" t="s">
        <v>59</v>
      </c>
      <c r="E8037" s="23" t="s">
        <v>60</v>
      </c>
      <c r="F8037" s="23" t="s">
        <v>61</v>
      </c>
      <c r="G8037" t="s">
        <v>62</v>
      </c>
      <c r="H8037" t="s">
        <v>63</v>
      </c>
    </row>
    <row r="8038" spans="1:8" x14ac:dyDescent="0.3">
      <c r="A8038" s="22" t="s">
        <v>64</v>
      </c>
      <c r="B8038" t="s">
        <v>67</v>
      </c>
      <c r="C8038" s="23">
        <v>8.4282307564632369E-2</v>
      </c>
      <c r="D8038" s="23">
        <v>4.8387096774193498E-2</v>
      </c>
      <c r="E8038" s="23">
        <v>0</v>
      </c>
      <c r="F8038" s="23">
        <v>0.36363636363636398</v>
      </c>
      <c r="G8038">
        <v>18</v>
      </c>
      <c r="H8038">
        <v>19</v>
      </c>
    </row>
    <row r="8039" spans="1:8" x14ac:dyDescent="0.3">
      <c r="A8039" s="22" t="s">
        <v>64</v>
      </c>
      <c r="B8039" t="s">
        <v>68</v>
      </c>
      <c r="C8039" s="23">
        <v>2.5000000000000001E-2</v>
      </c>
      <c r="D8039" s="23">
        <v>2.5000000000000001E-2</v>
      </c>
      <c r="E8039" s="23">
        <v>2.5000000000000001E-2</v>
      </c>
      <c r="F8039" s="23">
        <v>2.5000000000000001E-2</v>
      </c>
      <c r="G8039">
        <v>1</v>
      </c>
      <c r="H8039">
        <v>19</v>
      </c>
    </row>
    <row r="8040" spans="1:8" x14ac:dyDescent="0.3">
      <c r="C8040" s="23"/>
      <c r="D8040" s="23"/>
      <c r="E8040" s="23"/>
      <c r="F8040" s="23"/>
    </row>
    <row r="8041" spans="1:8" ht="72" x14ac:dyDescent="0.3">
      <c r="A8041" s="22" t="s">
        <v>1749</v>
      </c>
      <c r="C8041" s="23"/>
      <c r="D8041" s="23"/>
      <c r="E8041" s="23"/>
      <c r="F8041" s="23"/>
    </row>
    <row r="8042" spans="1:8" x14ac:dyDescent="0.3">
      <c r="A8042" s="22" t="s">
        <v>57</v>
      </c>
      <c r="B8042" t="s">
        <v>66</v>
      </c>
      <c r="C8042" s="23" t="s">
        <v>58</v>
      </c>
      <c r="D8042" s="23" t="s">
        <v>59</v>
      </c>
      <c r="E8042" s="23" t="s">
        <v>60</v>
      </c>
      <c r="F8042" s="23" t="s">
        <v>61</v>
      </c>
      <c r="G8042" t="s">
        <v>62</v>
      </c>
      <c r="H8042" t="s">
        <v>63</v>
      </c>
    </row>
    <row r="8043" spans="1:8" x14ac:dyDescent="0.3">
      <c r="A8043" s="22" t="s">
        <v>64</v>
      </c>
      <c r="B8043" t="s">
        <v>68</v>
      </c>
      <c r="C8043" s="23">
        <v>8.116218611386225E-2</v>
      </c>
      <c r="D8043" s="23">
        <v>5.8823529411764698E-2</v>
      </c>
      <c r="E8043" s="23">
        <v>0</v>
      </c>
      <c r="F8043" s="23">
        <v>0.36363636363636398</v>
      </c>
      <c r="G8043">
        <v>19</v>
      </c>
      <c r="H8043">
        <v>19</v>
      </c>
    </row>
    <row r="8044" spans="1:8" x14ac:dyDescent="0.3">
      <c r="C8044" s="23"/>
      <c r="D8044" s="23"/>
      <c r="E8044" s="23"/>
      <c r="F8044" s="23"/>
    </row>
    <row r="8045" spans="1:8" ht="72" x14ac:dyDescent="0.3">
      <c r="A8045" s="22" t="s">
        <v>1750</v>
      </c>
      <c r="C8045" s="23"/>
      <c r="D8045" s="23"/>
      <c r="E8045" s="23"/>
      <c r="F8045" s="23"/>
    </row>
    <row r="8046" spans="1:8" x14ac:dyDescent="0.3">
      <c r="A8046" s="22" t="s">
        <v>57</v>
      </c>
      <c r="B8046" t="s">
        <v>66</v>
      </c>
      <c r="C8046" s="23" t="s">
        <v>58</v>
      </c>
      <c r="D8046" s="23" t="s">
        <v>59</v>
      </c>
      <c r="E8046" s="23" t="s">
        <v>60</v>
      </c>
      <c r="F8046" s="23" t="s">
        <v>61</v>
      </c>
      <c r="G8046" t="s">
        <v>62</v>
      </c>
      <c r="H8046" t="s">
        <v>63</v>
      </c>
    </row>
    <row r="8047" spans="1:8" x14ac:dyDescent="0.3">
      <c r="A8047" s="22" t="s">
        <v>64</v>
      </c>
      <c r="B8047" t="s">
        <v>67</v>
      </c>
      <c r="C8047" s="23">
        <v>9.6401246828515849E-2</v>
      </c>
      <c r="D8047" s="23">
        <v>7.7720207253885995E-2</v>
      </c>
      <c r="E8047" s="23">
        <v>3.24061571698623E-3</v>
      </c>
      <c r="F8047" s="23">
        <v>0.36363636363636398</v>
      </c>
      <c r="G8047">
        <v>15</v>
      </c>
      <c r="H8047">
        <v>19</v>
      </c>
    </row>
    <row r="8048" spans="1:8" x14ac:dyDescent="0.3">
      <c r="A8048" s="22" t="s">
        <v>64</v>
      </c>
      <c r="B8048" t="s">
        <v>68</v>
      </c>
      <c r="C8048" s="23">
        <v>2.4015708433911171E-2</v>
      </c>
      <c r="D8048" s="23">
        <v>2.2675736961451198E-2</v>
      </c>
      <c r="E8048" s="23">
        <v>0</v>
      </c>
      <c r="F8048" s="23">
        <v>4.8387096774193498E-2</v>
      </c>
      <c r="G8048">
        <v>4</v>
      </c>
      <c r="H8048">
        <v>19</v>
      </c>
    </row>
    <row r="8049" spans="1:8" x14ac:dyDescent="0.3">
      <c r="C8049" s="23"/>
      <c r="D8049" s="23"/>
      <c r="E8049" s="23"/>
      <c r="F8049" s="23"/>
    </row>
    <row r="8050" spans="1:8" ht="72" x14ac:dyDescent="0.3">
      <c r="A8050" s="22" t="s">
        <v>1751</v>
      </c>
      <c r="C8050" s="23"/>
      <c r="D8050" s="23"/>
      <c r="E8050" s="23"/>
      <c r="F8050" s="23"/>
    </row>
    <row r="8051" spans="1:8" x14ac:dyDescent="0.3">
      <c r="A8051" s="22" t="s">
        <v>57</v>
      </c>
      <c r="B8051" t="s">
        <v>66</v>
      </c>
      <c r="C8051" s="23" t="s">
        <v>58</v>
      </c>
      <c r="D8051" s="23" t="s">
        <v>59</v>
      </c>
      <c r="E8051" s="23" t="s">
        <v>60</v>
      </c>
      <c r="F8051" s="23" t="s">
        <v>61</v>
      </c>
      <c r="G8051" t="s">
        <v>62</v>
      </c>
      <c r="H8051" t="s">
        <v>63</v>
      </c>
    </row>
    <row r="8052" spans="1:8" x14ac:dyDescent="0.3">
      <c r="A8052" s="22" t="s">
        <v>64</v>
      </c>
      <c r="B8052" t="s">
        <v>67</v>
      </c>
      <c r="C8052" s="23">
        <v>9.3649166780059051E-2</v>
      </c>
      <c r="D8052" s="23">
        <v>5.8823529411764698E-2</v>
      </c>
      <c r="E8052" s="23">
        <v>0</v>
      </c>
      <c r="F8052" s="23">
        <v>0.36363636363636398</v>
      </c>
      <c r="G8052">
        <v>16</v>
      </c>
      <c r="H8052">
        <v>19</v>
      </c>
    </row>
    <row r="8053" spans="1:8" x14ac:dyDescent="0.3">
      <c r="A8053" s="22" t="s">
        <v>64</v>
      </c>
      <c r="B8053" t="s">
        <v>68</v>
      </c>
      <c r="C8053" s="23">
        <v>1.456495589414593E-2</v>
      </c>
      <c r="D8053" s="23">
        <v>1.72413793103448E-2</v>
      </c>
      <c r="E8053" s="23">
        <v>1.2500000000000001E-2</v>
      </c>
      <c r="F8053" s="23">
        <v>1.72413793103448E-2</v>
      </c>
      <c r="G8053">
        <v>3</v>
      </c>
      <c r="H8053">
        <v>19</v>
      </c>
    </row>
    <row r="8054" spans="1:8" x14ac:dyDescent="0.3">
      <c r="C8054" s="23"/>
      <c r="D8054" s="23"/>
      <c r="E8054" s="23"/>
      <c r="F8054" s="23"/>
    </row>
    <row r="8055" spans="1:8" ht="72" x14ac:dyDescent="0.3">
      <c r="A8055" s="22" t="s">
        <v>1752</v>
      </c>
      <c r="C8055" s="23"/>
      <c r="D8055" s="23"/>
      <c r="E8055" s="23"/>
      <c r="F8055" s="23"/>
    </row>
    <row r="8056" spans="1:8" x14ac:dyDescent="0.3">
      <c r="A8056" s="22" t="s">
        <v>57</v>
      </c>
      <c r="B8056" t="s">
        <v>66</v>
      </c>
      <c r="C8056" s="23" t="s">
        <v>58</v>
      </c>
      <c r="D8056" s="23" t="s">
        <v>59</v>
      </c>
      <c r="E8056" s="23" t="s">
        <v>60</v>
      </c>
      <c r="F8056" s="23" t="s">
        <v>61</v>
      </c>
      <c r="G8056" t="s">
        <v>62</v>
      </c>
      <c r="H8056" t="s">
        <v>63</v>
      </c>
    </row>
    <row r="8057" spans="1:8" x14ac:dyDescent="0.3">
      <c r="A8057" s="22" t="s">
        <v>64</v>
      </c>
      <c r="B8057" t="s">
        <v>67</v>
      </c>
      <c r="C8057" s="23">
        <v>9.7414757097448068E-2</v>
      </c>
      <c r="D8057" s="23">
        <v>4.8387096774193498E-2</v>
      </c>
      <c r="E8057" s="23">
        <v>0</v>
      </c>
      <c r="F8057" s="23">
        <v>0.36363636363636398</v>
      </c>
      <c r="G8057">
        <v>12</v>
      </c>
      <c r="H8057">
        <v>19</v>
      </c>
    </row>
    <row r="8058" spans="1:8" x14ac:dyDescent="0.3">
      <c r="A8058" s="22" t="s">
        <v>64</v>
      </c>
      <c r="B8058" t="s">
        <v>68</v>
      </c>
      <c r="C8058" s="23">
        <v>5.3300635856286527E-2</v>
      </c>
      <c r="D8058" s="23">
        <v>9.72622478386167E-2</v>
      </c>
      <c r="E8058" s="23">
        <v>3.24061571698623E-3</v>
      </c>
      <c r="F8058" s="23">
        <v>0.11764705882352899</v>
      </c>
      <c r="G8058">
        <v>7</v>
      </c>
      <c r="H8058">
        <v>19</v>
      </c>
    </row>
    <row r="8059" spans="1:8" x14ac:dyDescent="0.3">
      <c r="C8059" s="23"/>
      <c r="D8059" s="23"/>
      <c r="E8059" s="23"/>
      <c r="F8059" s="23"/>
    </row>
    <row r="8060" spans="1:8" ht="86.4" x14ac:dyDescent="0.3">
      <c r="A8060" s="22" t="s">
        <v>1753</v>
      </c>
      <c r="C8060" s="23"/>
      <c r="D8060" s="23"/>
      <c r="E8060" s="23"/>
      <c r="F8060" s="23"/>
    </row>
    <row r="8061" spans="1:8" x14ac:dyDescent="0.3">
      <c r="A8061" s="22" t="s">
        <v>57</v>
      </c>
      <c r="B8061" t="s">
        <v>66</v>
      </c>
      <c r="C8061" s="23" t="s">
        <v>58</v>
      </c>
      <c r="D8061" s="23" t="s">
        <v>59</v>
      </c>
      <c r="E8061" s="23" t="s">
        <v>60</v>
      </c>
      <c r="F8061" s="23" t="s">
        <v>61</v>
      </c>
      <c r="G8061" t="s">
        <v>62</v>
      </c>
      <c r="H8061" t="s">
        <v>63</v>
      </c>
    </row>
    <row r="8062" spans="1:8" x14ac:dyDescent="0.3">
      <c r="A8062" s="22" t="s">
        <v>64</v>
      </c>
      <c r="B8062" t="s">
        <v>67</v>
      </c>
      <c r="C8062" s="23">
        <v>8.116218611386225E-2</v>
      </c>
      <c r="D8062" s="23">
        <v>5.8823529411764698E-2</v>
      </c>
      <c r="E8062" s="23">
        <v>0</v>
      </c>
      <c r="F8062" s="23">
        <v>0.36363636363636398</v>
      </c>
      <c r="G8062">
        <v>19</v>
      </c>
      <c r="H8062">
        <v>19</v>
      </c>
    </row>
    <row r="8063" spans="1:8" x14ac:dyDescent="0.3">
      <c r="C8063" s="23"/>
      <c r="D8063" s="23"/>
      <c r="E8063" s="23"/>
      <c r="F8063" s="23"/>
    </row>
    <row r="8064" spans="1:8" ht="86.4" x14ac:dyDescent="0.3">
      <c r="A8064" s="22" t="s">
        <v>1754</v>
      </c>
      <c r="C8064" s="23"/>
      <c r="D8064" s="23"/>
      <c r="E8064" s="23"/>
      <c r="F8064" s="23"/>
    </row>
    <row r="8065" spans="1:8" x14ac:dyDescent="0.3">
      <c r="A8065" s="22" t="s">
        <v>57</v>
      </c>
      <c r="B8065" t="s">
        <v>66</v>
      </c>
      <c r="C8065" s="23" t="s">
        <v>58</v>
      </c>
      <c r="D8065" s="23" t="s">
        <v>59</v>
      </c>
      <c r="E8065" s="23" t="s">
        <v>60</v>
      </c>
      <c r="F8065" s="23" t="s">
        <v>61</v>
      </c>
      <c r="G8065" t="s">
        <v>62</v>
      </c>
      <c r="H8065" t="s">
        <v>63</v>
      </c>
    </row>
    <row r="8066" spans="1:8" x14ac:dyDescent="0.3">
      <c r="A8066" s="22" t="s">
        <v>64</v>
      </c>
      <c r="B8066" t="s">
        <v>67</v>
      </c>
      <c r="C8066" s="23">
        <v>8.116218611386225E-2</v>
      </c>
      <c r="D8066" s="23">
        <v>5.8823529411764698E-2</v>
      </c>
      <c r="E8066" s="23">
        <v>0</v>
      </c>
      <c r="F8066" s="23">
        <v>0.36363636363636398</v>
      </c>
      <c r="G8066">
        <v>19</v>
      </c>
      <c r="H8066">
        <v>19</v>
      </c>
    </row>
    <row r="8067" spans="1:8" x14ac:dyDescent="0.3">
      <c r="C8067" s="23"/>
      <c r="D8067" s="23"/>
      <c r="E8067" s="23"/>
      <c r="F8067" s="23"/>
    </row>
    <row r="8068" spans="1:8" ht="72" x14ac:dyDescent="0.3">
      <c r="A8068" s="22" t="s">
        <v>1755</v>
      </c>
      <c r="C8068" s="23"/>
      <c r="D8068" s="23"/>
      <c r="E8068" s="23"/>
      <c r="F8068" s="23"/>
    </row>
    <row r="8069" spans="1:8" x14ac:dyDescent="0.3">
      <c r="A8069" s="22" t="s">
        <v>57</v>
      </c>
      <c r="B8069" t="s">
        <v>66</v>
      </c>
      <c r="C8069" s="23" t="s">
        <v>58</v>
      </c>
      <c r="D8069" s="23" t="s">
        <v>59</v>
      </c>
      <c r="E8069" s="23" t="s">
        <v>60</v>
      </c>
      <c r="F8069" s="23" t="s">
        <v>61</v>
      </c>
      <c r="G8069" t="s">
        <v>62</v>
      </c>
      <c r="H8069" t="s">
        <v>63</v>
      </c>
    </row>
    <row r="8070" spans="1:8" x14ac:dyDescent="0.3">
      <c r="A8070" s="22" t="s">
        <v>64</v>
      </c>
      <c r="B8070" t="s">
        <v>67</v>
      </c>
      <c r="C8070" s="23">
        <v>6.5152852598713715E-2</v>
      </c>
      <c r="D8070" s="23">
        <v>2.5000000000000001E-2</v>
      </c>
      <c r="E8070" s="23">
        <v>3.24061571698623E-3</v>
      </c>
      <c r="F8070" s="23">
        <v>0.36363636363636398</v>
      </c>
      <c r="G8070">
        <v>14</v>
      </c>
      <c r="H8070">
        <v>19</v>
      </c>
    </row>
    <row r="8071" spans="1:8" x14ac:dyDescent="0.3">
      <c r="A8071" s="22" t="s">
        <v>64</v>
      </c>
      <c r="B8071" t="s">
        <v>68</v>
      </c>
      <c r="C8071" s="23">
        <v>0.1259883199562781</v>
      </c>
      <c r="D8071" s="23">
        <v>0.11764705882352899</v>
      </c>
      <c r="E8071" s="23">
        <v>0</v>
      </c>
      <c r="F8071" s="23">
        <v>0.359195402298851</v>
      </c>
      <c r="G8071">
        <v>5</v>
      </c>
      <c r="H8071">
        <v>19</v>
      </c>
    </row>
    <row r="8072" spans="1:8" x14ac:dyDescent="0.3">
      <c r="C8072" s="23"/>
      <c r="D8072" s="23"/>
      <c r="E8072" s="23"/>
      <c r="F8072" s="23"/>
    </row>
    <row r="8073" spans="1:8" ht="86.4" x14ac:dyDescent="0.3">
      <c r="A8073" s="22" t="s">
        <v>1756</v>
      </c>
      <c r="C8073" s="23"/>
      <c r="D8073" s="23"/>
      <c r="E8073" s="23"/>
      <c r="F8073" s="23"/>
    </row>
    <row r="8074" spans="1:8" x14ac:dyDescent="0.3">
      <c r="A8074" s="22" t="s">
        <v>57</v>
      </c>
      <c r="B8074" t="s">
        <v>66</v>
      </c>
      <c r="C8074" s="23" t="s">
        <v>58</v>
      </c>
      <c r="D8074" s="23" t="s">
        <v>59</v>
      </c>
      <c r="E8074" s="23" t="s">
        <v>60</v>
      </c>
      <c r="F8074" s="23" t="s">
        <v>61</v>
      </c>
      <c r="G8074" t="s">
        <v>62</v>
      </c>
      <c r="H8074" t="s">
        <v>63</v>
      </c>
    </row>
    <row r="8075" spans="1:8" x14ac:dyDescent="0.3">
      <c r="A8075" s="22" t="s">
        <v>64</v>
      </c>
      <c r="B8075" t="s">
        <v>67</v>
      </c>
      <c r="C8075" s="23">
        <v>8.0267738240264785E-2</v>
      </c>
      <c r="D8075" s="23">
        <v>2.9411764705882401E-2</v>
      </c>
      <c r="E8075" s="23">
        <v>0</v>
      </c>
      <c r="F8075" s="23">
        <v>0.36363636363636398</v>
      </c>
      <c r="G8075">
        <v>18</v>
      </c>
      <c r="H8075">
        <v>19</v>
      </c>
    </row>
    <row r="8076" spans="1:8" x14ac:dyDescent="0.3">
      <c r="A8076" s="22" t="s">
        <v>64</v>
      </c>
      <c r="B8076" t="s">
        <v>68</v>
      </c>
      <c r="C8076" s="23">
        <v>9.72622478386167E-2</v>
      </c>
      <c r="D8076" s="23">
        <v>9.72622478386167E-2</v>
      </c>
      <c r="E8076" s="23">
        <v>9.72622478386167E-2</v>
      </c>
      <c r="F8076" s="23">
        <v>9.72622478386167E-2</v>
      </c>
      <c r="G8076">
        <v>1</v>
      </c>
      <c r="H8076">
        <v>19</v>
      </c>
    </row>
    <row r="8077" spans="1:8" x14ac:dyDescent="0.3">
      <c r="C8077" s="23"/>
      <c r="D8077" s="23"/>
      <c r="E8077" s="23"/>
      <c r="F8077" s="23"/>
    </row>
    <row r="8078" spans="1:8" ht="72" x14ac:dyDescent="0.3">
      <c r="A8078" s="22" t="s">
        <v>1757</v>
      </c>
      <c r="C8078" s="23"/>
      <c r="D8078" s="23"/>
      <c r="E8078" s="23"/>
      <c r="F8078" s="23"/>
    </row>
    <row r="8079" spans="1:8" x14ac:dyDescent="0.3">
      <c r="A8079" s="22" t="s">
        <v>57</v>
      </c>
      <c r="B8079" t="s">
        <v>66</v>
      </c>
      <c r="C8079" s="23" t="s">
        <v>58</v>
      </c>
      <c r="D8079" s="23" t="s">
        <v>59</v>
      </c>
      <c r="E8079" s="23" t="s">
        <v>60</v>
      </c>
      <c r="F8079" s="23" t="s">
        <v>61</v>
      </c>
      <c r="G8079" t="s">
        <v>62</v>
      </c>
      <c r="H8079" t="s">
        <v>63</v>
      </c>
    </row>
    <row r="8080" spans="1:8" x14ac:dyDescent="0.3">
      <c r="A8080" s="22" t="s">
        <v>64</v>
      </c>
      <c r="B8080" t="s">
        <v>81</v>
      </c>
      <c r="C8080" s="23">
        <v>4.9567576490044223E-2</v>
      </c>
      <c r="D8080" s="23">
        <v>5.8823529411764698E-2</v>
      </c>
      <c r="E8080" s="23">
        <v>3.24061571698623E-3</v>
      </c>
      <c r="F8080" s="23">
        <v>0.11764705882352899</v>
      </c>
      <c r="G8080">
        <v>9</v>
      </c>
      <c r="H8080">
        <v>19</v>
      </c>
    </row>
    <row r="8081" spans="1:8" x14ac:dyDescent="0.3">
      <c r="A8081" s="22" t="s">
        <v>64</v>
      </c>
      <c r="B8081" t="s">
        <v>82</v>
      </c>
      <c r="C8081" s="23">
        <v>4.9293513854654122E-2</v>
      </c>
      <c r="D8081" s="23">
        <v>7.6388888888888895E-2</v>
      </c>
      <c r="E8081" s="23">
        <v>1.2500000000000001E-2</v>
      </c>
      <c r="F8081" s="23">
        <v>9.5238095238095205E-2</v>
      </c>
      <c r="G8081">
        <v>5</v>
      </c>
      <c r="H8081">
        <v>19</v>
      </c>
    </row>
    <row r="8082" spans="1:8" x14ac:dyDescent="0.3">
      <c r="A8082" s="22" t="s">
        <v>64</v>
      </c>
      <c r="B8082" t="s">
        <v>83</v>
      </c>
      <c r="C8082" s="23">
        <v>0.18806088266027429</v>
      </c>
      <c r="D8082" s="23">
        <v>2.9411764705882401E-2</v>
      </c>
      <c r="E8082" s="23">
        <v>0</v>
      </c>
      <c r="F8082" s="23">
        <v>0.36363636363636398</v>
      </c>
      <c r="G8082">
        <v>4</v>
      </c>
      <c r="H8082">
        <v>19</v>
      </c>
    </row>
    <row r="8083" spans="1:8" x14ac:dyDescent="0.3">
      <c r="A8083" s="22" t="s">
        <v>64</v>
      </c>
      <c r="B8083" t="s">
        <v>84</v>
      </c>
      <c r="C8083" s="23">
        <v>9.72622478386167E-2</v>
      </c>
      <c r="D8083" s="23">
        <v>9.72622478386167E-2</v>
      </c>
      <c r="E8083" s="23">
        <v>9.72622478386167E-2</v>
      </c>
      <c r="F8083" s="23">
        <v>9.72622478386167E-2</v>
      </c>
      <c r="G8083">
        <v>1</v>
      </c>
      <c r="H8083">
        <v>19</v>
      </c>
    </row>
    <row r="8084" spans="1:8" x14ac:dyDescent="0.3">
      <c r="C8084" s="23"/>
      <c r="D8084" s="23"/>
      <c r="E8084" s="23"/>
      <c r="F8084" s="23"/>
    </row>
    <row r="8085" spans="1:8" ht="57.6" x14ac:dyDescent="0.3">
      <c r="A8085" s="22" t="s">
        <v>1758</v>
      </c>
    </row>
    <row r="8086" spans="1:8" x14ac:dyDescent="0.3">
      <c r="A8086" s="22" t="s">
        <v>57</v>
      </c>
      <c r="B8086" t="s">
        <v>58</v>
      </c>
      <c r="C8086" t="s">
        <v>59</v>
      </c>
      <c r="D8086" t="s">
        <v>60</v>
      </c>
      <c r="E8086" t="s">
        <v>61</v>
      </c>
      <c r="F8086" t="s">
        <v>62</v>
      </c>
      <c r="G8086" t="s">
        <v>63</v>
      </c>
    </row>
    <row r="8087" spans="1:8" x14ac:dyDescent="0.3">
      <c r="A8087" s="22" t="s">
        <v>64</v>
      </c>
      <c r="B8087" s="23">
        <v>0.1207882320603733</v>
      </c>
      <c r="C8087" s="23">
        <v>7.2046109510086498E-2</v>
      </c>
      <c r="D8087" s="23">
        <v>0</v>
      </c>
      <c r="E8087" s="23">
        <v>0.48</v>
      </c>
      <c r="F8087">
        <v>23</v>
      </c>
      <c r="G8087">
        <v>23</v>
      </c>
    </row>
    <row r="8088" spans="1:8" x14ac:dyDescent="0.3">
      <c r="C8088" s="23"/>
      <c r="D8088" s="23"/>
      <c r="E8088" s="23"/>
      <c r="F8088" s="23"/>
    </row>
    <row r="8089" spans="1:8" ht="72" x14ac:dyDescent="0.3">
      <c r="A8089" s="22" t="s">
        <v>1759</v>
      </c>
      <c r="C8089" s="23"/>
      <c r="D8089" s="23"/>
      <c r="E8089" s="23"/>
      <c r="F8089" s="23"/>
    </row>
    <row r="8090" spans="1:8" x14ac:dyDescent="0.3">
      <c r="A8090" s="22" t="s">
        <v>57</v>
      </c>
      <c r="B8090" t="s">
        <v>66</v>
      </c>
      <c r="C8090" s="23" t="s">
        <v>58</v>
      </c>
      <c r="D8090" s="23" t="s">
        <v>59</v>
      </c>
      <c r="E8090" s="23" t="s">
        <v>60</v>
      </c>
      <c r="F8090" s="23" t="s">
        <v>61</v>
      </c>
      <c r="G8090" t="s">
        <v>62</v>
      </c>
      <c r="H8090" t="s">
        <v>63</v>
      </c>
    </row>
    <row r="8091" spans="1:8" x14ac:dyDescent="0.3">
      <c r="A8091" s="22" t="s">
        <v>64</v>
      </c>
      <c r="B8091" t="s">
        <v>67</v>
      </c>
      <c r="C8091" s="23">
        <v>0.1207882320603733</v>
      </c>
      <c r="D8091" s="23">
        <v>7.2046109510086498E-2</v>
      </c>
      <c r="E8091" s="23">
        <v>0</v>
      </c>
      <c r="F8091" s="23">
        <v>0.48</v>
      </c>
      <c r="G8091">
        <v>23</v>
      </c>
      <c r="H8091">
        <v>23</v>
      </c>
    </row>
    <row r="8092" spans="1:8" x14ac:dyDescent="0.3">
      <c r="C8092" s="23"/>
      <c r="D8092" s="23"/>
      <c r="E8092" s="23"/>
      <c r="F8092" s="23"/>
    </row>
    <row r="8093" spans="1:8" x14ac:dyDescent="0.3">
      <c r="A8093"/>
      <c r="C8093" s="23"/>
      <c r="D8093" s="23"/>
      <c r="E8093" s="23"/>
      <c r="F8093" s="23"/>
    </row>
    <row r="8094" spans="1:8" x14ac:dyDescent="0.3">
      <c r="A8094"/>
      <c r="C8094" s="23"/>
      <c r="D8094" s="23"/>
      <c r="E8094" s="23"/>
      <c r="F8094" s="23"/>
    </row>
    <row r="8095" spans="1:8" x14ac:dyDescent="0.3">
      <c r="A8095"/>
      <c r="C8095" s="23"/>
      <c r="D8095" s="23"/>
      <c r="E8095" s="23"/>
      <c r="F8095" s="23"/>
    </row>
    <row r="8096" spans="1:8" x14ac:dyDescent="0.3">
      <c r="C8096" s="23"/>
      <c r="D8096" s="23"/>
      <c r="E8096" s="23"/>
      <c r="F8096" s="23"/>
    </row>
    <row r="8097" spans="1:8" ht="72" x14ac:dyDescent="0.3">
      <c r="A8097" s="22" t="s">
        <v>1760</v>
      </c>
      <c r="C8097" s="23"/>
      <c r="D8097" s="23"/>
      <c r="E8097" s="23"/>
      <c r="F8097" s="23"/>
    </row>
    <row r="8098" spans="1:8" x14ac:dyDescent="0.3">
      <c r="A8098" s="22" t="s">
        <v>57</v>
      </c>
      <c r="B8098" t="s">
        <v>66</v>
      </c>
      <c r="C8098" s="23" t="s">
        <v>58</v>
      </c>
      <c r="D8098" s="23" t="s">
        <v>59</v>
      </c>
      <c r="E8098" s="23" t="s">
        <v>60</v>
      </c>
      <c r="F8098" s="23" t="s">
        <v>61</v>
      </c>
      <c r="G8098" t="s">
        <v>62</v>
      </c>
      <c r="H8098" t="s">
        <v>63</v>
      </c>
    </row>
    <row r="8099" spans="1:8" x14ac:dyDescent="0.3">
      <c r="A8099" s="22" t="s">
        <v>64</v>
      </c>
      <c r="B8099" t="s">
        <v>67</v>
      </c>
      <c r="C8099" s="23">
        <v>0.1202247267171383</v>
      </c>
      <c r="D8099" s="23">
        <v>6.6280033140016598E-2</v>
      </c>
      <c r="E8099" s="23">
        <v>0</v>
      </c>
      <c r="F8099" s="23">
        <v>0.48</v>
      </c>
      <c r="G8099">
        <v>22</v>
      </c>
      <c r="H8099">
        <v>23</v>
      </c>
    </row>
    <row r="8100" spans="1:8" x14ac:dyDescent="0.3">
      <c r="A8100" s="22" t="s">
        <v>64</v>
      </c>
      <c r="B8100" t="s">
        <v>68</v>
      </c>
      <c r="C8100" s="23">
        <v>0.13318534961154299</v>
      </c>
      <c r="D8100" s="23">
        <v>0.13318534961154299</v>
      </c>
      <c r="E8100" s="23">
        <v>0.13318534961154299</v>
      </c>
      <c r="F8100" s="23">
        <v>0.13318534961154299</v>
      </c>
      <c r="G8100">
        <v>1</v>
      </c>
      <c r="H8100">
        <v>23</v>
      </c>
    </row>
    <row r="8101" spans="1:8" x14ac:dyDescent="0.3">
      <c r="C8101" s="23"/>
      <c r="D8101" s="23"/>
      <c r="E8101" s="23"/>
      <c r="F8101" s="23"/>
    </row>
    <row r="8102" spans="1:8" ht="72" x14ac:dyDescent="0.3">
      <c r="A8102" s="22" t="s">
        <v>1761</v>
      </c>
      <c r="C8102" s="23"/>
      <c r="D8102" s="23"/>
      <c r="E8102" s="23"/>
      <c r="F8102" s="23"/>
    </row>
    <row r="8103" spans="1:8" x14ac:dyDescent="0.3">
      <c r="A8103" s="22" t="s">
        <v>57</v>
      </c>
      <c r="B8103" t="s">
        <v>66</v>
      </c>
      <c r="C8103" s="23" t="s">
        <v>58</v>
      </c>
      <c r="D8103" s="23" t="s">
        <v>59</v>
      </c>
      <c r="E8103" s="23" t="s">
        <v>60</v>
      </c>
      <c r="F8103" s="23" t="s">
        <v>61</v>
      </c>
      <c r="G8103" t="s">
        <v>62</v>
      </c>
      <c r="H8103" t="s">
        <v>63</v>
      </c>
    </row>
    <row r="8104" spans="1:8" x14ac:dyDescent="0.3">
      <c r="A8104" s="22" t="s">
        <v>64</v>
      </c>
      <c r="B8104" t="s">
        <v>67</v>
      </c>
      <c r="C8104" s="23">
        <v>0.1207882320603733</v>
      </c>
      <c r="D8104" s="23">
        <v>7.2046109510086498E-2</v>
      </c>
      <c r="E8104" s="23">
        <v>0</v>
      </c>
      <c r="F8104" s="23">
        <v>0.48</v>
      </c>
      <c r="G8104">
        <v>23</v>
      </c>
      <c r="H8104">
        <v>23</v>
      </c>
    </row>
    <row r="8105" spans="1:8" x14ac:dyDescent="0.3">
      <c r="C8105" s="23"/>
      <c r="D8105" s="23"/>
      <c r="E8105" s="23"/>
      <c r="F8105" s="23"/>
    </row>
    <row r="8106" spans="1:8" ht="72" x14ac:dyDescent="0.3">
      <c r="A8106" s="22" t="s">
        <v>1762</v>
      </c>
      <c r="C8106" s="23"/>
      <c r="D8106" s="23"/>
      <c r="E8106" s="23"/>
      <c r="F8106" s="23"/>
    </row>
    <row r="8107" spans="1:8" x14ac:dyDescent="0.3">
      <c r="A8107" s="22" t="s">
        <v>57</v>
      </c>
      <c r="B8107" t="s">
        <v>66</v>
      </c>
      <c r="C8107" s="23" t="s">
        <v>58</v>
      </c>
      <c r="D8107" s="23" t="s">
        <v>59</v>
      </c>
      <c r="E8107" s="23" t="s">
        <v>60</v>
      </c>
      <c r="F8107" s="23" t="s">
        <v>61</v>
      </c>
      <c r="G8107" t="s">
        <v>62</v>
      </c>
      <c r="H8107" t="s">
        <v>63</v>
      </c>
    </row>
    <row r="8108" spans="1:8" x14ac:dyDescent="0.3">
      <c r="A8108" s="22" t="s">
        <v>64</v>
      </c>
      <c r="B8108" t="s">
        <v>67</v>
      </c>
      <c r="C8108" s="23">
        <v>0.123572978539308</v>
      </c>
      <c r="D8108" s="23">
        <v>6.8027210884353706E-2</v>
      </c>
      <c r="E8108" s="23">
        <v>0</v>
      </c>
      <c r="F8108" s="23">
        <v>0.48</v>
      </c>
      <c r="G8108">
        <v>22</v>
      </c>
      <c r="H8108">
        <v>23</v>
      </c>
    </row>
    <row r="8109" spans="1:8" x14ac:dyDescent="0.3">
      <c r="A8109" s="22" t="s">
        <v>64</v>
      </c>
      <c r="B8109" t="s">
        <v>68</v>
      </c>
      <c r="C8109" s="23">
        <v>5.95238095238095E-2</v>
      </c>
      <c r="D8109" s="23">
        <v>5.95238095238095E-2</v>
      </c>
      <c r="E8109" s="23">
        <v>5.95238095238095E-2</v>
      </c>
      <c r="F8109" s="23">
        <v>5.95238095238095E-2</v>
      </c>
      <c r="G8109">
        <v>1</v>
      </c>
      <c r="H8109">
        <v>23</v>
      </c>
    </row>
    <row r="8110" spans="1:8" x14ac:dyDescent="0.3">
      <c r="C8110" s="23"/>
      <c r="D8110" s="23"/>
      <c r="E8110" s="23"/>
      <c r="F8110" s="23"/>
    </row>
    <row r="8111" spans="1:8" ht="72" x14ac:dyDescent="0.3">
      <c r="A8111" s="22" t="s">
        <v>1763</v>
      </c>
      <c r="C8111" s="23"/>
      <c r="D8111" s="23"/>
      <c r="E8111" s="23"/>
      <c r="F8111" s="23"/>
    </row>
    <row r="8112" spans="1:8" x14ac:dyDescent="0.3">
      <c r="A8112" s="22" t="s">
        <v>57</v>
      </c>
      <c r="B8112" t="s">
        <v>66</v>
      </c>
      <c r="C8112" s="23" t="s">
        <v>58</v>
      </c>
      <c r="D8112" s="23" t="s">
        <v>59</v>
      </c>
      <c r="E8112" s="23" t="s">
        <v>60</v>
      </c>
      <c r="F8112" s="23" t="s">
        <v>61</v>
      </c>
      <c r="G8112" t="s">
        <v>62</v>
      </c>
      <c r="H8112" t="s">
        <v>63</v>
      </c>
    </row>
    <row r="8113" spans="1:8" x14ac:dyDescent="0.3">
      <c r="A8113" s="22" t="s">
        <v>64</v>
      </c>
      <c r="B8113" t="s">
        <v>68</v>
      </c>
      <c r="C8113" s="23">
        <v>0.1207882320603733</v>
      </c>
      <c r="D8113" s="23">
        <v>7.2046109510086498E-2</v>
      </c>
      <c r="E8113" s="23">
        <v>0</v>
      </c>
      <c r="F8113" s="23">
        <v>0.48</v>
      </c>
      <c r="G8113">
        <v>23</v>
      </c>
      <c r="H8113">
        <v>23</v>
      </c>
    </row>
    <row r="8114" spans="1:8" x14ac:dyDescent="0.3">
      <c r="C8114" s="23"/>
      <c r="D8114" s="23"/>
      <c r="E8114" s="23"/>
      <c r="F8114" s="23"/>
    </row>
    <row r="8115" spans="1:8" ht="72" x14ac:dyDescent="0.3">
      <c r="A8115" s="22" t="s">
        <v>1764</v>
      </c>
      <c r="C8115" s="23"/>
      <c r="D8115" s="23"/>
      <c r="E8115" s="23"/>
      <c r="F8115" s="23"/>
    </row>
    <row r="8116" spans="1:8" x14ac:dyDescent="0.3">
      <c r="A8116" s="22" t="s">
        <v>57</v>
      </c>
      <c r="B8116" t="s">
        <v>66</v>
      </c>
      <c r="C8116" s="23" t="s">
        <v>58</v>
      </c>
      <c r="D8116" s="23" t="s">
        <v>59</v>
      </c>
      <c r="E8116" s="23" t="s">
        <v>60</v>
      </c>
      <c r="F8116" s="23" t="s">
        <v>61</v>
      </c>
      <c r="G8116" t="s">
        <v>62</v>
      </c>
      <c r="H8116" t="s">
        <v>63</v>
      </c>
    </row>
    <row r="8117" spans="1:8" x14ac:dyDescent="0.3">
      <c r="A8117" s="22" t="s">
        <v>64</v>
      </c>
      <c r="B8117" t="s">
        <v>67</v>
      </c>
      <c r="C8117" s="23">
        <v>0.14325081784551699</v>
      </c>
      <c r="D8117" s="23">
        <v>0.104166666666667</v>
      </c>
      <c r="E8117" s="23">
        <v>8.6206896551724102E-3</v>
      </c>
      <c r="F8117" s="23">
        <v>0.48</v>
      </c>
      <c r="G8117">
        <v>17</v>
      </c>
      <c r="H8117">
        <v>23</v>
      </c>
    </row>
    <row r="8118" spans="1:8" x14ac:dyDescent="0.3">
      <c r="A8118" s="22" t="s">
        <v>64</v>
      </c>
      <c r="B8118" t="s">
        <v>68</v>
      </c>
      <c r="C8118" s="23">
        <v>5.7144239002466131E-2</v>
      </c>
      <c r="D8118" s="23">
        <v>5.1282051282051301E-2</v>
      </c>
      <c r="E8118" s="23">
        <v>0</v>
      </c>
      <c r="F8118" s="23">
        <v>0.128205128205128</v>
      </c>
      <c r="G8118">
        <v>6</v>
      </c>
      <c r="H8118">
        <v>23</v>
      </c>
    </row>
    <row r="8119" spans="1:8" x14ac:dyDescent="0.3">
      <c r="C8119" s="23"/>
      <c r="D8119" s="23"/>
      <c r="E8119" s="23"/>
      <c r="F8119" s="23"/>
    </row>
    <row r="8120" spans="1:8" ht="72" x14ac:dyDescent="0.3">
      <c r="A8120" s="22" t="s">
        <v>1765</v>
      </c>
      <c r="C8120" s="23"/>
      <c r="D8120" s="23"/>
      <c r="E8120" s="23"/>
      <c r="F8120" s="23"/>
    </row>
    <row r="8121" spans="1:8" x14ac:dyDescent="0.3">
      <c r="A8121" s="22" t="s">
        <v>57</v>
      </c>
      <c r="B8121" t="s">
        <v>66</v>
      </c>
      <c r="C8121" s="23" t="s">
        <v>58</v>
      </c>
      <c r="D8121" s="23" t="s">
        <v>59</v>
      </c>
      <c r="E8121" s="23" t="s">
        <v>60</v>
      </c>
      <c r="F8121" s="23" t="s">
        <v>61</v>
      </c>
      <c r="G8121" t="s">
        <v>62</v>
      </c>
      <c r="H8121" t="s">
        <v>63</v>
      </c>
    </row>
    <row r="8122" spans="1:8" x14ac:dyDescent="0.3">
      <c r="A8122" s="22" t="s">
        <v>64</v>
      </c>
      <c r="B8122" t="s">
        <v>67</v>
      </c>
      <c r="C8122" s="23">
        <v>0.117592905106236</v>
      </c>
      <c r="D8122" s="23">
        <v>7.2046109510086498E-2</v>
      </c>
      <c r="E8122" s="23">
        <v>0</v>
      </c>
      <c r="F8122" s="23">
        <v>0.48</v>
      </c>
      <c r="G8122">
        <v>21</v>
      </c>
      <c r="H8122">
        <v>23</v>
      </c>
    </row>
    <row r="8123" spans="1:8" x14ac:dyDescent="0.3">
      <c r="A8123" s="22" t="s">
        <v>64</v>
      </c>
      <c r="B8123" t="s">
        <v>68</v>
      </c>
      <c r="C8123" s="23">
        <v>0.15433916507881501</v>
      </c>
      <c r="D8123" s="23">
        <v>4.7808764940239001E-2</v>
      </c>
      <c r="E8123" s="23">
        <v>4.7808764940239001E-2</v>
      </c>
      <c r="F8123" s="23">
        <v>0.26086956521739102</v>
      </c>
      <c r="G8123">
        <v>2</v>
      </c>
      <c r="H8123">
        <v>23</v>
      </c>
    </row>
    <row r="8124" spans="1:8" x14ac:dyDescent="0.3">
      <c r="C8124" s="23"/>
      <c r="D8124" s="23"/>
      <c r="E8124" s="23"/>
      <c r="F8124" s="23"/>
    </row>
    <row r="8125" spans="1:8" ht="72" x14ac:dyDescent="0.3">
      <c r="A8125" s="22" t="s">
        <v>1766</v>
      </c>
      <c r="C8125" s="23"/>
      <c r="D8125" s="23"/>
      <c r="E8125" s="23"/>
      <c r="F8125" s="23"/>
    </row>
    <row r="8126" spans="1:8" x14ac:dyDescent="0.3">
      <c r="A8126" s="22" t="s">
        <v>57</v>
      </c>
      <c r="B8126" t="s">
        <v>66</v>
      </c>
      <c r="C8126" s="23" t="s">
        <v>58</v>
      </c>
      <c r="D8126" s="23" t="s">
        <v>59</v>
      </c>
      <c r="E8126" s="23" t="s">
        <v>60</v>
      </c>
      <c r="F8126" s="23" t="s">
        <v>61</v>
      </c>
      <c r="G8126" t="s">
        <v>62</v>
      </c>
      <c r="H8126" t="s">
        <v>63</v>
      </c>
    </row>
    <row r="8127" spans="1:8" x14ac:dyDescent="0.3">
      <c r="A8127" s="22" t="s">
        <v>64</v>
      </c>
      <c r="B8127" t="s">
        <v>67</v>
      </c>
      <c r="C8127" s="23">
        <v>0.11750351670580329</v>
      </c>
      <c r="D8127" s="23">
        <v>7.2046109510086498E-2</v>
      </c>
      <c r="E8127" s="23">
        <v>0</v>
      </c>
      <c r="F8127" s="23">
        <v>0.48</v>
      </c>
      <c r="G8127">
        <v>19</v>
      </c>
      <c r="H8127">
        <v>23</v>
      </c>
    </row>
    <row r="8128" spans="1:8" x14ac:dyDescent="0.3">
      <c r="A8128" s="22" t="s">
        <v>64</v>
      </c>
      <c r="B8128" t="s">
        <v>68</v>
      </c>
      <c r="C8128" s="23">
        <v>0.1363906299945809</v>
      </c>
      <c r="D8128" s="23">
        <v>2.6178010471204199E-2</v>
      </c>
      <c r="E8128" s="23">
        <v>1.85185185185185E-2</v>
      </c>
      <c r="F8128" s="23">
        <v>0.33734397840998498</v>
      </c>
      <c r="G8128">
        <v>4</v>
      </c>
      <c r="H8128">
        <v>23</v>
      </c>
    </row>
    <row r="8129" spans="1:8" x14ac:dyDescent="0.3">
      <c r="C8129" s="23"/>
      <c r="D8129" s="23"/>
      <c r="E8129" s="23"/>
      <c r="F8129" s="23"/>
    </row>
    <row r="8130" spans="1:8" ht="86.4" x14ac:dyDescent="0.3">
      <c r="A8130" s="22" t="s">
        <v>1767</v>
      </c>
      <c r="C8130" s="23"/>
      <c r="D8130" s="23"/>
      <c r="E8130" s="23"/>
      <c r="F8130" s="23"/>
    </row>
    <row r="8131" spans="1:8" x14ac:dyDescent="0.3">
      <c r="A8131" s="22" t="s">
        <v>57</v>
      </c>
      <c r="B8131" t="s">
        <v>66</v>
      </c>
      <c r="C8131" s="23" t="s">
        <v>58</v>
      </c>
      <c r="D8131" s="23" t="s">
        <v>59</v>
      </c>
      <c r="E8131" s="23" t="s">
        <v>60</v>
      </c>
      <c r="F8131" s="23" t="s">
        <v>61</v>
      </c>
      <c r="G8131" t="s">
        <v>62</v>
      </c>
      <c r="H8131" t="s">
        <v>63</v>
      </c>
    </row>
    <row r="8132" spans="1:8" x14ac:dyDescent="0.3">
      <c r="A8132" s="22" t="s">
        <v>64</v>
      </c>
      <c r="B8132" t="s">
        <v>67</v>
      </c>
      <c r="C8132" s="23">
        <v>0.11884578749136231</v>
      </c>
      <c r="D8132" s="23">
        <v>6.6280033140016598E-2</v>
      </c>
      <c r="E8132" s="23">
        <v>0</v>
      </c>
      <c r="F8132" s="23">
        <v>0.48</v>
      </c>
      <c r="G8132">
        <v>22</v>
      </c>
      <c r="H8132">
        <v>23</v>
      </c>
    </row>
    <row r="8133" spans="1:8" x14ac:dyDescent="0.3">
      <c r="A8133" s="22" t="s">
        <v>64</v>
      </c>
      <c r="B8133" t="s">
        <v>68</v>
      </c>
      <c r="C8133" s="23">
        <v>0.16352201257861601</v>
      </c>
      <c r="D8133" s="23">
        <v>0.16352201257861601</v>
      </c>
      <c r="E8133" s="23">
        <v>0.16352201257861601</v>
      </c>
      <c r="F8133" s="23">
        <v>0.16352201257861601</v>
      </c>
      <c r="G8133">
        <v>1</v>
      </c>
      <c r="H8133">
        <v>23</v>
      </c>
    </row>
    <row r="8134" spans="1:8" x14ac:dyDescent="0.3">
      <c r="C8134" s="23"/>
      <c r="D8134" s="23"/>
      <c r="E8134" s="23"/>
      <c r="F8134" s="23"/>
    </row>
    <row r="8135" spans="1:8" ht="86.4" x14ac:dyDescent="0.3">
      <c r="A8135" s="22" t="s">
        <v>1768</v>
      </c>
      <c r="C8135" s="23"/>
      <c r="D8135" s="23"/>
      <c r="E8135" s="23"/>
      <c r="F8135" s="23"/>
    </row>
    <row r="8136" spans="1:8" x14ac:dyDescent="0.3">
      <c r="A8136" s="22" t="s">
        <v>57</v>
      </c>
      <c r="B8136" t="s">
        <v>66</v>
      </c>
      <c r="C8136" s="23" t="s">
        <v>58</v>
      </c>
      <c r="D8136" s="23" t="s">
        <v>59</v>
      </c>
      <c r="E8136" s="23" t="s">
        <v>60</v>
      </c>
      <c r="F8136" s="23" t="s">
        <v>61</v>
      </c>
      <c r="G8136" t="s">
        <v>62</v>
      </c>
      <c r="H8136" t="s">
        <v>63</v>
      </c>
    </row>
    <row r="8137" spans="1:8" x14ac:dyDescent="0.3">
      <c r="A8137" s="22" t="s">
        <v>64</v>
      </c>
      <c r="B8137" t="s">
        <v>67</v>
      </c>
      <c r="C8137" s="23">
        <v>0.1207882320603733</v>
      </c>
      <c r="D8137" s="23">
        <v>7.2046109510086498E-2</v>
      </c>
      <c r="E8137" s="23">
        <v>0</v>
      </c>
      <c r="F8137" s="23">
        <v>0.48</v>
      </c>
      <c r="G8137">
        <v>23</v>
      </c>
      <c r="H8137">
        <v>23</v>
      </c>
    </row>
    <row r="8138" spans="1:8" x14ac:dyDescent="0.3">
      <c r="C8138" s="23"/>
      <c r="D8138" s="23"/>
      <c r="E8138" s="23"/>
      <c r="F8138" s="23"/>
    </row>
    <row r="8139" spans="1:8" ht="72" x14ac:dyDescent="0.3">
      <c r="A8139" s="22" t="s">
        <v>1769</v>
      </c>
      <c r="C8139" s="23"/>
      <c r="D8139" s="23"/>
      <c r="E8139" s="23"/>
      <c r="F8139" s="23"/>
    </row>
    <row r="8140" spans="1:8" x14ac:dyDescent="0.3">
      <c r="A8140" s="22" t="s">
        <v>57</v>
      </c>
      <c r="B8140" t="s">
        <v>66</v>
      </c>
      <c r="C8140" s="23" t="s">
        <v>58</v>
      </c>
      <c r="D8140" s="23" t="s">
        <v>59</v>
      </c>
      <c r="E8140" s="23" t="s">
        <v>60</v>
      </c>
      <c r="F8140" s="23" t="s">
        <v>61</v>
      </c>
      <c r="G8140" t="s">
        <v>62</v>
      </c>
      <c r="H8140" t="s">
        <v>63</v>
      </c>
    </row>
    <row r="8141" spans="1:8" x14ac:dyDescent="0.3">
      <c r="A8141" s="22" t="s">
        <v>64</v>
      </c>
      <c r="B8141" t="s">
        <v>67</v>
      </c>
      <c r="C8141" s="23">
        <v>0.11590675063292701</v>
      </c>
      <c r="D8141" s="23">
        <v>6.8027210884353706E-2</v>
      </c>
      <c r="E8141" s="23">
        <v>8.6206896551724102E-3</v>
      </c>
      <c r="F8141" s="23">
        <v>0.47368421052631599</v>
      </c>
      <c r="G8141">
        <v>13</v>
      </c>
      <c r="H8141">
        <v>23</v>
      </c>
    </row>
    <row r="8142" spans="1:8" x14ac:dyDescent="0.3">
      <c r="A8142" s="22" t="s">
        <v>64</v>
      </c>
      <c r="B8142" t="s">
        <v>68</v>
      </c>
      <c r="C8142" s="23">
        <v>0.12713415791605359</v>
      </c>
      <c r="D8142" s="23">
        <v>7.2046109510086498E-2</v>
      </c>
      <c r="E8142" s="23">
        <v>0</v>
      </c>
      <c r="F8142" s="23">
        <v>0.48</v>
      </c>
      <c r="G8142">
        <v>10</v>
      </c>
      <c r="H8142">
        <v>23</v>
      </c>
    </row>
    <row r="8143" spans="1:8" x14ac:dyDescent="0.3">
      <c r="C8143" s="23"/>
      <c r="D8143" s="23"/>
      <c r="E8143" s="23"/>
      <c r="F8143" s="23"/>
    </row>
    <row r="8144" spans="1:8" ht="86.4" x14ac:dyDescent="0.3">
      <c r="A8144" s="22" t="s">
        <v>1770</v>
      </c>
      <c r="C8144" s="23"/>
      <c r="D8144" s="23"/>
      <c r="E8144" s="23"/>
      <c r="F8144" s="23"/>
    </row>
    <row r="8145" spans="1:8" x14ac:dyDescent="0.3">
      <c r="A8145" s="22" t="s">
        <v>57</v>
      </c>
      <c r="B8145" t="s">
        <v>66</v>
      </c>
      <c r="C8145" s="23" t="s">
        <v>58</v>
      </c>
      <c r="D8145" s="23" t="s">
        <v>59</v>
      </c>
      <c r="E8145" s="23" t="s">
        <v>60</v>
      </c>
      <c r="F8145" s="23" t="s">
        <v>61</v>
      </c>
      <c r="G8145" t="s">
        <v>62</v>
      </c>
      <c r="H8145" t="s">
        <v>63</v>
      </c>
    </row>
    <row r="8146" spans="1:8" x14ac:dyDescent="0.3">
      <c r="A8146" s="22" t="s">
        <v>64</v>
      </c>
      <c r="B8146" t="s">
        <v>67</v>
      </c>
      <c r="C8146" s="23">
        <v>0.11094478904448191</v>
      </c>
      <c r="D8146" s="23">
        <v>6.6280033140016598E-2</v>
      </c>
      <c r="E8146" s="23">
        <v>0</v>
      </c>
      <c r="F8146" s="23">
        <v>0.48</v>
      </c>
      <c r="G8146">
        <v>22</v>
      </c>
      <c r="H8146">
        <v>23</v>
      </c>
    </row>
    <row r="8147" spans="1:8" x14ac:dyDescent="0.3">
      <c r="A8147" s="22" t="s">
        <v>64</v>
      </c>
      <c r="B8147" t="s">
        <v>68</v>
      </c>
      <c r="C8147" s="23">
        <v>0.33734397840998498</v>
      </c>
      <c r="D8147" s="23">
        <v>0.33734397840998498</v>
      </c>
      <c r="E8147" s="23">
        <v>0.33734397840998498</v>
      </c>
      <c r="F8147" s="23">
        <v>0.33734397840998498</v>
      </c>
      <c r="G8147">
        <v>1</v>
      </c>
      <c r="H8147">
        <v>23</v>
      </c>
    </row>
    <row r="8148" spans="1:8" x14ac:dyDescent="0.3">
      <c r="C8148" s="23"/>
      <c r="D8148" s="23"/>
      <c r="E8148" s="23"/>
      <c r="F8148" s="23"/>
    </row>
    <row r="8149" spans="1:8" ht="72" x14ac:dyDescent="0.3">
      <c r="A8149" s="22" t="s">
        <v>1771</v>
      </c>
      <c r="C8149" s="23"/>
      <c r="D8149" s="23"/>
      <c r="E8149" s="23"/>
      <c r="F8149" s="23"/>
    </row>
    <row r="8150" spans="1:8" x14ac:dyDescent="0.3">
      <c r="A8150" s="22" t="s">
        <v>57</v>
      </c>
      <c r="B8150" t="s">
        <v>66</v>
      </c>
      <c r="C8150" s="23" t="s">
        <v>58</v>
      </c>
      <c r="D8150" s="23" t="s">
        <v>59</v>
      </c>
      <c r="E8150" s="23" t="s">
        <v>60</v>
      </c>
      <c r="F8150" s="23" t="s">
        <v>61</v>
      </c>
      <c r="G8150" t="s">
        <v>62</v>
      </c>
      <c r="H8150" t="s">
        <v>63</v>
      </c>
    </row>
    <row r="8151" spans="1:8" x14ac:dyDescent="0.3">
      <c r="A8151" s="22" t="s">
        <v>64</v>
      </c>
      <c r="B8151" t="s">
        <v>81</v>
      </c>
      <c r="C8151" s="23">
        <v>0.13769563814373509</v>
      </c>
      <c r="D8151" s="23">
        <v>6.8027210884353706E-2</v>
      </c>
      <c r="E8151" s="23">
        <v>1.4705882352941201E-2</v>
      </c>
      <c r="F8151" s="23">
        <v>0.48</v>
      </c>
      <c r="G8151">
        <v>7</v>
      </c>
      <c r="H8151">
        <v>23</v>
      </c>
    </row>
    <row r="8152" spans="1:8" x14ac:dyDescent="0.3">
      <c r="A8152" s="22" t="s">
        <v>64</v>
      </c>
      <c r="B8152" t="s">
        <v>82</v>
      </c>
      <c r="C8152" s="23">
        <v>0.11665996093456051</v>
      </c>
      <c r="D8152" s="23">
        <v>8.0645161290322606E-2</v>
      </c>
      <c r="E8152" s="23">
        <v>8.6206896551724102E-3</v>
      </c>
      <c r="F8152" s="23">
        <v>0.33734397840998498</v>
      </c>
      <c r="G8152">
        <v>8</v>
      </c>
      <c r="H8152">
        <v>23</v>
      </c>
    </row>
    <row r="8153" spans="1:8" x14ac:dyDescent="0.3">
      <c r="A8153" s="22" t="s">
        <v>64</v>
      </c>
      <c r="B8153" t="s">
        <v>83</v>
      </c>
      <c r="C8153" s="23">
        <v>9.2592592592592501E-3</v>
      </c>
      <c r="D8153" s="23">
        <v>0</v>
      </c>
      <c r="E8153" s="23">
        <v>0</v>
      </c>
      <c r="F8153" s="23">
        <v>1.85185185185185E-2</v>
      </c>
      <c r="G8153">
        <v>2</v>
      </c>
      <c r="H8153">
        <v>23</v>
      </c>
    </row>
    <row r="8154" spans="1:8" x14ac:dyDescent="0.3">
      <c r="A8154" s="22" t="s">
        <v>64</v>
      </c>
      <c r="B8154" t="s">
        <v>84</v>
      </c>
      <c r="C8154" s="23">
        <v>0.14374361073123981</v>
      </c>
      <c r="D8154" s="23">
        <v>5.95238095238095E-2</v>
      </c>
      <c r="E8154" s="23">
        <v>2.4390243902439001E-2</v>
      </c>
      <c r="F8154" s="23">
        <v>0.47368421052631599</v>
      </c>
      <c r="G8154">
        <v>6</v>
      </c>
      <c r="H8154">
        <v>23</v>
      </c>
    </row>
    <row r="8156" spans="1:8" ht="57.6" x14ac:dyDescent="0.3">
      <c r="A8156" s="22" t="s">
        <v>1772</v>
      </c>
    </row>
    <row r="8157" spans="1:8" x14ac:dyDescent="0.3">
      <c r="A8157" s="22" t="s">
        <v>57</v>
      </c>
      <c r="B8157" t="s">
        <v>58</v>
      </c>
      <c r="C8157" t="s">
        <v>59</v>
      </c>
      <c r="D8157" t="s">
        <v>60</v>
      </c>
      <c r="E8157" t="s">
        <v>61</v>
      </c>
      <c r="F8157" t="s">
        <v>62</v>
      </c>
      <c r="G8157" t="s">
        <v>63</v>
      </c>
    </row>
    <row r="8158" spans="1:8" x14ac:dyDescent="0.3">
      <c r="A8158" s="22" t="s">
        <v>64</v>
      </c>
      <c r="B8158" s="23">
        <v>3.2908855332150988E-2</v>
      </c>
      <c r="C8158" s="23">
        <v>9.3023255813953504E-3</v>
      </c>
      <c r="D8158" s="23">
        <v>0</v>
      </c>
      <c r="E8158" s="23">
        <v>0.109289617486339</v>
      </c>
      <c r="F8158">
        <v>4</v>
      </c>
      <c r="G8158">
        <v>4</v>
      </c>
    </row>
    <row r="8160" spans="1:8" ht="72" x14ac:dyDescent="0.3">
      <c r="A8160" s="22" t="s">
        <v>1773</v>
      </c>
      <c r="C8160" s="23"/>
      <c r="D8160" s="23"/>
      <c r="E8160" s="23"/>
      <c r="F8160" s="23"/>
    </row>
    <row r="8161" spans="1:8" x14ac:dyDescent="0.3">
      <c r="A8161" s="22" t="s">
        <v>57</v>
      </c>
      <c r="B8161" t="s">
        <v>66</v>
      </c>
      <c r="C8161" s="23" t="s">
        <v>58</v>
      </c>
      <c r="D8161" s="23" t="s">
        <v>59</v>
      </c>
      <c r="E8161" s="23" t="s">
        <v>60</v>
      </c>
      <c r="F8161" s="23" t="s">
        <v>61</v>
      </c>
      <c r="G8161" t="s">
        <v>62</v>
      </c>
      <c r="H8161" t="s">
        <v>63</v>
      </c>
    </row>
    <row r="8162" spans="1:8" x14ac:dyDescent="0.3">
      <c r="A8162" s="22" t="s">
        <v>64</v>
      </c>
      <c r="B8162" t="s">
        <v>67</v>
      </c>
      <c r="C8162" s="23">
        <v>3.2908855332150988E-2</v>
      </c>
      <c r="D8162" s="23">
        <v>9.3023255813953504E-3</v>
      </c>
      <c r="E8162" s="23">
        <v>0</v>
      </c>
      <c r="F8162" s="23">
        <v>0.109289617486339</v>
      </c>
      <c r="G8162">
        <v>4</v>
      </c>
      <c r="H8162">
        <v>4</v>
      </c>
    </row>
    <row r="8163" spans="1:8" x14ac:dyDescent="0.3">
      <c r="C8163" s="23"/>
      <c r="D8163" s="23"/>
      <c r="E8163" s="23"/>
      <c r="F8163" s="23"/>
    </row>
    <row r="8164" spans="1:8" x14ac:dyDescent="0.3">
      <c r="A8164"/>
      <c r="C8164" s="23"/>
      <c r="D8164" s="23"/>
      <c r="E8164" s="23"/>
      <c r="F8164" s="23"/>
    </row>
    <row r="8165" spans="1:8" x14ac:dyDescent="0.3">
      <c r="A8165"/>
      <c r="C8165" s="23"/>
      <c r="D8165" s="23"/>
      <c r="E8165" s="23"/>
      <c r="F8165" s="23"/>
    </row>
    <row r="8166" spans="1:8" x14ac:dyDescent="0.3">
      <c r="A8166"/>
      <c r="C8166" s="23"/>
      <c r="D8166" s="23"/>
      <c r="E8166" s="23"/>
      <c r="F8166" s="23"/>
    </row>
    <row r="8167" spans="1:8" x14ac:dyDescent="0.3">
      <c r="C8167" s="23"/>
      <c r="D8167" s="23"/>
      <c r="E8167" s="23"/>
      <c r="F8167" s="23"/>
    </row>
    <row r="8168" spans="1:8" ht="72" x14ac:dyDescent="0.3">
      <c r="A8168" s="22" t="s">
        <v>1774</v>
      </c>
      <c r="C8168" s="23"/>
      <c r="D8168" s="23"/>
      <c r="E8168" s="23"/>
      <c r="F8168" s="23"/>
    </row>
    <row r="8169" spans="1:8" x14ac:dyDescent="0.3">
      <c r="A8169" s="22" t="s">
        <v>57</v>
      </c>
      <c r="B8169" t="s">
        <v>66</v>
      </c>
      <c r="C8169" s="23" t="s">
        <v>58</v>
      </c>
      <c r="D8169" s="23" t="s">
        <v>59</v>
      </c>
      <c r="E8169" s="23" t="s">
        <v>60</v>
      </c>
      <c r="F8169" s="23" t="s">
        <v>61</v>
      </c>
      <c r="G8169" t="s">
        <v>62</v>
      </c>
      <c r="H8169" t="s">
        <v>63</v>
      </c>
    </row>
    <row r="8170" spans="1:8" x14ac:dyDescent="0.3">
      <c r="A8170" s="22" t="s">
        <v>64</v>
      </c>
      <c r="B8170" t="s">
        <v>67</v>
      </c>
      <c r="C8170" s="23">
        <v>3.2908855332150988E-2</v>
      </c>
      <c r="D8170" s="23">
        <v>9.3023255813953504E-3</v>
      </c>
      <c r="E8170" s="23">
        <v>0</v>
      </c>
      <c r="F8170" s="23">
        <v>0.109289617486339</v>
      </c>
      <c r="G8170">
        <v>4</v>
      </c>
      <c r="H8170">
        <v>4</v>
      </c>
    </row>
    <row r="8171" spans="1:8" x14ac:dyDescent="0.3">
      <c r="C8171" s="23"/>
      <c r="D8171" s="23"/>
      <c r="E8171" s="23"/>
      <c r="F8171" s="23"/>
    </row>
    <row r="8172" spans="1:8" ht="72" x14ac:dyDescent="0.3">
      <c r="A8172" s="22" t="s">
        <v>1775</v>
      </c>
      <c r="C8172" s="23"/>
      <c r="D8172" s="23"/>
      <c r="E8172" s="23"/>
      <c r="F8172" s="23"/>
    </row>
    <row r="8173" spans="1:8" x14ac:dyDescent="0.3">
      <c r="A8173" s="22" t="s">
        <v>57</v>
      </c>
      <c r="B8173" t="s">
        <v>66</v>
      </c>
      <c r="C8173" s="23" t="s">
        <v>58</v>
      </c>
      <c r="D8173" s="23" t="s">
        <v>59</v>
      </c>
      <c r="E8173" s="23" t="s">
        <v>60</v>
      </c>
      <c r="F8173" s="23" t="s">
        <v>61</v>
      </c>
      <c r="G8173" t="s">
        <v>62</v>
      </c>
      <c r="H8173" t="s">
        <v>63</v>
      </c>
    </row>
    <row r="8174" spans="1:8" x14ac:dyDescent="0.3">
      <c r="A8174" s="22" t="s">
        <v>64</v>
      </c>
      <c r="B8174" t="s">
        <v>67</v>
      </c>
      <c r="C8174" s="23">
        <v>3.2908855332150988E-2</v>
      </c>
      <c r="D8174" s="23">
        <v>9.3023255813953504E-3</v>
      </c>
      <c r="E8174" s="23">
        <v>0</v>
      </c>
      <c r="F8174" s="23">
        <v>0.109289617486339</v>
      </c>
      <c r="G8174">
        <v>4</v>
      </c>
      <c r="H8174">
        <v>4</v>
      </c>
    </row>
    <row r="8175" spans="1:8" x14ac:dyDescent="0.3">
      <c r="C8175" s="23"/>
      <c r="D8175" s="23"/>
      <c r="E8175" s="23"/>
      <c r="F8175" s="23"/>
    </row>
    <row r="8176" spans="1:8" ht="72" x14ac:dyDescent="0.3">
      <c r="A8176" s="22" t="s">
        <v>1776</v>
      </c>
      <c r="C8176" s="23"/>
      <c r="D8176" s="23"/>
      <c r="E8176" s="23"/>
      <c r="F8176" s="23"/>
    </row>
    <row r="8177" spans="1:8" x14ac:dyDescent="0.3">
      <c r="A8177" s="22" t="s">
        <v>57</v>
      </c>
      <c r="B8177" t="s">
        <v>66</v>
      </c>
      <c r="C8177" s="23" t="s">
        <v>58</v>
      </c>
      <c r="D8177" s="23" t="s">
        <v>59</v>
      </c>
      <c r="E8177" s="23" t="s">
        <v>60</v>
      </c>
      <c r="F8177" s="23" t="s">
        <v>61</v>
      </c>
      <c r="G8177" t="s">
        <v>62</v>
      </c>
      <c r="H8177" t="s">
        <v>63</v>
      </c>
    </row>
    <row r="8178" spans="1:8" x14ac:dyDescent="0.3">
      <c r="A8178" s="22" t="s">
        <v>64</v>
      </c>
      <c r="B8178" t="s">
        <v>67</v>
      </c>
      <c r="C8178" s="23">
        <v>3.2908855332150988E-2</v>
      </c>
      <c r="D8178" s="23">
        <v>9.3023255813953504E-3</v>
      </c>
      <c r="E8178" s="23">
        <v>0</v>
      </c>
      <c r="F8178" s="23">
        <v>0.109289617486339</v>
      </c>
      <c r="G8178">
        <v>4</v>
      </c>
      <c r="H8178">
        <v>4</v>
      </c>
    </row>
    <row r="8179" spans="1:8" x14ac:dyDescent="0.3">
      <c r="C8179" s="23"/>
      <c r="D8179" s="23"/>
      <c r="E8179" s="23"/>
      <c r="F8179" s="23"/>
    </row>
    <row r="8180" spans="1:8" ht="72" x14ac:dyDescent="0.3">
      <c r="A8180" s="22" t="s">
        <v>1777</v>
      </c>
      <c r="C8180" s="23"/>
      <c r="D8180" s="23"/>
      <c r="E8180" s="23"/>
      <c r="F8180" s="23"/>
    </row>
    <row r="8181" spans="1:8" x14ac:dyDescent="0.3">
      <c r="A8181" s="22" t="s">
        <v>57</v>
      </c>
      <c r="B8181" t="s">
        <v>66</v>
      </c>
      <c r="C8181" s="23" t="s">
        <v>58</v>
      </c>
      <c r="D8181" s="23" t="s">
        <v>59</v>
      </c>
      <c r="E8181" s="23" t="s">
        <v>60</v>
      </c>
      <c r="F8181" s="23" t="s">
        <v>61</v>
      </c>
      <c r="G8181" t="s">
        <v>62</v>
      </c>
      <c r="H8181" t="s">
        <v>63</v>
      </c>
    </row>
    <row r="8182" spans="1:8" x14ac:dyDescent="0.3">
      <c r="A8182" s="22" t="s">
        <v>64</v>
      </c>
      <c r="B8182" t="s">
        <v>68</v>
      </c>
      <c r="C8182" s="23">
        <v>3.2908855332150988E-2</v>
      </c>
      <c r="D8182" s="23">
        <v>9.3023255813953504E-3</v>
      </c>
      <c r="E8182" s="23">
        <v>0</v>
      </c>
      <c r="F8182" s="23">
        <v>0.109289617486339</v>
      </c>
      <c r="G8182">
        <v>4</v>
      </c>
      <c r="H8182">
        <v>4</v>
      </c>
    </row>
    <row r="8183" spans="1:8" x14ac:dyDescent="0.3">
      <c r="C8183" s="23"/>
      <c r="D8183" s="23"/>
      <c r="E8183" s="23"/>
      <c r="F8183" s="23"/>
    </row>
    <row r="8184" spans="1:8" ht="72" x14ac:dyDescent="0.3">
      <c r="A8184" s="22" t="s">
        <v>1778</v>
      </c>
      <c r="C8184" s="23"/>
      <c r="D8184" s="23"/>
      <c r="E8184" s="23"/>
      <c r="F8184" s="23"/>
    </row>
    <row r="8185" spans="1:8" x14ac:dyDescent="0.3">
      <c r="A8185" s="22" t="s">
        <v>57</v>
      </c>
      <c r="B8185" t="s">
        <v>66</v>
      </c>
      <c r="C8185" s="23" t="s">
        <v>58</v>
      </c>
      <c r="D8185" s="23" t="s">
        <v>59</v>
      </c>
      <c r="E8185" s="23" t="s">
        <v>60</v>
      </c>
      <c r="F8185" s="23" t="s">
        <v>61</v>
      </c>
      <c r="G8185" t="s">
        <v>62</v>
      </c>
      <c r="H8185" t="s">
        <v>63</v>
      </c>
    </row>
    <row r="8186" spans="1:8" x14ac:dyDescent="0.3">
      <c r="A8186" s="22" t="s">
        <v>64</v>
      </c>
      <c r="B8186" t="s">
        <v>67</v>
      </c>
      <c r="C8186" s="23">
        <v>4.387847377620132E-2</v>
      </c>
      <c r="D8186" s="23">
        <v>0.109289617486339</v>
      </c>
      <c r="E8186" s="23">
        <v>9.3023255813953504E-3</v>
      </c>
      <c r="F8186" s="23">
        <v>0.109289617486339</v>
      </c>
      <c r="G8186">
        <v>3</v>
      </c>
      <c r="H8186">
        <v>4</v>
      </c>
    </row>
    <row r="8187" spans="1:8" x14ac:dyDescent="0.3">
      <c r="A8187" s="22" t="s">
        <v>64</v>
      </c>
      <c r="B8187" t="s">
        <v>68</v>
      </c>
      <c r="C8187" s="23">
        <v>0</v>
      </c>
      <c r="D8187" s="23">
        <v>0</v>
      </c>
      <c r="E8187" s="23">
        <v>0</v>
      </c>
      <c r="F8187" s="23">
        <v>0</v>
      </c>
      <c r="G8187">
        <v>1</v>
      </c>
      <c r="H8187">
        <v>4</v>
      </c>
    </row>
    <row r="8188" spans="1:8" x14ac:dyDescent="0.3">
      <c r="C8188" s="23"/>
      <c r="D8188" s="23"/>
      <c r="E8188" s="23"/>
      <c r="F8188" s="23"/>
    </row>
    <row r="8189" spans="1:8" ht="72" x14ac:dyDescent="0.3">
      <c r="A8189" s="22" t="s">
        <v>1779</v>
      </c>
      <c r="C8189" s="23"/>
      <c r="D8189" s="23"/>
      <c r="E8189" s="23"/>
      <c r="F8189" s="23"/>
    </row>
    <row r="8190" spans="1:8" x14ac:dyDescent="0.3">
      <c r="A8190" s="22" t="s">
        <v>57</v>
      </c>
      <c r="B8190" t="s">
        <v>66</v>
      </c>
      <c r="C8190" s="23" t="s">
        <v>58</v>
      </c>
      <c r="D8190" s="23" t="s">
        <v>59</v>
      </c>
      <c r="E8190" s="23" t="s">
        <v>60</v>
      </c>
      <c r="F8190" s="23" t="s">
        <v>61</v>
      </c>
      <c r="G8190" t="s">
        <v>62</v>
      </c>
      <c r="H8190" t="s">
        <v>63</v>
      </c>
    </row>
    <row r="8191" spans="1:8" x14ac:dyDescent="0.3">
      <c r="A8191" s="22" t="s">
        <v>64</v>
      </c>
      <c r="B8191" t="s">
        <v>67</v>
      </c>
      <c r="C8191" s="23">
        <v>5.4644808743169501E-2</v>
      </c>
      <c r="D8191" s="23">
        <v>0</v>
      </c>
      <c r="E8191" s="23">
        <v>0</v>
      </c>
      <c r="F8191" s="23">
        <v>0.109289617486339</v>
      </c>
      <c r="G8191">
        <v>2</v>
      </c>
      <c r="H8191">
        <v>4</v>
      </c>
    </row>
    <row r="8192" spans="1:8" x14ac:dyDescent="0.3">
      <c r="A8192" s="22" t="s">
        <v>64</v>
      </c>
      <c r="B8192" t="s">
        <v>68</v>
      </c>
      <c r="C8192" s="23">
        <v>1.117290192113247E-2</v>
      </c>
      <c r="D8192" s="23">
        <v>9.3023255813953504E-3</v>
      </c>
      <c r="E8192" s="23">
        <v>9.3023255813953504E-3</v>
      </c>
      <c r="F8192" s="23">
        <v>1.3043478260869599E-2</v>
      </c>
      <c r="G8192">
        <v>2</v>
      </c>
      <c r="H8192">
        <v>4</v>
      </c>
    </row>
    <row r="8193" spans="1:8" x14ac:dyDescent="0.3">
      <c r="C8193" s="23"/>
      <c r="D8193" s="23"/>
      <c r="E8193" s="23"/>
      <c r="F8193" s="23"/>
    </row>
    <row r="8194" spans="1:8" ht="72" x14ac:dyDescent="0.3">
      <c r="A8194" s="22" t="s">
        <v>1780</v>
      </c>
      <c r="C8194" s="23"/>
      <c r="D8194" s="23"/>
      <c r="E8194" s="23"/>
      <c r="F8194" s="23"/>
    </row>
    <row r="8195" spans="1:8" x14ac:dyDescent="0.3">
      <c r="A8195" s="22" t="s">
        <v>57</v>
      </c>
      <c r="B8195" t="s">
        <v>66</v>
      </c>
      <c r="C8195" s="23" t="s">
        <v>58</v>
      </c>
      <c r="D8195" s="23" t="s">
        <v>59</v>
      </c>
      <c r="E8195" s="23" t="s">
        <v>60</v>
      </c>
      <c r="F8195" s="23" t="s">
        <v>61</v>
      </c>
      <c r="G8195" t="s">
        <v>62</v>
      </c>
      <c r="H8195" t="s">
        <v>63</v>
      </c>
    </row>
    <row r="8196" spans="1:8" x14ac:dyDescent="0.3">
      <c r="A8196" s="22" t="s">
        <v>64</v>
      </c>
      <c r="B8196" t="s">
        <v>67</v>
      </c>
      <c r="C8196" s="23">
        <v>4.077769858240287E-2</v>
      </c>
      <c r="D8196" s="23">
        <v>0.109289617486339</v>
      </c>
      <c r="E8196" s="23">
        <v>0</v>
      </c>
      <c r="F8196" s="23">
        <v>0.109289617486339</v>
      </c>
      <c r="G8196">
        <v>3</v>
      </c>
      <c r="H8196">
        <v>4</v>
      </c>
    </row>
    <row r="8197" spans="1:8" x14ac:dyDescent="0.3">
      <c r="A8197" s="22" t="s">
        <v>64</v>
      </c>
      <c r="B8197" t="s">
        <v>68</v>
      </c>
      <c r="C8197" s="23">
        <v>9.3023255813953504E-3</v>
      </c>
      <c r="D8197" s="23">
        <v>9.3023255813953504E-3</v>
      </c>
      <c r="E8197" s="23">
        <v>9.3023255813953504E-3</v>
      </c>
      <c r="F8197" s="23">
        <v>9.3023255813953504E-3</v>
      </c>
      <c r="G8197">
        <v>1</v>
      </c>
      <c r="H8197">
        <v>4</v>
      </c>
    </row>
    <row r="8198" spans="1:8" x14ac:dyDescent="0.3">
      <c r="C8198" s="23"/>
      <c r="D8198" s="23"/>
      <c r="E8198" s="23"/>
      <c r="F8198" s="23"/>
    </row>
    <row r="8199" spans="1:8" ht="86.4" x14ac:dyDescent="0.3">
      <c r="A8199" s="22" t="s">
        <v>1781</v>
      </c>
      <c r="C8199" s="23"/>
      <c r="D8199" s="23"/>
      <c r="E8199" s="23"/>
      <c r="F8199" s="23"/>
    </row>
    <row r="8200" spans="1:8" x14ac:dyDescent="0.3">
      <c r="A8200" s="22" t="s">
        <v>57</v>
      </c>
      <c r="B8200" t="s">
        <v>66</v>
      </c>
      <c r="C8200" s="23" t="s">
        <v>58</v>
      </c>
      <c r="D8200" s="23" t="s">
        <v>59</v>
      </c>
      <c r="E8200" s="23" t="s">
        <v>60</v>
      </c>
      <c r="F8200" s="23" t="s">
        <v>61</v>
      </c>
      <c r="G8200" t="s">
        <v>62</v>
      </c>
      <c r="H8200" t="s">
        <v>63</v>
      </c>
    </row>
    <row r="8201" spans="1:8" x14ac:dyDescent="0.3">
      <c r="A8201" s="22" t="s">
        <v>64</v>
      </c>
      <c r="B8201" t="s">
        <v>67</v>
      </c>
      <c r="C8201" s="23">
        <v>3.2908855332150988E-2</v>
      </c>
      <c r="D8201" s="23">
        <v>9.3023255813953504E-3</v>
      </c>
      <c r="E8201" s="23">
        <v>0</v>
      </c>
      <c r="F8201" s="23">
        <v>0.109289617486339</v>
      </c>
      <c r="G8201">
        <v>4</v>
      </c>
      <c r="H8201">
        <v>4</v>
      </c>
    </row>
    <row r="8202" spans="1:8" x14ac:dyDescent="0.3">
      <c r="C8202" s="23"/>
      <c r="D8202" s="23"/>
      <c r="E8202" s="23"/>
      <c r="F8202" s="23"/>
    </row>
    <row r="8203" spans="1:8" ht="86.4" x14ac:dyDescent="0.3">
      <c r="A8203" s="22" t="s">
        <v>1782</v>
      </c>
      <c r="C8203" s="23"/>
      <c r="D8203" s="23"/>
      <c r="E8203" s="23"/>
      <c r="F8203" s="23"/>
    </row>
    <row r="8204" spans="1:8" x14ac:dyDescent="0.3">
      <c r="A8204" s="22" t="s">
        <v>57</v>
      </c>
      <c r="B8204" t="s">
        <v>66</v>
      </c>
      <c r="C8204" s="23" t="s">
        <v>58</v>
      </c>
      <c r="D8204" s="23" t="s">
        <v>59</v>
      </c>
      <c r="E8204" s="23" t="s">
        <v>60</v>
      </c>
      <c r="F8204" s="23" t="s">
        <v>61</v>
      </c>
      <c r="G8204" t="s">
        <v>62</v>
      </c>
      <c r="H8204" t="s">
        <v>63</v>
      </c>
    </row>
    <row r="8205" spans="1:8" x14ac:dyDescent="0.3">
      <c r="A8205" s="22" t="s">
        <v>64</v>
      </c>
      <c r="B8205" t="s">
        <v>67</v>
      </c>
      <c r="C8205" s="23">
        <v>3.2908855332150988E-2</v>
      </c>
      <c r="D8205" s="23">
        <v>9.3023255813953504E-3</v>
      </c>
      <c r="E8205" s="23">
        <v>0</v>
      </c>
      <c r="F8205" s="23">
        <v>0.109289617486339</v>
      </c>
      <c r="G8205">
        <v>4</v>
      </c>
      <c r="H8205">
        <v>4</v>
      </c>
    </row>
    <row r="8206" spans="1:8" x14ac:dyDescent="0.3">
      <c r="C8206" s="23"/>
      <c r="D8206" s="23"/>
      <c r="E8206" s="23"/>
      <c r="F8206" s="23"/>
    </row>
    <row r="8207" spans="1:8" ht="72" x14ac:dyDescent="0.3">
      <c r="A8207" s="22" t="s">
        <v>1783</v>
      </c>
      <c r="C8207" s="23"/>
      <c r="D8207" s="23"/>
      <c r="E8207" s="23"/>
      <c r="F8207" s="23"/>
    </row>
    <row r="8208" spans="1:8" x14ac:dyDescent="0.3">
      <c r="A8208" s="22" t="s">
        <v>57</v>
      </c>
      <c r="B8208" t="s">
        <v>66</v>
      </c>
      <c r="C8208" s="23" t="s">
        <v>58</v>
      </c>
      <c r="D8208" s="23" t="s">
        <v>59</v>
      </c>
      <c r="E8208" s="23" t="s">
        <v>60</v>
      </c>
      <c r="F8208" s="23" t="s">
        <v>61</v>
      </c>
      <c r="G8208" t="s">
        <v>62</v>
      </c>
      <c r="H8208" t="s">
        <v>63</v>
      </c>
    </row>
    <row r="8209" spans="1:8" x14ac:dyDescent="0.3">
      <c r="A8209" s="22" t="s">
        <v>64</v>
      </c>
      <c r="B8209" t="s">
        <v>67</v>
      </c>
      <c r="C8209" s="23">
        <v>5.9295971533867183E-2</v>
      </c>
      <c r="D8209" s="23">
        <v>9.3023255813953504E-3</v>
      </c>
      <c r="E8209" s="23">
        <v>9.3023255813953504E-3</v>
      </c>
      <c r="F8209" s="23">
        <v>0.109289617486339</v>
      </c>
      <c r="G8209">
        <v>2</v>
      </c>
      <c r="H8209">
        <v>4</v>
      </c>
    </row>
    <row r="8210" spans="1:8" x14ac:dyDescent="0.3">
      <c r="A8210" s="22" t="s">
        <v>64</v>
      </c>
      <c r="B8210" t="s">
        <v>68</v>
      </c>
      <c r="C8210" s="23">
        <v>6.5217391304347996E-3</v>
      </c>
      <c r="D8210" s="23">
        <v>0</v>
      </c>
      <c r="E8210" s="23">
        <v>0</v>
      </c>
      <c r="F8210" s="23">
        <v>1.3043478260869599E-2</v>
      </c>
      <c r="G8210">
        <v>2</v>
      </c>
      <c r="H8210">
        <v>4</v>
      </c>
    </row>
    <row r="8211" spans="1:8" x14ac:dyDescent="0.3">
      <c r="C8211" s="23"/>
      <c r="D8211" s="23"/>
      <c r="E8211" s="23"/>
      <c r="F8211" s="23"/>
    </row>
    <row r="8212" spans="1:8" ht="72" x14ac:dyDescent="0.3">
      <c r="A8212" s="22" t="s">
        <v>1784</v>
      </c>
      <c r="C8212" s="23"/>
      <c r="D8212" s="23"/>
      <c r="E8212" s="23"/>
      <c r="F8212" s="23"/>
    </row>
    <row r="8213" spans="1:8" x14ac:dyDescent="0.3">
      <c r="A8213" s="22" t="s">
        <v>57</v>
      </c>
      <c r="B8213" t="s">
        <v>66</v>
      </c>
      <c r="C8213" s="23" t="s">
        <v>58</v>
      </c>
      <c r="D8213" s="23" t="s">
        <v>59</v>
      </c>
      <c r="E8213" s="23" t="s">
        <v>60</v>
      </c>
      <c r="F8213" s="23" t="s">
        <v>61</v>
      </c>
      <c r="G8213" t="s">
        <v>62</v>
      </c>
      <c r="H8213" t="s">
        <v>63</v>
      </c>
    </row>
    <row r="8214" spans="1:8" x14ac:dyDescent="0.3">
      <c r="A8214" s="22" t="s">
        <v>64</v>
      </c>
      <c r="B8214" t="s">
        <v>67</v>
      </c>
      <c r="C8214" s="23">
        <v>3.2908855332150988E-2</v>
      </c>
      <c r="D8214" s="23">
        <v>9.3023255813953504E-3</v>
      </c>
      <c r="E8214" s="23">
        <v>0</v>
      </c>
      <c r="F8214" s="23">
        <v>0.109289617486339</v>
      </c>
      <c r="G8214">
        <v>4</v>
      </c>
      <c r="H8214">
        <v>4</v>
      </c>
    </row>
    <row r="8215" spans="1:8" x14ac:dyDescent="0.3">
      <c r="C8215" s="23"/>
      <c r="D8215" s="23"/>
      <c r="E8215" s="23"/>
      <c r="F8215" s="23"/>
    </row>
    <row r="8216" spans="1:8" ht="57.6" x14ac:dyDescent="0.3">
      <c r="A8216" s="22" t="s">
        <v>1785</v>
      </c>
      <c r="C8216" s="23"/>
      <c r="D8216" s="23"/>
      <c r="E8216" s="23"/>
      <c r="F8216" s="23"/>
    </row>
    <row r="8217" spans="1:8" x14ac:dyDescent="0.3">
      <c r="A8217" s="22" t="s">
        <v>57</v>
      </c>
      <c r="B8217" t="s">
        <v>66</v>
      </c>
      <c r="C8217" s="23" t="s">
        <v>58</v>
      </c>
      <c r="D8217" s="23" t="s">
        <v>59</v>
      </c>
      <c r="E8217" s="23" t="s">
        <v>60</v>
      </c>
      <c r="F8217" s="23" t="s">
        <v>61</v>
      </c>
      <c r="G8217" t="s">
        <v>62</v>
      </c>
      <c r="H8217" t="s">
        <v>63</v>
      </c>
    </row>
    <row r="8218" spans="1:8" x14ac:dyDescent="0.3">
      <c r="A8218" s="22" t="s">
        <v>64</v>
      </c>
      <c r="B8218" t="s">
        <v>81</v>
      </c>
      <c r="C8218" s="23">
        <v>6.1166547873604302E-2</v>
      </c>
      <c r="D8218" s="23">
        <v>1.3043478260869599E-2</v>
      </c>
      <c r="E8218" s="23">
        <v>1.3043478260869599E-2</v>
      </c>
      <c r="F8218" s="23">
        <v>0.109289617486339</v>
      </c>
      <c r="G8218">
        <v>2</v>
      </c>
      <c r="H8218">
        <v>4</v>
      </c>
    </row>
    <row r="8219" spans="1:8" x14ac:dyDescent="0.3">
      <c r="A8219" s="22" t="s">
        <v>64</v>
      </c>
      <c r="B8219" t="s">
        <v>82</v>
      </c>
      <c r="C8219" s="23">
        <v>9.3023255813953504E-3</v>
      </c>
      <c r="D8219" s="23">
        <v>9.3023255813953504E-3</v>
      </c>
      <c r="E8219" s="23">
        <v>9.3023255813953504E-3</v>
      </c>
      <c r="F8219" s="23">
        <v>9.3023255813953504E-3</v>
      </c>
      <c r="G8219">
        <v>1</v>
      </c>
      <c r="H8219">
        <v>4</v>
      </c>
    </row>
    <row r="8220" spans="1:8" x14ac:dyDescent="0.3">
      <c r="A8220" s="22" t="s">
        <v>64</v>
      </c>
      <c r="B8220" t="s">
        <v>83</v>
      </c>
      <c r="C8220" s="23">
        <v>0</v>
      </c>
      <c r="D8220" s="23">
        <v>0</v>
      </c>
      <c r="E8220" s="23">
        <v>0</v>
      </c>
      <c r="F8220" s="23">
        <v>0</v>
      </c>
      <c r="G8220">
        <v>1</v>
      </c>
      <c r="H8220">
        <v>4</v>
      </c>
    </row>
    <row r="8222" spans="1:8" ht="57.6" x14ac:dyDescent="0.3">
      <c r="A8222" s="22" t="s">
        <v>1786</v>
      </c>
    </row>
    <row r="8223" spans="1:8" x14ac:dyDescent="0.3">
      <c r="A8223" s="22" t="s">
        <v>57</v>
      </c>
      <c r="B8223" t="s">
        <v>58</v>
      </c>
      <c r="C8223" t="s">
        <v>59</v>
      </c>
      <c r="D8223" t="s">
        <v>60</v>
      </c>
      <c r="E8223" t="s">
        <v>61</v>
      </c>
      <c r="F8223" t="s">
        <v>62</v>
      </c>
      <c r="G8223" t="s">
        <v>63</v>
      </c>
    </row>
    <row r="8224" spans="1:8" x14ac:dyDescent="0.3">
      <c r="A8224" s="22" t="s">
        <v>64</v>
      </c>
      <c r="B8224" s="23">
        <v>7.3951479142536664E-2</v>
      </c>
      <c r="C8224" s="23">
        <v>4.2194092827004197E-2</v>
      </c>
      <c r="D8224" s="23">
        <v>0.01</v>
      </c>
      <c r="E8224" s="23">
        <v>0.54347826086956497</v>
      </c>
      <c r="F8224">
        <v>33</v>
      </c>
      <c r="G8224">
        <v>33</v>
      </c>
    </row>
    <row r="8225" spans="1:8" x14ac:dyDescent="0.3">
      <c r="C8225" s="23"/>
      <c r="D8225" s="23"/>
      <c r="E8225" s="23"/>
      <c r="F8225" s="23"/>
    </row>
    <row r="8226" spans="1:8" ht="72" x14ac:dyDescent="0.3">
      <c r="A8226" s="22" t="s">
        <v>1787</v>
      </c>
      <c r="C8226" s="23"/>
      <c r="D8226" s="23"/>
      <c r="E8226" s="23"/>
      <c r="F8226" s="23"/>
    </row>
    <row r="8227" spans="1:8" x14ac:dyDescent="0.3">
      <c r="A8227" s="22" t="s">
        <v>57</v>
      </c>
      <c r="B8227" t="s">
        <v>66</v>
      </c>
      <c r="C8227" s="23" t="s">
        <v>58</v>
      </c>
      <c r="D8227" s="23" t="s">
        <v>59</v>
      </c>
      <c r="E8227" s="23" t="s">
        <v>60</v>
      </c>
      <c r="F8227" s="23" t="s">
        <v>61</v>
      </c>
      <c r="G8227" t="s">
        <v>62</v>
      </c>
      <c r="H8227" t="s">
        <v>63</v>
      </c>
    </row>
    <row r="8228" spans="1:8" x14ac:dyDescent="0.3">
      <c r="A8228" s="22" t="s">
        <v>64</v>
      </c>
      <c r="B8228" t="s">
        <v>67</v>
      </c>
      <c r="C8228" s="23">
        <v>7.3658296199074269E-2</v>
      </c>
      <c r="D8228" s="23">
        <v>3.3112582781456998E-2</v>
      </c>
      <c r="E8228" s="23">
        <v>0.01</v>
      </c>
      <c r="F8228" s="23">
        <v>0.54347826086956497</v>
      </c>
      <c r="G8228">
        <v>32</v>
      </c>
      <c r="H8228">
        <v>33</v>
      </c>
    </row>
    <row r="8229" spans="1:8" x14ac:dyDescent="0.3">
      <c r="A8229" s="22" t="s">
        <v>64</v>
      </c>
      <c r="B8229" t="s">
        <v>68</v>
      </c>
      <c r="C8229" s="23">
        <v>8.3333333333333301E-2</v>
      </c>
      <c r="D8229" s="23">
        <v>8.3333333333333301E-2</v>
      </c>
      <c r="E8229" s="23">
        <v>8.3333333333333301E-2</v>
      </c>
      <c r="F8229" s="23">
        <v>8.3333333333333301E-2</v>
      </c>
      <c r="G8229">
        <v>1</v>
      </c>
      <c r="H8229">
        <v>33</v>
      </c>
    </row>
    <row r="8230" spans="1:8" x14ac:dyDescent="0.3">
      <c r="C8230" s="23"/>
      <c r="D8230" s="23"/>
      <c r="E8230" s="23"/>
      <c r="F8230" s="23"/>
    </row>
    <row r="8231" spans="1:8" x14ac:dyDescent="0.3">
      <c r="A8231"/>
      <c r="C8231" s="23"/>
      <c r="D8231" s="23"/>
      <c r="E8231" s="23"/>
      <c r="F8231" s="23"/>
    </row>
    <row r="8232" spans="1:8" x14ac:dyDescent="0.3">
      <c r="A8232"/>
      <c r="C8232" s="23"/>
      <c r="D8232" s="23"/>
      <c r="E8232" s="23"/>
      <c r="F8232" s="23"/>
    </row>
    <row r="8233" spans="1:8" x14ac:dyDescent="0.3">
      <c r="A8233"/>
      <c r="C8233" s="23"/>
      <c r="D8233" s="23"/>
      <c r="E8233" s="23"/>
      <c r="F8233" s="23"/>
    </row>
    <row r="8234" spans="1:8" x14ac:dyDescent="0.3">
      <c r="C8234" s="23"/>
      <c r="D8234" s="23"/>
      <c r="E8234" s="23"/>
      <c r="F8234" s="23"/>
    </row>
    <row r="8235" spans="1:8" ht="72" x14ac:dyDescent="0.3">
      <c r="A8235" s="22" t="s">
        <v>1788</v>
      </c>
      <c r="C8235" s="23"/>
      <c r="D8235" s="23"/>
      <c r="E8235" s="23"/>
      <c r="F8235" s="23"/>
    </row>
    <row r="8236" spans="1:8" x14ac:dyDescent="0.3">
      <c r="A8236" s="22" t="s">
        <v>57</v>
      </c>
      <c r="B8236" t="s">
        <v>66</v>
      </c>
      <c r="C8236" s="23" t="s">
        <v>58</v>
      </c>
      <c r="D8236" s="23" t="s">
        <v>59</v>
      </c>
      <c r="E8236" s="23" t="s">
        <v>60</v>
      </c>
      <c r="F8236" s="23" t="s">
        <v>61</v>
      </c>
      <c r="G8236" t="s">
        <v>62</v>
      </c>
      <c r="H8236" t="s">
        <v>63</v>
      </c>
    </row>
    <row r="8237" spans="1:8" x14ac:dyDescent="0.3">
      <c r="A8237" s="22" t="s">
        <v>64</v>
      </c>
      <c r="B8237" t="s">
        <v>67</v>
      </c>
      <c r="C8237" s="23">
        <v>7.4875115473954035E-2</v>
      </c>
      <c r="D8237" s="23">
        <v>3.3112582781456998E-2</v>
      </c>
      <c r="E8237" s="23">
        <v>0.01</v>
      </c>
      <c r="F8237" s="23">
        <v>0.54347826086956497</v>
      </c>
      <c r="G8237">
        <v>32</v>
      </c>
      <c r="H8237">
        <v>33</v>
      </c>
    </row>
    <row r="8238" spans="1:8" x14ac:dyDescent="0.3">
      <c r="A8238" s="22" t="s">
        <v>64</v>
      </c>
      <c r="B8238" t="s">
        <v>68</v>
      </c>
      <c r="C8238" s="23">
        <v>4.4395116537180902E-2</v>
      </c>
      <c r="D8238" s="23">
        <v>4.4395116537180902E-2</v>
      </c>
      <c r="E8238" s="23">
        <v>4.4395116537180902E-2</v>
      </c>
      <c r="F8238" s="23">
        <v>4.4395116537180902E-2</v>
      </c>
      <c r="G8238">
        <v>1</v>
      </c>
      <c r="H8238">
        <v>33</v>
      </c>
    </row>
    <row r="8239" spans="1:8" x14ac:dyDescent="0.3">
      <c r="C8239" s="23"/>
      <c r="D8239" s="23"/>
      <c r="E8239" s="23"/>
      <c r="F8239" s="23"/>
    </row>
    <row r="8240" spans="1:8" ht="72" x14ac:dyDescent="0.3">
      <c r="A8240" s="22" t="s">
        <v>1789</v>
      </c>
      <c r="C8240" s="23"/>
      <c r="D8240" s="23"/>
      <c r="E8240" s="23"/>
      <c r="F8240" s="23"/>
    </row>
    <row r="8241" spans="1:8" x14ac:dyDescent="0.3">
      <c r="A8241" s="22" t="s">
        <v>57</v>
      </c>
      <c r="B8241" t="s">
        <v>66</v>
      </c>
      <c r="C8241" s="23" t="s">
        <v>58</v>
      </c>
      <c r="D8241" s="23" t="s">
        <v>59</v>
      </c>
      <c r="E8241" s="23" t="s">
        <v>60</v>
      </c>
      <c r="F8241" s="23" t="s">
        <v>61</v>
      </c>
      <c r="G8241" t="s">
        <v>62</v>
      </c>
      <c r="H8241" t="s">
        <v>63</v>
      </c>
    </row>
    <row r="8242" spans="1:8" x14ac:dyDescent="0.3">
      <c r="A8242" s="22" t="s">
        <v>64</v>
      </c>
      <c r="B8242" t="s">
        <v>67</v>
      </c>
      <c r="C8242" s="23">
        <v>7.3951479142536664E-2</v>
      </c>
      <c r="D8242" s="23">
        <v>4.2194092827004197E-2</v>
      </c>
      <c r="E8242" s="23">
        <v>0.01</v>
      </c>
      <c r="F8242" s="23">
        <v>0.54347826086956497</v>
      </c>
      <c r="G8242">
        <v>33</v>
      </c>
      <c r="H8242">
        <v>33</v>
      </c>
    </row>
    <row r="8243" spans="1:8" x14ac:dyDescent="0.3">
      <c r="C8243" s="23"/>
      <c r="D8243" s="23"/>
      <c r="E8243" s="23"/>
      <c r="F8243" s="23"/>
    </row>
    <row r="8244" spans="1:8" ht="72" x14ac:dyDescent="0.3">
      <c r="A8244" s="22" t="s">
        <v>1790</v>
      </c>
      <c r="C8244" s="23"/>
      <c r="D8244" s="23"/>
      <c r="E8244" s="23"/>
      <c r="F8244" s="23"/>
    </row>
    <row r="8245" spans="1:8" x14ac:dyDescent="0.3">
      <c r="A8245" s="22" t="s">
        <v>57</v>
      </c>
      <c r="B8245" t="s">
        <v>66</v>
      </c>
      <c r="C8245" s="23" t="s">
        <v>58</v>
      </c>
      <c r="D8245" s="23" t="s">
        <v>59</v>
      </c>
      <c r="E8245" s="23" t="s">
        <v>60</v>
      </c>
      <c r="F8245" s="23" t="s">
        <v>61</v>
      </c>
      <c r="G8245" t="s">
        <v>62</v>
      </c>
      <c r="H8245" t="s">
        <v>63</v>
      </c>
    </row>
    <row r="8246" spans="1:8" x14ac:dyDescent="0.3">
      <c r="A8246" s="22" t="s">
        <v>64</v>
      </c>
      <c r="B8246" t="s">
        <v>67</v>
      </c>
      <c r="C8246" s="23">
        <v>7.5949962865740947E-2</v>
      </c>
      <c r="D8246" s="23">
        <v>3.7174721189591101E-2</v>
      </c>
      <c r="E8246" s="23">
        <v>1.2345679012345699E-2</v>
      </c>
      <c r="F8246" s="23">
        <v>0.54347826086956497</v>
      </c>
      <c r="G8246">
        <v>32</v>
      </c>
      <c r="H8246">
        <v>33</v>
      </c>
    </row>
    <row r="8247" spans="1:8" x14ac:dyDescent="0.3">
      <c r="A8247" s="22" t="s">
        <v>64</v>
      </c>
      <c r="B8247" t="s">
        <v>68</v>
      </c>
      <c r="C8247" s="23">
        <v>0.01</v>
      </c>
      <c r="D8247" s="23">
        <v>0.01</v>
      </c>
      <c r="E8247" s="23">
        <v>0.01</v>
      </c>
      <c r="F8247" s="23">
        <v>0.01</v>
      </c>
      <c r="G8247">
        <v>1</v>
      </c>
      <c r="H8247">
        <v>33</v>
      </c>
    </row>
    <row r="8248" spans="1:8" x14ac:dyDescent="0.3">
      <c r="C8248" s="23"/>
      <c r="D8248" s="23"/>
      <c r="E8248" s="23"/>
      <c r="F8248" s="23"/>
    </row>
    <row r="8249" spans="1:8" ht="72" x14ac:dyDescent="0.3">
      <c r="A8249" s="22" t="s">
        <v>1791</v>
      </c>
      <c r="C8249" s="23"/>
      <c r="D8249" s="23"/>
      <c r="E8249" s="23"/>
      <c r="F8249" s="23"/>
    </row>
    <row r="8250" spans="1:8" x14ac:dyDescent="0.3">
      <c r="A8250" s="22" t="s">
        <v>57</v>
      </c>
      <c r="B8250" t="s">
        <v>66</v>
      </c>
      <c r="C8250" s="23" t="s">
        <v>58</v>
      </c>
      <c r="D8250" s="23" t="s">
        <v>59</v>
      </c>
      <c r="E8250" s="23" t="s">
        <v>60</v>
      </c>
      <c r="F8250" s="23" t="s">
        <v>61</v>
      </c>
      <c r="G8250" t="s">
        <v>62</v>
      </c>
      <c r="H8250" t="s">
        <v>63</v>
      </c>
    </row>
    <row r="8251" spans="1:8" x14ac:dyDescent="0.3">
      <c r="A8251" s="22" t="s">
        <v>64</v>
      </c>
      <c r="B8251" t="s">
        <v>68</v>
      </c>
      <c r="C8251" s="23">
        <v>7.3951479142536664E-2</v>
      </c>
      <c r="D8251" s="23">
        <v>4.2194092827004197E-2</v>
      </c>
      <c r="E8251" s="23">
        <v>0.01</v>
      </c>
      <c r="F8251" s="23">
        <v>0.54347826086956497</v>
      </c>
      <c r="G8251">
        <v>33</v>
      </c>
      <c r="H8251">
        <v>33</v>
      </c>
    </row>
    <row r="8252" spans="1:8" x14ac:dyDescent="0.3">
      <c r="C8252" s="23"/>
      <c r="D8252" s="23"/>
      <c r="E8252" s="23"/>
      <c r="F8252" s="23"/>
    </row>
    <row r="8253" spans="1:8" ht="72" x14ac:dyDescent="0.3">
      <c r="A8253" s="22" t="s">
        <v>1792</v>
      </c>
      <c r="C8253" s="23"/>
      <c r="D8253" s="23"/>
      <c r="E8253" s="23"/>
      <c r="F8253" s="23"/>
    </row>
    <row r="8254" spans="1:8" x14ac:dyDescent="0.3">
      <c r="A8254" s="22" t="s">
        <v>57</v>
      </c>
      <c r="B8254" t="s">
        <v>66</v>
      </c>
      <c r="C8254" s="23" t="s">
        <v>58</v>
      </c>
      <c r="D8254" s="23" t="s">
        <v>59</v>
      </c>
      <c r="E8254" s="23" t="s">
        <v>60</v>
      </c>
      <c r="F8254" s="23" t="s">
        <v>61</v>
      </c>
      <c r="G8254" t="s">
        <v>62</v>
      </c>
      <c r="H8254" t="s">
        <v>63</v>
      </c>
    </row>
    <row r="8255" spans="1:8" x14ac:dyDescent="0.3">
      <c r="A8255" s="22" t="s">
        <v>64</v>
      </c>
      <c r="B8255" t="s">
        <v>67</v>
      </c>
      <c r="C8255" s="23">
        <v>7.7125968771971434E-2</v>
      </c>
      <c r="D8255" s="23">
        <v>3.7174721189591101E-2</v>
      </c>
      <c r="E8255" s="23">
        <v>1.2345679012345699E-2</v>
      </c>
      <c r="F8255" s="23">
        <v>0.54347826086956497</v>
      </c>
      <c r="G8255">
        <v>23</v>
      </c>
      <c r="H8255">
        <v>33</v>
      </c>
    </row>
    <row r="8256" spans="1:8" x14ac:dyDescent="0.3">
      <c r="A8256" s="22" t="s">
        <v>64</v>
      </c>
      <c r="B8256" t="s">
        <v>68</v>
      </c>
      <c r="C8256" s="23">
        <v>6.6650152994836703E-2</v>
      </c>
      <c r="D8256" s="23">
        <v>4.5351473922902501E-2</v>
      </c>
      <c r="E8256" s="23">
        <v>0.01</v>
      </c>
      <c r="F8256" s="23">
        <v>0.3</v>
      </c>
      <c r="G8256">
        <v>10</v>
      </c>
      <c r="H8256">
        <v>33</v>
      </c>
    </row>
    <row r="8257" spans="1:8" x14ac:dyDescent="0.3">
      <c r="C8257" s="23"/>
      <c r="D8257" s="23"/>
      <c r="E8257" s="23"/>
      <c r="F8257" s="23"/>
    </row>
    <row r="8258" spans="1:8" ht="72" x14ac:dyDescent="0.3">
      <c r="A8258" s="22" t="s">
        <v>1793</v>
      </c>
      <c r="C8258" s="23"/>
      <c r="D8258" s="23"/>
      <c r="E8258" s="23"/>
      <c r="F8258" s="23"/>
    </row>
    <row r="8259" spans="1:8" x14ac:dyDescent="0.3">
      <c r="A8259" s="22" t="s">
        <v>57</v>
      </c>
      <c r="B8259" t="s">
        <v>66</v>
      </c>
      <c r="C8259" s="23" t="s">
        <v>58</v>
      </c>
      <c r="D8259" s="23" t="s">
        <v>59</v>
      </c>
      <c r="E8259" s="23" t="s">
        <v>60</v>
      </c>
      <c r="F8259" s="23" t="s">
        <v>61</v>
      </c>
      <c r="G8259" t="s">
        <v>62</v>
      </c>
      <c r="H8259" t="s">
        <v>63</v>
      </c>
    </row>
    <row r="8260" spans="1:8" x14ac:dyDescent="0.3">
      <c r="A8260" s="22" t="s">
        <v>64</v>
      </c>
      <c r="B8260" t="s">
        <v>67</v>
      </c>
      <c r="C8260" s="23">
        <v>7.9931998250916084E-2</v>
      </c>
      <c r="D8260" s="23">
        <v>3.7174721189591101E-2</v>
      </c>
      <c r="E8260" s="23">
        <v>0.01</v>
      </c>
      <c r="F8260" s="23">
        <v>0.54347826086956497</v>
      </c>
      <c r="G8260">
        <v>28</v>
      </c>
      <c r="H8260">
        <v>33</v>
      </c>
    </row>
    <row r="8261" spans="1:8" x14ac:dyDescent="0.3">
      <c r="A8261" s="22" t="s">
        <v>64</v>
      </c>
      <c r="B8261" t="s">
        <v>68</v>
      </c>
      <c r="C8261" s="23">
        <v>4.046057213561198E-2</v>
      </c>
      <c r="D8261" s="23">
        <v>4.9586776859504099E-2</v>
      </c>
      <c r="E8261" s="23">
        <v>1.7391304347826101E-2</v>
      </c>
      <c r="F8261" s="23">
        <v>8.3333333333333301E-2</v>
      </c>
      <c r="G8261">
        <v>5</v>
      </c>
      <c r="H8261">
        <v>33</v>
      </c>
    </row>
    <row r="8262" spans="1:8" x14ac:dyDescent="0.3">
      <c r="C8262" s="23"/>
      <c r="D8262" s="23"/>
      <c r="E8262" s="23"/>
      <c r="F8262" s="23"/>
    </row>
    <row r="8263" spans="1:8" ht="72" x14ac:dyDescent="0.3">
      <c r="A8263" s="22" t="s">
        <v>1794</v>
      </c>
      <c r="C8263" s="23"/>
      <c r="D8263" s="23"/>
      <c r="E8263" s="23"/>
      <c r="F8263" s="23"/>
    </row>
    <row r="8264" spans="1:8" x14ac:dyDescent="0.3">
      <c r="A8264" s="22" t="s">
        <v>57</v>
      </c>
      <c r="B8264" t="s">
        <v>66</v>
      </c>
      <c r="C8264" s="23" t="s">
        <v>58</v>
      </c>
      <c r="D8264" s="23" t="s">
        <v>59</v>
      </c>
      <c r="E8264" s="23" t="s">
        <v>60</v>
      </c>
      <c r="F8264" s="23" t="s">
        <v>61</v>
      </c>
      <c r="G8264" t="s">
        <v>62</v>
      </c>
      <c r="H8264" t="s">
        <v>63</v>
      </c>
    </row>
    <row r="8265" spans="1:8" x14ac:dyDescent="0.3">
      <c r="A8265" s="22" t="s">
        <v>64</v>
      </c>
      <c r="B8265" t="s">
        <v>67</v>
      </c>
      <c r="C8265" s="23">
        <v>8.083328364279474E-2</v>
      </c>
      <c r="D8265" s="23">
        <v>3.2000000000000001E-2</v>
      </c>
      <c r="E8265" s="23">
        <v>0.01</v>
      </c>
      <c r="F8265" s="23">
        <v>0.54347826086956497</v>
      </c>
      <c r="G8265">
        <v>24</v>
      </c>
      <c r="H8265">
        <v>33</v>
      </c>
    </row>
    <row r="8266" spans="1:8" x14ac:dyDescent="0.3">
      <c r="A8266" s="22" t="s">
        <v>64</v>
      </c>
      <c r="B8266" t="s">
        <v>68</v>
      </c>
      <c r="C8266" s="23">
        <v>5.5600000475181793E-2</v>
      </c>
      <c r="D8266" s="23">
        <v>5.1948051948052E-2</v>
      </c>
      <c r="E8266" s="23">
        <v>2.0920502092050201E-2</v>
      </c>
      <c r="F8266" s="23">
        <v>0.150037509377344</v>
      </c>
      <c r="G8266">
        <v>9</v>
      </c>
      <c r="H8266">
        <v>33</v>
      </c>
    </row>
    <row r="8267" spans="1:8" x14ac:dyDescent="0.3">
      <c r="C8267" s="23"/>
      <c r="D8267" s="23"/>
      <c r="E8267" s="23"/>
      <c r="F8267" s="23"/>
    </row>
    <row r="8268" spans="1:8" ht="86.4" x14ac:dyDescent="0.3">
      <c r="A8268" s="22" t="s">
        <v>1795</v>
      </c>
      <c r="C8268" s="23"/>
      <c r="D8268" s="23"/>
      <c r="E8268" s="23"/>
      <c r="F8268" s="23"/>
    </row>
    <row r="8269" spans="1:8" x14ac:dyDescent="0.3">
      <c r="A8269" s="22" t="s">
        <v>57</v>
      </c>
      <c r="B8269" t="s">
        <v>66</v>
      </c>
      <c r="C8269" s="23" t="s">
        <v>58</v>
      </c>
      <c r="D8269" s="23" t="s">
        <v>59</v>
      </c>
      <c r="E8269" s="23" t="s">
        <v>60</v>
      </c>
      <c r="F8269" s="23" t="s">
        <v>61</v>
      </c>
      <c r="G8269" t="s">
        <v>62</v>
      </c>
      <c r="H8269" t="s">
        <v>63</v>
      </c>
    </row>
    <row r="8270" spans="1:8" x14ac:dyDescent="0.3">
      <c r="A8270" s="22" t="s">
        <v>64</v>
      </c>
      <c r="B8270" t="s">
        <v>67</v>
      </c>
      <c r="C8270" s="23">
        <v>7.3951479142536664E-2</v>
      </c>
      <c r="D8270" s="23">
        <v>4.2194092827004197E-2</v>
      </c>
      <c r="E8270" s="23">
        <v>0.01</v>
      </c>
      <c r="F8270" s="23">
        <v>0.54347826086956497</v>
      </c>
      <c r="G8270">
        <v>33</v>
      </c>
      <c r="H8270">
        <v>33</v>
      </c>
    </row>
    <row r="8271" spans="1:8" x14ac:dyDescent="0.3">
      <c r="C8271" s="23"/>
      <c r="D8271" s="23"/>
      <c r="E8271" s="23"/>
      <c r="F8271" s="23"/>
    </row>
    <row r="8272" spans="1:8" ht="86.4" x14ac:dyDescent="0.3">
      <c r="A8272" s="22" t="s">
        <v>1796</v>
      </c>
      <c r="C8272" s="23"/>
      <c r="D8272" s="23"/>
      <c r="E8272" s="23"/>
      <c r="F8272" s="23"/>
    </row>
    <row r="8273" spans="1:8" x14ac:dyDescent="0.3">
      <c r="A8273" s="22" t="s">
        <v>57</v>
      </c>
      <c r="B8273" t="s">
        <v>66</v>
      </c>
      <c r="C8273" s="23" t="s">
        <v>58</v>
      </c>
      <c r="D8273" s="23" t="s">
        <v>59</v>
      </c>
      <c r="E8273" s="23" t="s">
        <v>60</v>
      </c>
      <c r="F8273" s="23" t="s">
        <v>61</v>
      </c>
      <c r="G8273" t="s">
        <v>62</v>
      </c>
      <c r="H8273" t="s">
        <v>63</v>
      </c>
    </row>
    <row r="8274" spans="1:8" x14ac:dyDescent="0.3">
      <c r="A8274" s="22" t="s">
        <v>64</v>
      </c>
      <c r="B8274" t="s">
        <v>67</v>
      </c>
      <c r="C8274" s="23">
        <v>7.3951479142536664E-2</v>
      </c>
      <c r="D8274" s="23">
        <v>4.2194092827004197E-2</v>
      </c>
      <c r="E8274" s="23">
        <v>0.01</v>
      </c>
      <c r="F8274" s="23">
        <v>0.54347826086956497</v>
      </c>
      <c r="G8274">
        <v>33</v>
      </c>
      <c r="H8274">
        <v>33</v>
      </c>
    </row>
    <row r="8275" spans="1:8" x14ac:dyDescent="0.3">
      <c r="C8275" s="23"/>
      <c r="D8275" s="23"/>
      <c r="E8275" s="23"/>
      <c r="F8275" s="23"/>
    </row>
    <row r="8276" spans="1:8" ht="72" x14ac:dyDescent="0.3">
      <c r="A8276" s="22" t="s">
        <v>1797</v>
      </c>
      <c r="C8276" s="23"/>
      <c r="D8276" s="23"/>
      <c r="E8276" s="23"/>
      <c r="F8276" s="23"/>
    </row>
    <row r="8277" spans="1:8" x14ac:dyDescent="0.3">
      <c r="A8277" s="22" t="s">
        <v>57</v>
      </c>
      <c r="B8277" t="s">
        <v>66</v>
      </c>
      <c r="C8277" s="23" t="s">
        <v>58</v>
      </c>
      <c r="D8277" s="23" t="s">
        <v>59</v>
      </c>
      <c r="E8277" s="23" t="s">
        <v>60</v>
      </c>
      <c r="F8277" s="23" t="s">
        <v>61</v>
      </c>
      <c r="G8277" t="s">
        <v>62</v>
      </c>
      <c r="H8277" t="s">
        <v>63</v>
      </c>
    </row>
    <row r="8278" spans="1:8" x14ac:dyDescent="0.3">
      <c r="A8278" s="22" t="s">
        <v>64</v>
      </c>
      <c r="B8278" t="s">
        <v>67</v>
      </c>
      <c r="C8278" s="23">
        <v>8.5583329863444316E-2</v>
      </c>
      <c r="D8278" s="23">
        <v>4.4395116537180902E-2</v>
      </c>
      <c r="E8278" s="23">
        <v>0.01</v>
      </c>
      <c r="F8278" s="23">
        <v>0.54347826086956497</v>
      </c>
      <c r="G8278">
        <v>23</v>
      </c>
      <c r="H8278">
        <v>33</v>
      </c>
    </row>
    <row r="8279" spans="1:8" x14ac:dyDescent="0.3">
      <c r="A8279" s="22" t="s">
        <v>64</v>
      </c>
      <c r="B8279" t="s">
        <v>68</v>
      </c>
      <c r="C8279" s="23">
        <v>4.7198222484449062E-2</v>
      </c>
      <c r="D8279" s="23">
        <v>2.4390243902439001E-2</v>
      </c>
      <c r="E8279" s="23">
        <v>1.4367816091954E-2</v>
      </c>
      <c r="F8279" s="23">
        <v>0.150037509377344</v>
      </c>
      <c r="G8279">
        <v>10</v>
      </c>
      <c r="H8279">
        <v>33</v>
      </c>
    </row>
    <row r="8280" spans="1:8" x14ac:dyDescent="0.3">
      <c r="C8280" s="23"/>
      <c r="D8280" s="23"/>
      <c r="E8280" s="23"/>
      <c r="F8280" s="23"/>
    </row>
    <row r="8281" spans="1:8" ht="86.4" x14ac:dyDescent="0.3">
      <c r="A8281" s="22" t="s">
        <v>1798</v>
      </c>
      <c r="C8281" s="23"/>
      <c r="D8281" s="23"/>
      <c r="E8281" s="23"/>
      <c r="F8281" s="23"/>
    </row>
    <row r="8282" spans="1:8" x14ac:dyDescent="0.3">
      <c r="A8282" s="22" t="s">
        <v>57</v>
      </c>
      <c r="B8282" t="s">
        <v>66</v>
      </c>
      <c r="C8282" s="23" t="s">
        <v>58</v>
      </c>
      <c r="D8282" s="23" t="s">
        <v>59</v>
      </c>
      <c r="E8282" s="23" t="s">
        <v>60</v>
      </c>
      <c r="F8282" s="23" t="s">
        <v>61</v>
      </c>
      <c r="G8282" t="s">
        <v>62</v>
      </c>
      <c r="H8282" t="s">
        <v>63</v>
      </c>
    </row>
    <row r="8283" spans="1:8" x14ac:dyDescent="0.3">
      <c r="A8283" s="22" t="s">
        <v>64</v>
      </c>
      <c r="B8283" t="s">
        <v>67</v>
      </c>
      <c r="C8283" s="23">
        <v>7.662213641684687E-2</v>
      </c>
      <c r="D8283" s="23">
        <v>4.4395116537180902E-2</v>
      </c>
      <c r="E8283" s="23">
        <v>0.01</v>
      </c>
      <c r="F8283" s="23">
        <v>0.54347826086956497</v>
      </c>
      <c r="G8283">
        <v>31</v>
      </c>
      <c r="H8283">
        <v>33</v>
      </c>
    </row>
    <row r="8284" spans="1:8" x14ac:dyDescent="0.3">
      <c r="A8284" s="22" t="s">
        <v>64</v>
      </c>
      <c r="B8284" t="s">
        <v>68</v>
      </c>
      <c r="C8284" s="23">
        <v>3.2556291390728499E-2</v>
      </c>
      <c r="D8284" s="23">
        <v>3.2000000000000001E-2</v>
      </c>
      <c r="E8284" s="23">
        <v>3.2000000000000001E-2</v>
      </c>
      <c r="F8284" s="23">
        <v>3.3112582781456998E-2</v>
      </c>
      <c r="G8284">
        <v>2</v>
      </c>
      <c r="H8284">
        <v>33</v>
      </c>
    </row>
    <row r="8285" spans="1:8" x14ac:dyDescent="0.3">
      <c r="C8285" s="23"/>
      <c r="D8285" s="23"/>
      <c r="E8285" s="23"/>
      <c r="F8285" s="23"/>
    </row>
    <row r="8286" spans="1:8" ht="72" x14ac:dyDescent="0.3">
      <c r="A8286" s="22" t="s">
        <v>1799</v>
      </c>
      <c r="C8286" s="23"/>
      <c r="D8286" s="23"/>
      <c r="E8286" s="23"/>
      <c r="F8286" s="23"/>
    </row>
    <row r="8287" spans="1:8" x14ac:dyDescent="0.3">
      <c r="A8287" s="22" t="s">
        <v>57</v>
      </c>
      <c r="B8287" t="s">
        <v>66</v>
      </c>
      <c r="C8287" s="23" t="s">
        <v>58</v>
      </c>
      <c r="D8287" s="23" t="s">
        <v>59</v>
      </c>
      <c r="E8287" s="23" t="s">
        <v>60</v>
      </c>
      <c r="F8287" s="23" t="s">
        <v>61</v>
      </c>
      <c r="G8287" t="s">
        <v>62</v>
      </c>
      <c r="H8287" t="s">
        <v>63</v>
      </c>
    </row>
    <row r="8288" spans="1:8" x14ac:dyDescent="0.3">
      <c r="A8288" s="22" t="s">
        <v>64</v>
      </c>
      <c r="B8288" t="s">
        <v>81</v>
      </c>
      <c r="C8288" s="23">
        <v>3.7037952016512207E-2</v>
      </c>
      <c r="D8288" s="23">
        <v>2.9411764705882401E-2</v>
      </c>
      <c r="E8288" s="23">
        <v>0.01</v>
      </c>
      <c r="F8288" s="23">
        <v>8.3333333333333301E-2</v>
      </c>
      <c r="G8288">
        <v>14</v>
      </c>
      <c r="H8288">
        <v>33</v>
      </c>
    </row>
    <row r="8289" spans="1:8" x14ac:dyDescent="0.3">
      <c r="A8289" s="22" t="s">
        <v>64</v>
      </c>
      <c r="B8289" t="s">
        <v>82</v>
      </c>
      <c r="C8289" s="23">
        <v>0.16930056698912219</v>
      </c>
      <c r="D8289" s="23">
        <v>9.2592592592592601E-2</v>
      </c>
      <c r="E8289" s="23">
        <v>1.2345679012345699E-2</v>
      </c>
      <c r="F8289" s="23">
        <v>0.54347826086956497</v>
      </c>
      <c r="G8289">
        <v>9</v>
      </c>
      <c r="H8289">
        <v>33</v>
      </c>
    </row>
    <row r="8290" spans="1:8" x14ac:dyDescent="0.3">
      <c r="A8290" s="22" t="s">
        <v>64</v>
      </c>
      <c r="B8290" t="s">
        <v>83</v>
      </c>
      <c r="C8290" s="23">
        <v>1.922847133925415E-2</v>
      </c>
      <c r="D8290" s="23">
        <v>1.4598540145985399E-2</v>
      </c>
      <c r="E8290" s="23">
        <v>1.4367816091954E-2</v>
      </c>
      <c r="F8290" s="23">
        <v>2.7027027027027001E-2</v>
      </c>
      <c r="G8290">
        <v>4</v>
      </c>
      <c r="H8290">
        <v>33</v>
      </c>
    </row>
    <row r="8291" spans="1:8" x14ac:dyDescent="0.3">
      <c r="A8291" s="22" t="s">
        <v>64</v>
      </c>
      <c r="B8291" t="s">
        <v>84</v>
      </c>
      <c r="C8291" s="23">
        <v>5.3541415868903743E-2</v>
      </c>
      <c r="D8291" s="23">
        <v>3.7174721189591101E-2</v>
      </c>
      <c r="E8291" s="23">
        <v>1.5503875968992199E-2</v>
      </c>
      <c r="F8291" s="23">
        <v>0.150037509377344</v>
      </c>
      <c r="G8291">
        <v>6</v>
      </c>
      <c r="H8291">
        <v>33</v>
      </c>
    </row>
    <row r="8293" spans="1:8" ht="57.6" x14ac:dyDescent="0.3">
      <c r="A8293" s="22" t="s">
        <v>1800</v>
      </c>
    </row>
    <row r="8294" spans="1:8" x14ac:dyDescent="0.3">
      <c r="A8294" s="22" t="s">
        <v>57</v>
      </c>
      <c r="B8294" t="s">
        <v>58</v>
      </c>
      <c r="C8294" t="s">
        <v>59</v>
      </c>
      <c r="D8294" t="s">
        <v>60</v>
      </c>
      <c r="E8294" t="s">
        <v>61</v>
      </c>
      <c r="F8294" t="s">
        <v>62</v>
      </c>
      <c r="G8294" t="s">
        <v>63</v>
      </c>
    </row>
    <row r="8295" spans="1:8" x14ac:dyDescent="0.3">
      <c r="A8295" s="22" t="s">
        <v>64</v>
      </c>
      <c r="B8295" s="23">
        <v>7.6714036336581887E-2</v>
      </c>
      <c r="C8295" s="23">
        <v>5.8823529411764698E-2</v>
      </c>
      <c r="D8295" s="23">
        <v>0</v>
      </c>
      <c r="E8295" s="23">
        <v>0.33333333333333298</v>
      </c>
      <c r="F8295">
        <v>65</v>
      </c>
      <c r="G8295">
        <v>65</v>
      </c>
    </row>
    <row r="8297" spans="1:8" ht="72" x14ac:dyDescent="0.3">
      <c r="A8297" s="22" t="s">
        <v>1801</v>
      </c>
      <c r="C8297" s="23"/>
      <c r="D8297" s="23"/>
      <c r="E8297" s="23"/>
      <c r="F8297" s="23"/>
    </row>
    <row r="8298" spans="1:8" x14ac:dyDescent="0.3">
      <c r="A8298" s="22" t="s">
        <v>57</v>
      </c>
      <c r="B8298" t="s">
        <v>66</v>
      </c>
      <c r="C8298" s="23" t="s">
        <v>58</v>
      </c>
      <c r="D8298" s="23" t="s">
        <v>59</v>
      </c>
      <c r="E8298" s="23" t="s">
        <v>60</v>
      </c>
      <c r="F8298" s="23" t="s">
        <v>61</v>
      </c>
      <c r="G8298" t="s">
        <v>62</v>
      </c>
      <c r="H8298" t="s">
        <v>63</v>
      </c>
    </row>
    <row r="8299" spans="1:8" x14ac:dyDescent="0.3">
      <c r="A8299" s="22" t="s">
        <v>64</v>
      </c>
      <c r="B8299" t="s">
        <v>67</v>
      </c>
      <c r="C8299" s="23">
        <v>7.8037917748731242E-2</v>
      </c>
      <c r="D8299" s="23">
        <v>5.8823529411764698E-2</v>
      </c>
      <c r="E8299" s="23">
        <v>0</v>
      </c>
      <c r="F8299" s="23">
        <v>0.33333333333333298</v>
      </c>
      <c r="G8299">
        <v>63</v>
      </c>
      <c r="H8299">
        <v>65</v>
      </c>
    </row>
    <row r="8300" spans="1:8" x14ac:dyDescent="0.3">
      <c r="A8300" s="22" t="s">
        <v>64</v>
      </c>
      <c r="B8300" t="s">
        <v>68</v>
      </c>
      <c r="C8300" s="23">
        <v>3.5011771853877098E-2</v>
      </c>
      <c r="D8300" s="23">
        <v>3.1746031746031703E-2</v>
      </c>
      <c r="E8300" s="23">
        <v>3.1746031746031703E-2</v>
      </c>
      <c r="F8300" s="23">
        <v>3.82775119617225E-2</v>
      </c>
      <c r="G8300">
        <v>2</v>
      </c>
      <c r="H8300">
        <v>65</v>
      </c>
    </row>
    <row r="8301" spans="1:8" x14ac:dyDescent="0.3">
      <c r="C8301" s="23"/>
      <c r="D8301" s="23"/>
      <c r="E8301" s="23"/>
      <c r="F8301" s="23"/>
    </row>
    <row r="8302" spans="1:8" x14ac:dyDescent="0.3">
      <c r="A8302"/>
      <c r="C8302" s="23"/>
      <c r="D8302" s="23"/>
      <c r="E8302" s="23"/>
      <c r="F8302" s="23"/>
    </row>
    <row r="8303" spans="1:8" x14ac:dyDescent="0.3">
      <c r="A8303"/>
      <c r="C8303" s="23"/>
      <c r="D8303" s="23"/>
      <c r="E8303" s="23"/>
      <c r="F8303" s="23"/>
    </row>
    <row r="8304" spans="1:8" x14ac:dyDescent="0.3">
      <c r="A8304"/>
      <c r="C8304" s="23"/>
      <c r="D8304" s="23"/>
      <c r="E8304" s="23"/>
      <c r="F8304" s="23"/>
    </row>
    <row r="8305" spans="1:8" x14ac:dyDescent="0.3">
      <c r="C8305" s="23"/>
      <c r="D8305" s="23"/>
      <c r="E8305" s="23"/>
      <c r="F8305" s="23"/>
    </row>
    <row r="8306" spans="1:8" ht="72" x14ac:dyDescent="0.3">
      <c r="A8306" s="22" t="s">
        <v>1802</v>
      </c>
      <c r="C8306" s="23"/>
      <c r="D8306" s="23"/>
      <c r="E8306" s="23"/>
      <c r="F8306" s="23"/>
    </row>
    <row r="8307" spans="1:8" x14ac:dyDescent="0.3">
      <c r="A8307" s="22" t="s">
        <v>57</v>
      </c>
      <c r="B8307" t="s">
        <v>66</v>
      </c>
      <c r="C8307" s="23" t="s">
        <v>58</v>
      </c>
      <c r="D8307" s="23" t="s">
        <v>59</v>
      </c>
      <c r="E8307" s="23" t="s">
        <v>60</v>
      </c>
      <c r="F8307" s="23" t="s">
        <v>61</v>
      </c>
      <c r="G8307" t="s">
        <v>62</v>
      </c>
      <c r="H8307" t="s">
        <v>63</v>
      </c>
    </row>
    <row r="8308" spans="1:8" x14ac:dyDescent="0.3">
      <c r="A8308" s="22" t="s">
        <v>64</v>
      </c>
      <c r="B8308" t="s">
        <v>67</v>
      </c>
      <c r="C8308" s="23">
        <v>7.0906545200846938E-2</v>
      </c>
      <c r="D8308" s="23">
        <v>5.7471264367816098E-2</v>
      </c>
      <c r="E8308" s="23">
        <v>0</v>
      </c>
      <c r="F8308" s="23">
        <v>0.266666666666667</v>
      </c>
      <c r="G8308">
        <v>61</v>
      </c>
      <c r="H8308">
        <v>65</v>
      </c>
    </row>
    <row r="8309" spans="1:8" x14ac:dyDescent="0.3">
      <c r="A8309" s="22" t="s">
        <v>64</v>
      </c>
      <c r="B8309" t="s">
        <v>68</v>
      </c>
      <c r="C8309" s="23">
        <v>0.16527827615653981</v>
      </c>
      <c r="D8309" s="23">
        <v>0.110987791342952</v>
      </c>
      <c r="E8309" s="23">
        <v>2.6315789473684199E-2</v>
      </c>
      <c r="F8309" s="23">
        <v>0.33333333333333298</v>
      </c>
      <c r="G8309">
        <v>4</v>
      </c>
      <c r="H8309">
        <v>65</v>
      </c>
    </row>
    <row r="8310" spans="1:8" x14ac:dyDescent="0.3">
      <c r="C8310" s="23"/>
      <c r="D8310" s="23"/>
      <c r="E8310" s="23"/>
      <c r="F8310" s="23"/>
    </row>
    <row r="8311" spans="1:8" ht="72" x14ac:dyDescent="0.3">
      <c r="A8311" s="22" t="s">
        <v>1803</v>
      </c>
      <c r="C8311" s="23"/>
      <c r="D8311" s="23"/>
      <c r="E8311" s="23"/>
      <c r="F8311" s="23"/>
    </row>
    <row r="8312" spans="1:8" x14ac:dyDescent="0.3">
      <c r="A8312" s="22" t="s">
        <v>57</v>
      </c>
      <c r="B8312" t="s">
        <v>66</v>
      </c>
      <c r="C8312" s="23" t="s">
        <v>58</v>
      </c>
      <c r="D8312" s="23" t="s">
        <v>59</v>
      </c>
      <c r="E8312" s="23" t="s">
        <v>60</v>
      </c>
      <c r="F8312" s="23" t="s">
        <v>61</v>
      </c>
      <c r="G8312" t="s">
        <v>62</v>
      </c>
      <c r="H8312" t="s">
        <v>63</v>
      </c>
    </row>
    <row r="8313" spans="1:8" x14ac:dyDescent="0.3">
      <c r="A8313" s="22" t="s">
        <v>64</v>
      </c>
      <c r="B8313" t="s">
        <v>67</v>
      </c>
      <c r="C8313" s="23">
        <v>7.6714036336581887E-2</v>
      </c>
      <c r="D8313" s="23">
        <v>5.8823529411764698E-2</v>
      </c>
      <c r="E8313" s="23">
        <v>0</v>
      </c>
      <c r="F8313" s="23">
        <v>0.33333333333333298</v>
      </c>
      <c r="G8313">
        <v>65</v>
      </c>
      <c r="H8313">
        <v>65</v>
      </c>
    </row>
    <row r="8314" spans="1:8" x14ac:dyDescent="0.3">
      <c r="C8314" s="23"/>
      <c r="D8314" s="23"/>
      <c r="E8314" s="23"/>
      <c r="F8314" s="23"/>
    </row>
    <row r="8315" spans="1:8" ht="72" x14ac:dyDescent="0.3">
      <c r="A8315" s="22" t="s">
        <v>1804</v>
      </c>
      <c r="C8315" s="23"/>
      <c r="D8315" s="23"/>
      <c r="E8315" s="23"/>
      <c r="F8315" s="23"/>
    </row>
    <row r="8316" spans="1:8" x14ac:dyDescent="0.3">
      <c r="A8316" s="22" t="s">
        <v>57</v>
      </c>
      <c r="B8316" t="s">
        <v>66</v>
      </c>
      <c r="C8316" s="23" t="s">
        <v>58</v>
      </c>
      <c r="D8316" s="23" t="s">
        <v>59</v>
      </c>
      <c r="E8316" s="23" t="s">
        <v>60</v>
      </c>
      <c r="F8316" s="23" t="s">
        <v>61</v>
      </c>
      <c r="G8316" t="s">
        <v>62</v>
      </c>
      <c r="H8316" t="s">
        <v>63</v>
      </c>
    </row>
    <row r="8317" spans="1:8" x14ac:dyDescent="0.3">
      <c r="A8317" s="22" t="s">
        <v>64</v>
      </c>
      <c r="B8317" t="s">
        <v>67</v>
      </c>
      <c r="C8317" s="23">
        <v>7.9000490361353148E-2</v>
      </c>
      <c r="D8317" s="23">
        <v>5.8823529411764698E-2</v>
      </c>
      <c r="E8317" s="23">
        <v>0</v>
      </c>
      <c r="F8317" s="23">
        <v>0.33333333333333298</v>
      </c>
      <c r="G8317">
        <v>61</v>
      </c>
      <c r="H8317">
        <v>65</v>
      </c>
    </row>
    <row r="8318" spans="1:8" x14ac:dyDescent="0.3">
      <c r="A8318" s="22" t="s">
        <v>64</v>
      </c>
      <c r="B8318" t="s">
        <v>68</v>
      </c>
      <c r="C8318" s="23">
        <v>4.184561245882E-2</v>
      </c>
      <c r="D8318" s="23">
        <v>1.58730158730159E-2</v>
      </c>
      <c r="E8318" s="23">
        <v>0.01</v>
      </c>
      <c r="F8318" s="23">
        <v>9.4339622641509399E-2</v>
      </c>
      <c r="G8318">
        <v>4</v>
      </c>
      <c r="H8318">
        <v>65</v>
      </c>
    </row>
    <row r="8319" spans="1:8" x14ac:dyDescent="0.3">
      <c r="C8319" s="23"/>
      <c r="D8319" s="23"/>
      <c r="E8319" s="23"/>
      <c r="F8319" s="23"/>
    </row>
    <row r="8320" spans="1:8" ht="72" x14ac:dyDescent="0.3">
      <c r="A8320" s="22" t="s">
        <v>1805</v>
      </c>
      <c r="C8320" s="23"/>
      <c r="D8320" s="23"/>
      <c r="E8320" s="23"/>
      <c r="F8320" s="23"/>
    </row>
    <row r="8321" spans="1:8" x14ac:dyDescent="0.3">
      <c r="A8321" s="22" t="s">
        <v>57</v>
      </c>
      <c r="B8321" t="s">
        <v>66</v>
      </c>
      <c r="C8321" s="23" t="s">
        <v>58</v>
      </c>
      <c r="D8321" s="23" t="s">
        <v>59</v>
      </c>
      <c r="E8321" s="23" t="s">
        <v>60</v>
      </c>
      <c r="F8321" s="23" t="s">
        <v>61</v>
      </c>
      <c r="G8321" t="s">
        <v>62</v>
      </c>
      <c r="H8321" t="s">
        <v>63</v>
      </c>
    </row>
    <row r="8322" spans="1:8" x14ac:dyDescent="0.3">
      <c r="A8322" s="22" t="s">
        <v>64</v>
      </c>
      <c r="B8322" t="s">
        <v>68</v>
      </c>
      <c r="C8322" s="23">
        <v>7.6714036336581887E-2</v>
      </c>
      <c r="D8322" s="23">
        <v>5.8823529411764698E-2</v>
      </c>
      <c r="E8322" s="23">
        <v>0</v>
      </c>
      <c r="F8322" s="23">
        <v>0.33333333333333298</v>
      </c>
      <c r="G8322">
        <v>65</v>
      </c>
      <c r="H8322">
        <v>65</v>
      </c>
    </row>
    <row r="8323" spans="1:8" x14ac:dyDescent="0.3">
      <c r="C8323" s="23"/>
      <c r="D8323" s="23"/>
      <c r="E8323" s="23"/>
      <c r="F8323" s="23"/>
    </row>
    <row r="8324" spans="1:8" ht="72" x14ac:dyDescent="0.3">
      <c r="A8324" s="22" t="s">
        <v>1806</v>
      </c>
      <c r="C8324" s="23"/>
      <c r="D8324" s="23"/>
      <c r="E8324" s="23"/>
      <c r="F8324" s="23"/>
    </row>
    <row r="8325" spans="1:8" x14ac:dyDescent="0.3">
      <c r="A8325" s="22" t="s">
        <v>57</v>
      </c>
      <c r="B8325" t="s">
        <v>66</v>
      </c>
      <c r="C8325" s="23" t="s">
        <v>58</v>
      </c>
      <c r="D8325" s="23" t="s">
        <v>59</v>
      </c>
      <c r="E8325" s="23" t="s">
        <v>60</v>
      </c>
      <c r="F8325" s="23" t="s">
        <v>61</v>
      </c>
      <c r="G8325" t="s">
        <v>62</v>
      </c>
      <c r="H8325" t="s">
        <v>63</v>
      </c>
    </row>
    <row r="8326" spans="1:8" x14ac:dyDescent="0.3">
      <c r="A8326" s="22" t="s">
        <v>64</v>
      </c>
      <c r="B8326" t="s">
        <v>67</v>
      </c>
      <c r="C8326" s="23">
        <v>8.0326011213768395E-2</v>
      </c>
      <c r="D8326" s="23">
        <v>5.8823529411764698E-2</v>
      </c>
      <c r="E8326" s="23">
        <v>7.2046109510086496E-3</v>
      </c>
      <c r="F8326" s="23">
        <v>0.33333333333333298</v>
      </c>
      <c r="G8326">
        <v>49</v>
      </c>
      <c r="H8326">
        <v>65</v>
      </c>
    </row>
    <row r="8327" spans="1:8" x14ac:dyDescent="0.3">
      <c r="A8327" s="22" t="s">
        <v>64</v>
      </c>
      <c r="B8327" t="s">
        <v>68</v>
      </c>
      <c r="C8327" s="23">
        <v>6.5652363275198161E-2</v>
      </c>
      <c r="D8327" s="23">
        <v>5.7471264367816098E-2</v>
      </c>
      <c r="E8327" s="23">
        <v>0</v>
      </c>
      <c r="F8327" s="23">
        <v>0.15</v>
      </c>
      <c r="G8327">
        <v>16</v>
      </c>
      <c r="H8327">
        <v>65</v>
      </c>
    </row>
    <row r="8328" spans="1:8" x14ac:dyDescent="0.3">
      <c r="C8328" s="23"/>
      <c r="D8328" s="23"/>
      <c r="E8328" s="23"/>
      <c r="F8328" s="23"/>
    </row>
    <row r="8329" spans="1:8" ht="72" x14ac:dyDescent="0.3">
      <c r="A8329" s="22" t="s">
        <v>1807</v>
      </c>
      <c r="C8329" s="23"/>
      <c r="D8329" s="23"/>
      <c r="E8329" s="23"/>
      <c r="F8329" s="23"/>
    </row>
    <row r="8330" spans="1:8" x14ac:dyDescent="0.3">
      <c r="A8330" s="22" t="s">
        <v>57</v>
      </c>
      <c r="B8330" t="s">
        <v>66</v>
      </c>
      <c r="C8330" s="23" t="s">
        <v>58</v>
      </c>
      <c r="D8330" s="23" t="s">
        <v>59</v>
      </c>
      <c r="E8330" s="23" t="s">
        <v>60</v>
      </c>
      <c r="F8330" s="23" t="s">
        <v>61</v>
      </c>
      <c r="G8330" t="s">
        <v>62</v>
      </c>
      <c r="H8330" t="s">
        <v>63</v>
      </c>
    </row>
    <row r="8331" spans="1:8" x14ac:dyDescent="0.3">
      <c r="A8331" s="22" t="s">
        <v>64</v>
      </c>
      <c r="B8331" t="s">
        <v>67</v>
      </c>
      <c r="C8331" s="23">
        <v>8.6250510340385569E-2</v>
      </c>
      <c r="D8331" s="23">
        <v>7.4349442379182201E-2</v>
      </c>
      <c r="E8331" s="23">
        <v>0</v>
      </c>
      <c r="F8331" s="23">
        <v>0.33333333333333298</v>
      </c>
      <c r="G8331">
        <v>53</v>
      </c>
      <c r="H8331">
        <v>65</v>
      </c>
    </row>
    <row r="8332" spans="1:8" x14ac:dyDescent="0.3">
      <c r="A8332" s="22" t="s">
        <v>64</v>
      </c>
      <c r="B8332" t="s">
        <v>68</v>
      </c>
      <c r="C8332" s="23">
        <v>3.45946094864489E-2</v>
      </c>
      <c r="D8332" s="23">
        <v>2.32558139534884E-2</v>
      </c>
      <c r="E8332" s="23">
        <v>1.67822779145223E-2</v>
      </c>
      <c r="F8332" s="23">
        <v>6.8965517241379296E-2</v>
      </c>
      <c r="G8332">
        <v>12</v>
      </c>
      <c r="H8332">
        <v>65</v>
      </c>
    </row>
    <row r="8333" spans="1:8" x14ac:dyDescent="0.3">
      <c r="C8333" s="23"/>
      <c r="D8333" s="23"/>
      <c r="E8333" s="23"/>
      <c r="F8333" s="23"/>
    </row>
    <row r="8334" spans="1:8" ht="72" x14ac:dyDescent="0.3">
      <c r="A8334" s="22" t="s">
        <v>1808</v>
      </c>
      <c r="C8334" s="23"/>
      <c r="D8334" s="23"/>
      <c r="E8334" s="23"/>
      <c r="F8334" s="23"/>
    </row>
    <row r="8335" spans="1:8" x14ac:dyDescent="0.3">
      <c r="A8335" s="22" t="s">
        <v>57</v>
      </c>
      <c r="B8335" t="s">
        <v>66</v>
      </c>
      <c r="C8335" s="23" t="s">
        <v>58</v>
      </c>
      <c r="D8335" s="23" t="s">
        <v>59</v>
      </c>
      <c r="E8335" s="23" t="s">
        <v>60</v>
      </c>
      <c r="F8335" s="23" t="s">
        <v>61</v>
      </c>
      <c r="G8335" t="s">
        <v>62</v>
      </c>
      <c r="H8335" t="s">
        <v>63</v>
      </c>
    </row>
    <row r="8336" spans="1:8" x14ac:dyDescent="0.3">
      <c r="A8336" s="22" t="s">
        <v>64</v>
      </c>
      <c r="B8336" t="s">
        <v>67</v>
      </c>
      <c r="C8336" s="23">
        <v>8.0288841716269432E-2</v>
      </c>
      <c r="D8336" s="23">
        <v>5.8823529411764698E-2</v>
      </c>
      <c r="E8336" s="23">
        <v>0</v>
      </c>
      <c r="F8336" s="23">
        <v>0.33333333333333298</v>
      </c>
      <c r="G8336">
        <v>51</v>
      </c>
      <c r="H8336">
        <v>65</v>
      </c>
    </row>
    <row r="8337" spans="1:8" x14ac:dyDescent="0.3">
      <c r="A8337" s="22" t="s">
        <v>64</v>
      </c>
      <c r="B8337" t="s">
        <v>68</v>
      </c>
      <c r="C8337" s="23">
        <v>6.3691531024862955E-2</v>
      </c>
      <c r="D8337" s="23">
        <v>3.82775119617225E-2</v>
      </c>
      <c r="E8337" s="23">
        <v>7.2046109510086496E-3</v>
      </c>
      <c r="F8337" s="23">
        <v>0.16877637130801701</v>
      </c>
      <c r="G8337">
        <v>14</v>
      </c>
      <c r="H8337">
        <v>65</v>
      </c>
    </row>
    <row r="8338" spans="1:8" x14ac:dyDescent="0.3">
      <c r="C8338" s="23"/>
      <c r="D8338" s="23"/>
      <c r="E8338" s="23"/>
      <c r="F8338" s="23"/>
    </row>
    <row r="8339" spans="1:8" ht="86.4" x14ac:dyDescent="0.3">
      <c r="A8339" s="22" t="s">
        <v>1809</v>
      </c>
      <c r="C8339" s="23"/>
      <c r="D8339" s="23"/>
      <c r="E8339" s="23"/>
      <c r="F8339" s="23"/>
    </row>
    <row r="8340" spans="1:8" x14ac:dyDescent="0.3">
      <c r="A8340" s="22" t="s">
        <v>57</v>
      </c>
      <c r="B8340" t="s">
        <v>66</v>
      </c>
      <c r="C8340" s="23" t="s">
        <v>58</v>
      </c>
      <c r="D8340" s="23" t="s">
        <v>59</v>
      </c>
      <c r="E8340" s="23" t="s">
        <v>60</v>
      </c>
      <c r="F8340" s="23" t="s">
        <v>61</v>
      </c>
      <c r="G8340" t="s">
        <v>62</v>
      </c>
      <c r="H8340" t="s">
        <v>63</v>
      </c>
    </row>
    <row r="8341" spans="1:8" x14ac:dyDescent="0.3">
      <c r="A8341" s="22" t="s">
        <v>64</v>
      </c>
      <c r="B8341" t="s">
        <v>67</v>
      </c>
      <c r="C8341" s="23">
        <v>7.2675563146503308E-2</v>
      </c>
      <c r="D8341" s="23">
        <v>4.7619047619047603E-2</v>
      </c>
      <c r="E8341" s="23">
        <v>0</v>
      </c>
      <c r="F8341" s="23">
        <v>0.33333333333333298</v>
      </c>
      <c r="G8341">
        <v>60</v>
      </c>
      <c r="H8341">
        <v>65</v>
      </c>
    </row>
    <row r="8342" spans="1:8" x14ac:dyDescent="0.3">
      <c r="A8342" s="22" t="s">
        <v>64</v>
      </c>
      <c r="B8342" t="s">
        <v>68</v>
      </c>
      <c r="C8342" s="23">
        <v>0.12517571461752491</v>
      </c>
      <c r="D8342" s="23">
        <v>0.12578616352201299</v>
      </c>
      <c r="E8342" s="23">
        <v>6.8965517241379296E-2</v>
      </c>
      <c r="F8342" s="23">
        <v>0.206611570247934</v>
      </c>
      <c r="G8342">
        <v>5</v>
      </c>
      <c r="H8342">
        <v>65</v>
      </c>
    </row>
    <row r="8343" spans="1:8" x14ac:dyDescent="0.3">
      <c r="C8343" s="23"/>
      <c r="D8343" s="23"/>
      <c r="E8343" s="23"/>
      <c r="F8343" s="23"/>
    </row>
    <row r="8344" spans="1:8" ht="86.4" x14ac:dyDescent="0.3">
      <c r="A8344" s="22" t="s">
        <v>1810</v>
      </c>
      <c r="C8344" s="23"/>
      <c r="D8344" s="23"/>
      <c r="E8344" s="23"/>
      <c r="F8344" s="23"/>
    </row>
    <row r="8345" spans="1:8" x14ac:dyDescent="0.3">
      <c r="A8345" s="22" t="s">
        <v>57</v>
      </c>
      <c r="B8345" t="s">
        <v>66</v>
      </c>
      <c r="C8345" s="23" t="s">
        <v>58</v>
      </c>
      <c r="D8345" s="23" t="s">
        <v>59</v>
      </c>
      <c r="E8345" s="23" t="s">
        <v>60</v>
      </c>
      <c r="F8345" s="23" t="s">
        <v>61</v>
      </c>
      <c r="G8345" t="s">
        <v>62</v>
      </c>
      <c r="H8345" t="s">
        <v>63</v>
      </c>
    </row>
    <row r="8346" spans="1:8" x14ac:dyDescent="0.3">
      <c r="A8346" s="22" t="s">
        <v>64</v>
      </c>
      <c r="B8346" t="s">
        <v>67</v>
      </c>
      <c r="C8346" s="23">
        <v>7.6714036336581887E-2</v>
      </c>
      <c r="D8346" s="23">
        <v>5.8823529411764698E-2</v>
      </c>
      <c r="E8346" s="23">
        <v>0</v>
      </c>
      <c r="F8346" s="23">
        <v>0.33333333333333298</v>
      </c>
      <c r="G8346">
        <v>65</v>
      </c>
      <c r="H8346">
        <v>65</v>
      </c>
    </row>
    <row r="8347" spans="1:8" x14ac:dyDescent="0.3">
      <c r="C8347" s="23"/>
      <c r="D8347" s="23"/>
      <c r="E8347" s="23"/>
      <c r="F8347" s="23"/>
    </row>
    <row r="8348" spans="1:8" ht="72" x14ac:dyDescent="0.3">
      <c r="A8348" s="22" t="s">
        <v>1811</v>
      </c>
      <c r="C8348" s="23"/>
      <c r="D8348" s="23"/>
      <c r="E8348" s="23"/>
      <c r="F8348" s="23"/>
    </row>
    <row r="8349" spans="1:8" x14ac:dyDescent="0.3">
      <c r="A8349" s="22" t="s">
        <v>57</v>
      </c>
      <c r="B8349" t="s">
        <v>66</v>
      </c>
      <c r="C8349" s="23" t="s">
        <v>58</v>
      </c>
      <c r="D8349" s="23" t="s">
        <v>59</v>
      </c>
      <c r="E8349" s="23" t="s">
        <v>60</v>
      </c>
      <c r="F8349" s="23" t="s">
        <v>61</v>
      </c>
      <c r="G8349" t="s">
        <v>62</v>
      </c>
      <c r="H8349" t="s">
        <v>63</v>
      </c>
    </row>
    <row r="8350" spans="1:8" x14ac:dyDescent="0.3">
      <c r="A8350" s="22" t="s">
        <v>64</v>
      </c>
      <c r="B8350" t="s">
        <v>67</v>
      </c>
      <c r="C8350" s="23">
        <v>6.9888142879120027E-2</v>
      </c>
      <c r="D8350" s="23">
        <v>5.8823529411764698E-2</v>
      </c>
      <c r="E8350" s="23">
        <v>7.2046109510086496E-3</v>
      </c>
      <c r="F8350" s="23">
        <v>0.266666666666667</v>
      </c>
      <c r="G8350">
        <v>41</v>
      </c>
      <c r="H8350">
        <v>65</v>
      </c>
    </row>
    <row r="8351" spans="1:8" x14ac:dyDescent="0.3">
      <c r="A8351" s="22" t="s">
        <v>64</v>
      </c>
      <c r="B8351" t="s">
        <v>68</v>
      </c>
      <c r="C8351" s="23">
        <v>8.8374937659745897E-2</v>
      </c>
      <c r="D8351" s="23">
        <v>5.0287356321839102E-2</v>
      </c>
      <c r="E8351" s="23">
        <v>0</v>
      </c>
      <c r="F8351" s="23">
        <v>0.33333333333333298</v>
      </c>
      <c r="G8351">
        <v>24</v>
      </c>
      <c r="H8351">
        <v>65</v>
      </c>
    </row>
    <row r="8352" spans="1:8" x14ac:dyDescent="0.3">
      <c r="C8352" s="23"/>
      <c r="D8352" s="23"/>
      <c r="E8352" s="23"/>
      <c r="F8352" s="23"/>
    </row>
    <row r="8353" spans="1:8" ht="86.4" x14ac:dyDescent="0.3">
      <c r="A8353" s="22" t="s">
        <v>1812</v>
      </c>
      <c r="C8353" s="23"/>
      <c r="D8353" s="23"/>
      <c r="E8353" s="23"/>
      <c r="F8353" s="23"/>
    </row>
    <row r="8354" spans="1:8" x14ac:dyDescent="0.3">
      <c r="A8354" s="22" t="s">
        <v>57</v>
      </c>
      <c r="B8354" t="s">
        <v>66</v>
      </c>
      <c r="C8354" s="23" t="s">
        <v>58</v>
      </c>
      <c r="D8354" s="23" t="s">
        <v>59</v>
      </c>
      <c r="E8354" s="23" t="s">
        <v>60</v>
      </c>
      <c r="F8354" s="23" t="s">
        <v>61</v>
      </c>
      <c r="G8354" t="s">
        <v>62</v>
      </c>
      <c r="H8354" t="s">
        <v>63</v>
      </c>
    </row>
    <row r="8355" spans="1:8" x14ac:dyDescent="0.3">
      <c r="A8355" s="22" t="s">
        <v>64</v>
      </c>
      <c r="B8355" t="s">
        <v>67</v>
      </c>
      <c r="C8355" s="23">
        <v>8.1364678564201903E-2</v>
      </c>
      <c r="D8355" s="23">
        <v>5.8823529411764698E-2</v>
      </c>
      <c r="E8355" s="23">
        <v>0</v>
      </c>
      <c r="F8355" s="23">
        <v>0.33333333333333298</v>
      </c>
      <c r="G8355">
        <v>60</v>
      </c>
      <c r="H8355">
        <v>65</v>
      </c>
    </row>
    <row r="8356" spans="1:8" x14ac:dyDescent="0.3">
      <c r="A8356" s="22" t="s">
        <v>64</v>
      </c>
      <c r="B8356" t="s">
        <v>68</v>
      </c>
      <c r="C8356" s="23">
        <v>2.0906329605141789E-2</v>
      </c>
      <c r="D8356" s="23">
        <v>2.6490066225165601E-2</v>
      </c>
      <c r="E8356" s="23">
        <v>7.2046109510086496E-3</v>
      </c>
      <c r="F8356" s="23">
        <v>4.71698113207547E-2</v>
      </c>
      <c r="G8356">
        <v>5</v>
      </c>
      <c r="H8356">
        <v>65</v>
      </c>
    </row>
    <row r="8357" spans="1:8" x14ac:dyDescent="0.3">
      <c r="C8357" s="23"/>
      <c r="D8357" s="23"/>
      <c r="E8357" s="23"/>
      <c r="F8357" s="23"/>
    </row>
    <row r="8358" spans="1:8" ht="72" x14ac:dyDescent="0.3">
      <c r="A8358" s="22" t="s">
        <v>1813</v>
      </c>
      <c r="C8358" s="23"/>
      <c r="D8358" s="23"/>
      <c r="E8358" s="23"/>
      <c r="F8358" s="23"/>
    </row>
    <row r="8359" spans="1:8" x14ac:dyDescent="0.3">
      <c r="A8359" s="22" t="s">
        <v>57</v>
      </c>
      <c r="B8359" t="s">
        <v>66</v>
      </c>
      <c r="C8359" s="23" t="s">
        <v>58</v>
      </c>
      <c r="D8359" s="23" t="s">
        <v>59</v>
      </c>
      <c r="E8359" s="23" t="s">
        <v>60</v>
      </c>
      <c r="F8359" s="23" t="s">
        <v>61</v>
      </c>
      <c r="G8359" t="s">
        <v>62</v>
      </c>
      <c r="H8359" t="s">
        <v>63</v>
      </c>
    </row>
    <row r="8360" spans="1:8" x14ac:dyDescent="0.3">
      <c r="A8360" s="22" t="s">
        <v>64</v>
      </c>
      <c r="B8360" t="s">
        <v>81</v>
      </c>
      <c r="C8360" s="23">
        <v>6.2104448988931221E-2</v>
      </c>
      <c r="D8360" s="23">
        <v>4.0229885057471299E-2</v>
      </c>
      <c r="E8360" s="23">
        <v>9.5238095238095195E-3</v>
      </c>
      <c r="F8360" s="23">
        <v>0.19047619047618999</v>
      </c>
      <c r="G8360">
        <v>22</v>
      </c>
      <c r="H8360">
        <v>65</v>
      </c>
    </row>
    <row r="8361" spans="1:8" x14ac:dyDescent="0.3">
      <c r="A8361" s="22" t="s">
        <v>64</v>
      </c>
      <c r="B8361" t="s">
        <v>82</v>
      </c>
      <c r="C8361" s="23">
        <v>7.4981593047717926E-2</v>
      </c>
      <c r="D8361" s="23">
        <v>2.8818443804034598E-2</v>
      </c>
      <c r="E8361" s="23">
        <v>1.12447992803328E-2</v>
      </c>
      <c r="F8361" s="23">
        <v>0.266666666666667</v>
      </c>
      <c r="G8361">
        <v>14</v>
      </c>
      <c r="H8361">
        <v>65</v>
      </c>
    </row>
    <row r="8362" spans="1:8" x14ac:dyDescent="0.3">
      <c r="A8362" s="22" t="s">
        <v>64</v>
      </c>
      <c r="B8362" t="s">
        <v>83</v>
      </c>
      <c r="C8362" s="23">
        <v>7.5001834694299996E-2</v>
      </c>
      <c r="D8362" s="23">
        <v>4.71698113207547E-2</v>
      </c>
      <c r="E8362" s="23">
        <v>0</v>
      </c>
      <c r="F8362" s="23">
        <v>0.206611570247934</v>
      </c>
      <c r="G8362">
        <v>16</v>
      </c>
      <c r="H8362">
        <v>65</v>
      </c>
    </row>
    <row r="8363" spans="1:8" x14ac:dyDescent="0.3">
      <c r="A8363" s="22" t="s">
        <v>64</v>
      </c>
      <c r="B8363" t="s">
        <v>84</v>
      </c>
      <c r="C8363" s="23">
        <v>0.10541098664188341</v>
      </c>
      <c r="D8363" s="23">
        <v>0.12195121951219499</v>
      </c>
      <c r="E8363" s="23">
        <v>7.2046109510086496E-3</v>
      </c>
      <c r="F8363" s="23">
        <v>0.33333333333333298</v>
      </c>
      <c r="G8363">
        <v>13</v>
      </c>
      <c r="H8363">
        <v>65</v>
      </c>
    </row>
    <row r="8364" spans="1:8" x14ac:dyDescent="0.3">
      <c r="C8364" s="23"/>
      <c r="D8364" s="23"/>
      <c r="E8364" s="23"/>
      <c r="F8364" s="23"/>
    </row>
    <row r="8365" spans="1:8" ht="57.6" x14ac:dyDescent="0.3">
      <c r="A8365" s="22" t="s">
        <v>1814</v>
      </c>
    </row>
    <row r="8366" spans="1:8" x14ac:dyDescent="0.3">
      <c r="A8366" s="22" t="s">
        <v>57</v>
      </c>
      <c r="B8366" t="s">
        <v>58</v>
      </c>
      <c r="C8366" t="s">
        <v>59</v>
      </c>
      <c r="D8366" t="s">
        <v>60</v>
      </c>
      <c r="E8366" t="s">
        <v>61</v>
      </c>
      <c r="F8366" t="s">
        <v>62</v>
      </c>
      <c r="G8366" t="s">
        <v>63</v>
      </c>
    </row>
    <row r="8367" spans="1:8" x14ac:dyDescent="0.3">
      <c r="A8367" s="22" t="s">
        <v>64</v>
      </c>
      <c r="B8367" s="23">
        <v>6.573562095097589E-2</v>
      </c>
      <c r="C8367" s="23">
        <v>4.6829971181556199E-2</v>
      </c>
      <c r="D8367" s="23">
        <v>3.2608695652173898E-3</v>
      </c>
      <c r="E8367" s="23">
        <v>1</v>
      </c>
      <c r="F8367">
        <v>138</v>
      </c>
      <c r="G8367">
        <v>138</v>
      </c>
    </row>
    <row r="8369" spans="1:8" ht="72" x14ac:dyDescent="0.3">
      <c r="A8369" s="22" t="s">
        <v>1815</v>
      </c>
    </row>
    <row r="8370" spans="1:8" x14ac:dyDescent="0.3">
      <c r="A8370" s="22" t="s">
        <v>57</v>
      </c>
      <c r="B8370" t="s">
        <v>66</v>
      </c>
      <c r="C8370" t="s">
        <v>58</v>
      </c>
      <c r="D8370" t="s">
        <v>59</v>
      </c>
      <c r="E8370" t="s">
        <v>60</v>
      </c>
      <c r="F8370" t="s">
        <v>61</v>
      </c>
      <c r="G8370" t="s">
        <v>62</v>
      </c>
      <c r="H8370" t="s">
        <v>63</v>
      </c>
    </row>
    <row r="8371" spans="1:8" x14ac:dyDescent="0.3">
      <c r="A8371" s="22" t="s">
        <v>64</v>
      </c>
      <c r="B8371" t="s">
        <v>67</v>
      </c>
      <c r="C8371" s="23">
        <v>6.6132822532878152E-2</v>
      </c>
      <c r="D8371" s="23">
        <v>4.6829971181556199E-2</v>
      </c>
      <c r="E8371" s="23">
        <v>3.2608695652173898E-3</v>
      </c>
      <c r="F8371" s="23">
        <v>1</v>
      </c>
      <c r="G8371">
        <v>133</v>
      </c>
      <c r="H8371">
        <v>138</v>
      </c>
    </row>
    <row r="8372" spans="1:8" x14ac:dyDescent="0.3">
      <c r="A8372" s="22" t="s">
        <v>64</v>
      </c>
      <c r="B8372" t="s">
        <v>68</v>
      </c>
      <c r="C8372" s="23">
        <v>5.5170058872375513E-2</v>
      </c>
      <c r="D8372" s="23">
        <v>6.25E-2</v>
      </c>
      <c r="E8372" s="23">
        <v>3.09278350515464E-2</v>
      </c>
      <c r="F8372" s="23">
        <v>8.6956521739130405E-2</v>
      </c>
      <c r="G8372">
        <v>5</v>
      </c>
      <c r="H8372">
        <v>138</v>
      </c>
    </row>
    <row r="8373" spans="1:8" x14ac:dyDescent="0.3">
      <c r="C8373" s="23"/>
      <c r="D8373" s="23"/>
      <c r="E8373" s="23"/>
      <c r="F8373" s="23"/>
    </row>
    <row r="8374" spans="1:8" x14ac:dyDescent="0.3">
      <c r="A8374"/>
      <c r="C8374" s="23"/>
      <c r="D8374" s="23"/>
      <c r="E8374" s="23"/>
      <c r="F8374" s="23"/>
    </row>
    <row r="8375" spans="1:8" x14ac:dyDescent="0.3">
      <c r="A8375"/>
      <c r="C8375" s="23"/>
      <c r="D8375" s="23"/>
      <c r="E8375" s="23"/>
      <c r="F8375" s="23"/>
    </row>
    <row r="8376" spans="1:8" x14ac:dyDescent="0.3">
      <c r="A8376"/>
      <c r="C8376" s="23"/>
      <c r="D8376" s="23"/>
      <c r="E8376" s="23"/>
      <c r="F8376" s="23"/>
    </row>
    <row r="8377" spans="1:8" x14ac:dyDescent="0.3">
      <c r="C8377" s="23"/>
      <c r="D8377" s="23"/>
      <c r="E8377" s="23"/>
      <c r="F8377" s="23"/>
    </row>
    <row r="8378" spans="1:8" ht="72" x14ac:dyDescent="0.3">
      <c r="A8378" s="22" t="s">
        <v>1816</v>
      </c>
      <c r="C8378" s="23"/>
      <c r="D8378" s="23"/>
      <c r="E8378" s="23"/>
      <c r="F8378" s="23"/>
    </row>
    <row r="8379" spans="1:8" x14ac:dyDescent="0.3">
      <c r="A8379" s="22" t="s">
        <v>57</v>
      </c>
      <c r="B8379" t="s">
        <v>66</v>
      </c>
      <c r="C8379" s="23" t="s">
        <v>58</v>
      </c>
      <c r="D8379" s="23" t="s">
        <v>59</v>
      </c>
      <c r="E8379" s="23" t="s">
        <v>60</v>
      </c>
      <c r="F8379" s="23" t="s">
        <v>61</v>
      </c>
      <c r="G8379" t="s">
        <v>62</v>
      </c>
      <c r="H8379" t="s">
        <v>63</v>
      </c>
    </row>
    <row r="8380" spans="1:8" x14ac:dyDescent="0.3">
      <c r="A8380" s="22" t="s">
        <v>64</v>
      </c>
      <c r="B8380" t="s">
        <v>67</v>
      </c>
      <c r="C8380" s="23">
        <v>6.608551255944313E-2</v>
      </c>
      <c r="D8380" s="23">
        <v>4.7619047619047603E-2</v>
      </c>
      <c r="E8380" s="23">
        <v>3.2608695652173898E-3</v>
      </c>
      <c r="F8380" s="23">
        <v>1</v>
      </c>
      <c r="G8380">
        <v>133</v>
      </c>
      <c r="H8380">
        <v>138</v>
      </c>
    </row>
    <row r="8381" spans="1:8" x14ac:dyDescent="0.3">
      <c r="A8381" s="22" t="s">
        <v>64</v>
      </c>
      <c r="B8381" t="s">
        <v>68</v>
      </c>
      <c r="C8381" s="23">
        <v>5.6428504165747087E-2</v>
      </c>
      <c r="D8381" s="23">
        <v>6.9306930693069299E-2</v>
      </c>
      <c r="E8381" s="23">
        <v>9.9889012208657108E-3</v>
      </c>
      <c r="F8381" s="23">
        <v>0.14285714285714299</v>
      </c>
      <c r="G8381">
        <v>5</v>
      </c>
      <c r="H8381">
        <v>138</v>
      </c>
    </row>
    <row r="8382" spans="1:8" x14ac:dyDescent="0.3">
      <c r="C8382" s="23"/>
      <c r="D8382" s="23"/>
      <c r="E8382" s="23"/>
      <c r="F8382" s="23"/>
    </row>
    <row r="8383" spans="1:8" ht="72" x14ac:dyDescent="0.3">
      <c r="A8383" s="22" t="s">
        <v>1817</v>
      </c>
      <c r="C8383" s="23"/>
      <c r="D8383" s="23"/>
      <c r="E8383" s="23"/>
      <c r="F8383" s="23"/>
    </row>
    <row r="8384" spans="1:8" x14ac:dyDescent="0.3">
      <c r="A8384" s="22" t="s">
        <v>57</v>
      </c>
      <c r="B8384" t="s">
        <v>66</v>
      </c>
      <c r="C8384" s="23" t="s">
        <v>58</v>
      </c>
      <c r="D8384" s="23" t="s">
        <v>59</v>
      </c>
      <c r="E8384" s="23" t="s">
        <v>60</v>
      </c>
      <c r="F8384" s="23" t="s">
        <v>61</v>
      </c>
      <c r="G8384" t="s">
        <v>62</v>
      </c>
      <c r="H8384" t="s">
        <v>63</v>
      </c>
    </row>
    <row r="8385" spans="1:8" x14ac:dyDescent="0.3">
      <c r="A8385" s="22" t="s">
        <v>64</v>
      </c>
      <c r="B8385" t="s">
        <v>67</v>
      </c>
      <c r="C8385" s="23">
        <v>6.6006892428198863E-2</v>
      </c>
      <c r="D8385" s="23">
        <v>4.7619047619047603E-2</v>
      </c>
      <c r="E8385" s="23">
        <v>3.2608695652173898E-3</v>
      </c>
      <c r="F8385" s="23">
        <v>1</v>
      </c>
      <c r="G8385">
        <v>137</v>
      </c>
      <c r="H8385">
        <v>138</v>
      </c>
    </row>
    <row r="8386" spans="1:8" x14ac:dyDescent="0.3">
      <c r="A8386" s="22" t="s">
        <v>64</v>
      </c>
      <c r="B8386" t="s">
        <v>68</v>
      </c>
      <c r="C8386" s="23">
        <v>2.8571428571428598E-2</v>
      </c>
      <c r="D8386" s="23">
        <v>2.8571428571428598E-2</v>
      </c>
      <c r="E8386" s="23">
        <v>2.8571428571428598E-2</v>
      </c>
      <c r="F8386" s="23">
        <v>2.8571428571428598E-2</v>
      </c>
      <c r="G8386">
        <v>1</v>
      </c>
      <c r="H8386">
        <v>138</v>
      </c>
    </row>
    <row r="8387" spans="1:8" x14ac:dyDescent="0.3">
      <c r="C8387" s="23"/>
      <c r="D8387" s="23"/>
      <c r="E8387" s="23"/>
      <c r="F8387" s="23"/>
    </row>
    <row r="8388" spans="1:8" ht="72" x14ac:dyDescent="0.3">
      <c r="A8388" s="22" t="s">
        <v>1818</v>
      </c>
      <c r="C8388" s="23"/>
      <c r="D8388" s="23"/>
      <c r="E8388" s="23"/>
      <c r="F8388" s="23"/>
    </row>
    <row r="8389" spans="1:8" x14ac:dyDescent="0.3">
      <c r="A8389" s="22" t="s">
        <v>57</v>
      </c>
      <c r="B8389" t="s">
        <v>66</v>
      </c>
      <c r="C8389" s="23" t="s">
        <v>58</v>
      </c>
      <c r="D8389" s="23" t="s">
        <v>59</v>
      </c>
      <c r="E8389" s="23" t="s">
        <v>60</v>
      </c>
      <c r="F8389" s="23" t="s">
        <v>61</v>
      </c>
      <c r="G8389" t="s">
        <v>62</v>
      </c>
      <c r="H8389" t="s">
        <v>63</v>
      </c>
    </row>
    <row r="8390" spans="1:8" x14ac:dyDescent="0.3">
      <c r="A8390" s="22" t="s">
        <v>64</v>
      </c>
      <c r="B8390" t="s">
        <v>67</v>
      </c>
      <c r="C8390" s="23">
        <v>5.6108791320379388E-2</v>
      </c>
      <c r="D8390" s="23">
        <v>4.7058823529411799E-2</v>
      </c>
      <c r="E8390" s="23">
        <v>3.2608695652173898E-3</v>
      </c>
      <c r="F8390" s="23">
        <v>0.33333333333333298</v>
      </c>
      <c r="G8390">
        <v>129</v>
      </c>
      <c r="H8390">
        <v>138</v>
      </c>
    </row>
    <row r="8391" spans="1:8" x14ac:dyDescent="0.3">
      <c r="A8391" s="22" t="s">
        <v>64</v>
      </c>
      <c r="B8391" t="s">
        <v>68</v>
      </c>
      <c r="C8391" s="23">
        <v>0.20372017898952549</v>
      </c>
      <c r="D8391" s="23">
        <v>8.6956521739130405E-2</v>
      </c>
      <c r="E8391" s="23">
        <v>1.5151515151515201E-2</v>
      </c>
      <c r="F8391" s="23">
        <v>1</v>
      </c>
      <c r="G8391">
        <v>9</v>
      </c>
      <c r="H8391">
        <v>138</v>
      </c>
    </row>
    <row r="8392" spans="1:8" x14ac:dyDescent="0.3">
      <c r="C8392" s="23"/>
      <c r="D8392" s="23"/>
      <c r="E8392" s="23"/>
      <c r="F8392" s="23"/>
    </row>
    <row r="8393" spans="1:8" ht="72" x14ac:dyDescent="0.3">
      <c r="A8393" s="22" t="s">
        <v>1819</v>
      </c>
      <c r="C8393" s="23"/>
      <c r="D8393" s="23"/>
      <c r="E8393" s="23"/>
      <c r="F8393" s="23"/>
    </row>
    <row r="8394" spans="1:8" x14ac:dyDescent="0.3">
      <c r="A8394" s="22" t="s">
        <v>57</v>
      </c>
      <c r="B8394" t="s">
        <v>66</v>
      </c>
      <c r="C8394" s="23" t="s">
        <v>58</v>
      </c>
      <c r="D8394" s="23" t="s">
        <v>59</v>
      </c>
      <c r="E8394" s="23" t="s">
        <v>60</v>
      </c>
      <c r="F8394" s="23" t="s">
        <v>61</v>
      </c>
      <c r="G8394" t="s">
        <v>62</v>
      </c>
      <c r="H8394" t="s">
        <v>63</v>
      </c>
    </row>
    <row r="8395" spans="1:8" x14ac:dyDescent="0.3">
      <c r="A8395" s="22" t="s">
        <v>64</v>
      </c>
      <c r="B8395" t="s">
        <v>67</v>
      </c>
      <c r="C8395" s="23">
        <v>9.8716577540106959E-2</v>
      </c>
      <c r="D8395" s="23">
        <v>3.7433155080213901E-2</v>
      </c>
      <c r="E8395" s="23">
        <v>3.7433155080213901E-2</v>
      </c>
      <c r="F8395" s="23">
        <v>0.16</v>
      </c>
      <c r="G8395">
        <v>2</v>
      </c>
      <c r="H8395">
        <v>138</v>
      </c>
    </row>
    <row r="8396" spans="1:8" x14ac:dyDescent="0.3">
      <c r="A8396" s="22" t="s">
        <v>64</v>
      </c>
      <c r="B8396" t="s">
        <v>68</v>
      </c>
      <c r="C8396" s="23">
        <v>6.525060688348866E-2</v>
      </c>
      <c r="D8396" s="23">
        <v>4.6829971181556199E-2</v>
      </c>
      <c r="E8396" s="23">
        <v>3.2608695652173898E-3</v>
      </c>
      <c r="F8396" s="23">
        <v>1</v>
      </c>
      <c r="G8396">
        <v>136</v>
      </c>
      <c r="H8396">
        <v>138</v>
      </c>
    </row>
    <row r="8397" spans="1:8" x14ac:dyDescent="0.3">
      <c r="C8397" s="23"/>
      <c r="D8397" s="23"/>
      <c r="E8397" s="23"/>
      <c r="F8397" s="23"/>
    </row>
    <row r="8398" spans="1:8" ht="72" x14ac:dyDescent="0.3">
      <c r="A8398" s="22" t="s">
        <v>1820</v>
      </c>
      <c r="C8398" s="23"/>
      <c r="D8398" s="23"/>
      <c r="E8398" s="23"/>
      <c r="F8398" s="23"/>
    </row>
    <row r="8399" spans="1:8" x14ac:dyDescent="0.3">
      <c r="A8399" s="22" t="s">
        <v>57</v>
      </c>
      <c r="B8399" t="s">
        <v>66</v>
      </c>
      <c r="C8399" s="23" t="s">
        <v>58</v>
      </c>
      <c r="D8399" s="23" t="s">
        <v>59</v>
      </c>
      <c r="E8399" s="23" t="s">
        <v>60</v>
      </c>
      <c r="F8399" s="23" t="s">
        <v>61</v>
      </c>
      <c r="G8399" t="s">
        <v>62</v>
      </c>
      <c r="H8399" t="s">
        <v>63</v>
      </c>
    </row>
    <row r="8400" spans="1:8" x14ac:dyDescent="0.3">
      <c r="A8400" s="22" t="s">
        <v>64</v>
      </c>
      <c r="B8400" t="s">
        <v>67</v>
      </c>
      <c r="C8400" s="23">
        <v>6.6475102393545565E-2</v>
      </c>
      <c r="D8400" s="23">
        <v>4.7619047619047603E-2</v>
      </c>
      <c r="E8400" s="23">
        <v>3.2608695652173898E-3</v>
      </c>
      <c r="F8400" s="23">
        <v>1</v>
      </c>
      <c r="G8400">
        <v>110</v>
      </c>
      <c r="H8400">
        <v>138</v>
      </c>
    </row>
    <row r="8401" spans="1:8" x14ac:dyDescent="0.3">
      <c r="A8401" s="22" t="s">
        <v>64</v>
      </c>
      <c r="B8401" t="s">
        <v>68</v>
      </c>
      <c r="C8401" s="23">
        <v>6.2830515283737801E-2</v>
      </c>
      <c r="D8401" s="23">
        <v>3.8167938931297697E-2</v>
      </c>
      <c r="E8401" s="23">
        <v>8.0482897384305807E-3</v>
      </c>
      <c r="F8401" s="23">
        <v>0.45454545454545497</v>
      </c>
      <c r="G8401">
        <v>28</v>
      </c>
      <c r="H8401">
        <v>138</v>
      </c>
    </row>
    <row r="8402" spans="1:8" x14ac:dyDescent="0.3">
      <c r="C8402" s="23"/>
      <c r="D8402" s="23"/>
      <c r="E8402" s="23"/>
      <c r="F8402" s="23"/>
    </row>
    <row r="8403" spans="1:8" ht="72" x14ac:dyDescent="0.3">
      <c r="A8403" s="22" t="s">
        <v>1821</v>
      </c>
      <c r="C8403" s="23"/>
      <c r="D8403" s="23"/>
      <c r="E8403" s="23"/>
      <c r="F8403" s="23"/>
    </row>
    <row r="8404" spans="1:8" x14ac:dyDescent="0.3">
      <c r="A8404" s="22" t="s">
        <v>57</v>
      </c>
      <c r="B8404" t="s">
        <v>66</v>
      </c>
      <c r="C8404" s="23" t="s">
        <v>58</v>
      </c>
      <c r="D8404" s="23" t="s">
        <v>59</v>
      </c>
      <c r="E8404" s="23" t="s">
        <v>60</v>
      </c>
      <c r="F8404" s="23" t="s">
        <v>61</v>
      </c>
      <c r="G8404" t="s">
        <v>62</v>
      </c>
      <c r="H8404" t="s">
        <v>63</v>
      </c>
    </row>
    <row r="8405" spans="1:8" x14ac:dyDescent="0.3">
      <c r="A8405" s="22" t="s">
        <v>64</v>
      </c>
      <c r="B8405" t="s">
        <v>67</v>
      </c>
      <c r="C8405" s="23">
        <v>6.6265262694081312E-2</v>
      </c>
      <c r="D8405" s="23">
        <v>4.7619047619047603E-2</v>
      </c>
      <c r="E8405" s="23">
        <v>5.62239964016642E-3</v>
      </c>
      <c r="F8405" s="23">
        <v>1</v>
      </c>
      <c r="G8405">
        <v>107</v>
      </c>
      <c r="H8405">
        <v>138</v>
      </c>
    </row>
    <row r="8406" spans="1:8" x14ac:dyDescent="0.3">
      <c r="A8406" s="22" t="s">
        <v>64</v>
      </c>
      <c r="B8406" t="s">
        <v>68</v>
      </c>
      <c r="C8406" s="23">
        <v>6.3907502676386133E-2</v>
      </c>
      <c r="D8406" s="23">
        <v>4.7619047619047603E-2</v>
      </c>
      <c r="E8406" s="23">
        <v>3.2608695652173898E-3</v>
      </c>
      <c r="F8406" s="23">
        <v>0.45454545454545497</v>
      </c>
      <c r="G8406">
        <v>31</v>
      </c>
      <c r="H8406">
        <v>138</v>
      </c>
    </row>
    <row r="8407" spans="1:8" x14ac:dyDescent="0.3">
      <c r="C8407" s="23"/>
      <c r="D8407" s="23"/>
      <c r="E8407" s="23"/>
      <c r="F8407" s="23"/>
    </row>
    <row r="8408" spans="1:8" ht="72" x14ac:dyDescent="0.3">
      <c r="A8408" s="22" t="s">
        <v>1822</v>
      </c>
      <c r="C8408" s="23"/>
      <c r="D8408" s="23"/>
      <c r="E8408" s="23"/>
      <c r="F8408" s="23"/>
    </row>
    <row r="8409" spans="1:8" x14ac:dyDescent="0.3">
      <c r="A8409" s="22" t="s">
        <v>57</v>
      </c>
      <c r="B8409" t="s">
        <v>66</v>
      </c>
      <c r="C8409" s="23" t="s">
        <v>58</v>
      </c>
      <c r="D8409" s="23" t="s">
        <v>59</v>
      </c>
      <c r="E8409" s="23" t="s">
        <v>60</v>
      </c>
      <c r="F8409" s="23" t="s">
        <v>61</v>
      </c>
      <c r="G8409" t="s">
        <v>62</v>
      </c>
      <c r="H8409" t="s">
        <v>63</v>
      </c>
    </row>
    <row r="8410" spans="1:8" x14ac:dyDescent="0.3">
      <c r="A8410" s="22" t="s">
        <v>64</v>
      </c>
      <c r="B8410" t="s">
        <v>67</v>
      </c>
      <c r="C8410" s="23">
        <v>6.4470569953387083E-2</v>
      </c>
      <c r="D8410" s="23">
        <v>4.6296296296296301E-2</v>
      </c>
      <c r="E8410" s="23">
        <v>3.2608695652173898E-3</v>
      </c>
      <c r="F8410" s="23">
        <v>1</v>
      </c>
      <c r="G8410">
        <v>104</v>
      </c>
      <c r="H8410">
        <v>138</v>
      </c>
    </row>
    <row r="8411" spans="1:8" x14ac:dyDescent="0.3">
      <c r="A8411" s="22" t="s">
        <v>64</v>
      </c>
      <c r="B8411" t="s">
        <v>68</v>
      </c>
      <c r="C8411" s="23">
        <v>6.9605188708306315E-2</v>
      </c>
      <c r="D8411" s="23">
        <v>4.7619047619047603E-2</v>
      </c>
      <c r="E8411" s="23">
        <v>5.62239964016642E-3</v>
      </c>
      <c r="F8411" s="23">
        <v>0.22727272727272699</v>
      </c>
      <c r="G8411">
        <v>34</v>
      </c>
      <c r="H8411">
        <v>138</v>
      </c>
    </row>
    <row r="8412" spans="1:8" x14ac:dyDescent="0.3">
      <c r="C8412" s="23"/>
      <c r="D8412" s="23"/>
      <c r="E8412" s="23"/>
      <c r="F8412" s="23"/>
    </row>
    <row r="8413" spans="1:8" ht="86.4" x14ac:dyDescent="0.3">
      <c r="A8413" s="22" t="s">
        <v>1823</v>
      </c>
      <c r="C8413" s="23"/>
      <c r="D8413" s="23"/>
      <c r="E8413" s="23"/>
      <c r="F8413" s="23"/>
    </row>
    <row r="8414" spans="1:8" x14ac:dyDescent="0.3">
      <c r="A8414" s="22" t="s">
        <v>57</v>
      </c>
      <c r="B8414" t="s">
        <v>66</v>
      </c>
      <c r="C8414" s="23" t="s">
        <v>58</v>
      </c>
      <c r="D8414" s="23" t="s">
        <v>59</v>
      </c>
      <c r="E8414" s="23" t="s">
        <v>60</v>
      </c>
      <c r="F8414" s="23" t="s">
        <v>61</v>
      </c>
      <c r="G8414" t="s">
        <v>62</v>
      </c>
      <c r="H8414" t="s">
        <v>63</v>
      </c>
    </row>
    <row r="8415" spans="1:8" x14ac:dyDescent="0.3">
      <c r="A8415" s="22" t="s">
        <v>64</v>
      </c>
      <c r="B8415" t="s">
        <v>67</v>
      </c>
      <c r="C8415" s="23">
        <v>5.9382050178237618E-2</v>
      </c>
      <c r="D8415" s="23">
        <v>4.6829971181556199E-2</v>
      </c>
      <c r="E8415" s="23">
        <v>3.2608695652173898E-3</v>
      </c>
      <c r="F8415" s="23">
        <v>0.45454545454545497</v>
      </c>
      <c r="G8415">
        <v>129</v>
      </c>
      <c r="H8415">
        <v>138</v>
      </c>
    </row>
    <row r="8416" spans="1:8" x14ac:dyDescent="0.3">
      <c r="A8416" s="22" t="s">
        <v>64</v>
      </c>
      <c r="B8416" t="s">
        <v>68</v>
      </c>
      <c r="C8416" s="23">
        <v>0.1568034686935576</v>
      </c>
      <c r="D8416" s="23">
        <v>5.7142857142857099E-2</v>
      </c>
      <c r="E8416" s="23">
        <v>8.2644628099173608E-3</v>
      </c>
      <c r="F8416" s="23">
        <v>1</v>
      </c>
      <c r="G8416">
        <v>9</v>
      </c>
      <c r="H8416">
        <v>138</v>
      </c>
    </row>
    <row r="8417" spans="1:8" x14ac:dyDescent="0.3">
      <c r="C8417" s="23"/>
      <c r="D8417" s="23"/>
      <c r="E8417" s="23"/>
      <c r="F8417" s="23"/>
    </row>
    <row r="8418" spans="1:8" ht="86.4" x14ac:dyDescent="0.3">
      <c r="A8418" s="22" t="s">
        <v>1824</v>
      </c>
      <c r="C8418" s="23"/>
      <c r="D8418" s="23"/>
      <c r="E8418" s="23"/>
      <c r="F8418" s="23"/>
    </row>
    <row r="8419" spans="1:8" x14ac:dyDescent="0.3">
      <c r="A8419" s="22" t="s">
        <v>57</v>
      </c>
      <c r="B8419" t="s">
        <v>66</v>
      </c>
      <c r="C8419" s="23" t="s">
        <v>58</v>
      </c>
      <c r="D8419" s="23" t="s">
        <v>59</v>
      </c>
      <c r="E8419" s="23" t="s">
        <v>60</v>
      </c>
      <c r="F8419" s="23" t="s">
        <v>61</v>
      </c>
      <c r="G8419" t="s">
        <v>62</v>
      </c>
      <c r="H8419" t="s">
        <v>63</v>
      </c>
    </row>
    <row r="8420" spans="1:8" x14ac:dyDescent="0.3">
      <c r="A8420" s="22" t="s">
        <v>64</v>
      </c>
      <c r="B8420" t="s">
        <v>67</v>
      </c>
      <c r="C8420" s="23">
        <v>6.573562095097589E-2</v>
      </c>
      <c r="D8420" s="23">
        <v>4.6829971181556199E-2</v>
      </c>
      <c r="E8420" s="23">
        <v>3.2608695652173898E-3</v>
      </c>
      <c r="F8420" s="23">
        <v>1</v>
      </c>
      <c r="G8420">
        <v>138</v>
      </c>
      <c r="H8420">
        <v>138</v>
      </c>
    </row>
    <row r="8421" spans="1:8" x14ac:dyDescent="0.3">
      <c r="C8421" s="23"/>
      <c r="D8421" s="23"/>
      <c r="E8421" s="23"/>
      <c r="F8421" s="23"/>
    </row>
    <row r="8422" spans="1:8" ht="72" x14ac:dyDescent="0.3">
      <c r="A8422" s="22" t="s">
        <v>1825</v>
      </c>
      <c r="C8422" s="23"/>
      <c r="D8422" s="23"/>
      <c r="E8422" s="23"/>
      <c r="F8422" s="23"/>
    </row>
    <row r="8423" spans="1:8" x14ac:dyDescent="0.3">
      <c r="A8423" s="22" t="s">
        <v>57</v>
      </c>
      <c r="B8423" t="s">
        <v>66</v>
      </c>
      <c r="C8423" s="23" t="s">
        <v>58</v>
      </c>
      <c r="D8423" s="23" t="s">
        <v>59</v>
      </c>
      <c r="E8423" s="23" t="s">
        <v>60</v>
      </c>
      <c r="F8423" s="23" t="s">
        <v>61</v>
      </c>
      <c r="G8423" t="s">
        <v>62</v>
      </c>
      <c r="H8423" t="s">
        <v>63</v>
      </c>
    </row>
    <row r="8424" spans="1:8" x14ac:dyDescent="0.3">
      <c r="A8424" s="22" t="s">
        <v>64</v>
      </c>
      <c r="B8424" t="s">
        <v>67</v>
      </c>
      <c r="C8424" s="23">
        <v>6.3453612187543251E-2</v>
      </c>
      <c r="D8424" s="23">
        <v>4.8780487804878099E-2</v>
      </c>
      <c r="E8424" s="23">
        <v>5.62239964016642E-3</v>
      </c>
      <c r="F8424" s="23">
        <v>0.45454545454545497</v>
      </c>
      <c r="G8424">
        <v>90</v>
      </c>
      <c r="H8424">
        <v>138</v>
      </c>
    </row>
    <row r="8425" spans="1:8" x14ac:dyDescent="0.3">
      <c r="A8425" s="22" t="s">
        <v>64</v>
      </c>
      <c r="B8425" t="s">
        <v>68</v>
      </c>
      <c r="C8425" s="23">
        <v>7.0014387382412058E-2</v>
      </c>
      <c r="D8425" s="23">
        <v>3.7433155080213901E-2</v>
      </c>
      <c r="E8425" s="23">
        <v>3.2608695652173898E-3</v>
      </c>
      <c r="F8425" s="23">
        <v>1</v>
      </c>
      <c r="G8425">
        <v>48</v>
      </c>
      <c r="H8425">
        <v>138</v>
      </c>
    </row>
    <row r="8426" spans="1:8" x14ac:dyDescent="0.3">
      <c r="C8426" s="23"/>
      <c r="D8426" s="23"/>
      <c r="E8426" s="23"/>
      <c r="F8426" s="23"/>
    </row>
    <row r="8427" spans="1:8" ht="86.4" x14ac:dyDescent="0.3">
      <c r="A8427" s="22" t="s">
        <v>1826</v>
      </c>
      <c r="C8427" s="23"/>
      <c r="D8427" s="23"/>
      <c r="E8427" s="23"/>
      <c r="F8427" s="23"/>
    </row>
    <row r="8428" spans="1:8" x14ac:dyDescent="0.3">
      <c r="A8428" s="22" t="s">
        <v>57</v>
      </c>
      <c r="B8428" t="s">
        <v>66</v>
      </c>
      <c r="C8428" s="23" t="s">
        <v>58</v>
      </c>
      <c r="D8428" s="23" t="s">
        <v>59</v>
      </c>
      <c r="E8428" s="23" t="s">
        <v>60</v>
      </c>
      <c r="F8428" s="23" t="s">
        <v>61</v>
      </c>
      <c r="G8428" t="s">
        <v>62</v>
      </c>
      <c r="H8428" t="s">
        <v>63</v>
      </c>
    </row>
    <row r="8429" spans="1:8" x14ac:dyDescent="0.3">
      <c r="A8429" s="22" t="s">
        <v>64</v>
      </c>
      <c r="B8429" t="s">
        <v>67</v>
      </c>
      <c r="C8429" s="23">
        <v>6.8626256571177172E-2</v>
      </c>
      <c r="D8429" s="23">
        <v>4.7619047619047603E-2</v>
      </c>
      <c r="E8429" s="23">
        <v>3.2608695652173898E-3</v>
      </c>
      <c r="F8429" s="23">
        <v>1</v>
      </c>
      <c r="G8429">
        <v>124</v>
      </c>
      <c r="H8429">
        <v>138</v>
      </c>
    </row>
    <row r="8430" spans="1:8" x14ac:dyDescent="0.3">
      <c r="A8430" s="22" t="s">
        <v>64</v>
      </c>
      <c r="B8430" t="s">
        <v>68</v>
      </c>
      <c r="C8430" s="23">
        <v>4.0132848314907377E-2</v>
      </c>
      <c r="D8430" s="23">
        <v>3.7267080745341602E-2</v>
      </c>
      <c r="E8430" s="23">
        <v>5.62239964016642E-3</v>
      </c>
      <c r="F8430" s="23">
        <v>9.6774193548387094E-2</v>
      </c>
      <c r="G8430">
        <v>14</v>
      </c>
      <c r="H8430">
        <v>138</v>
      </c>
    </row>
    <row r="8431" spans="1:8" x14ac:dyDescent="0.3">
      <c r="C8431" s="23"/>
      <c r="D8431" s="23"/>
      <c r="E8431" s="23"/>
      <c r="F8431" s="23"/>
    </row>
    <row r="8432" spans="1:8" ht="72" x14ac:dyDescent="0.3">
      <c r="A8432" s="22" t="s">
        <v>1827</v>
      </c>
      <c r="C8432" s="23"/>
      <c r="D8432" s="23"/>
      <c r="E8432" s="23"/>
      <c r="F8432" s="23"/>
    </row>
    <row r="8433" spans="1:8" x14ac:dyDescent="0.3">
      <c r="A8433" s="22" t="s">
        <v>57</v>
      </c>
      <c r="B8433" t="s">
        <v>66</v>
      </c>
      <c r="C8433" s="23" t="s">
        <v>58</v>
      </c>
      <c r="D8433" s="23" t="s">
        <v>59</v>
      </c>
      <c r="E8433" s="23" t="s">
        <v>60</v>
      </c>
      <c r="F8433" s="23" t="s">
        <v>61</v>
      </c>
      <c r="G8433" t="s">
        <v>62</v>
      </c>
      <c r="H8433" t="s">
        <v>63</v>
      </c>
    </row>
    <row r="8434" spans="1:8" x14ac:dyDescent="0.3">
      <c r="A8434" s="22" t="s">
        <v>64</v>
      </c>
      <c r="B8434" t="s">
        <v>81</v>
      </c>
      <c r="C8434" s="23">
        <v>5.3468088698488403E-2</v>
      </c>
      <c r="D8434" s="23">
        <v>4.5977011494252901E-2</v>
      </c>
      <c r="E8434" s="23">
        <v>3.2608695652173898E-3</v>
      </c>
      <c r="F8434" s="23">
        <v>0.16</v>
      </c>
      <c r="G8434">
        <v>42</v>
      </c>
      <c r="H8434">
        <v>138</v>
      </c>
    </row>
    <row r="8435" spans="1:8" x14ac:dyDescent="0.3">
      <c r="A8435" s="22" t="s">
        <v>64</v>
      </c>
      <c r="B8435" t="s">
        <v>82</v>
      </c>
      <c r="C8435" s="23">
        <v>7.1782729810709822E-2</v>
      </c>
      <c r="D8435" s="23">
        <v>4.0852575488454702E-2</v>
      </c>
      <c r="E8435" s="23">
        <v>5.62239964016642E-3</v>
      </c>
      <c r="F8435" s="23">
        <v>0.45454545454545497</v>
      </c>
      <c r="G8435">
        <v>34</v>
      </c>
      <c r="H8435">
        <v>138</v>
      </c>
    </row>
    <row r="8436" spans="1:8" x14ac:dyDescent="0.3">
      <c r="A8436" s="22" t="s">
        <v>64</v>
      </c>
      <c r="B8436" t="s">
        <v>83</v>
      </c>
      <c r="C8436" s="23">
        <v>5.4545972076483241E-2</v>
      </c>
      <c r="D8436" s="23">
        <v>5.4054054054054099E-2</v>
      </c>
      <c r="E8436" s="23">
        <v>6.25558534405719E-3</v>
      </c>
      <c r="F8436" s="23">
        <v>0.125</v>
      </c>
      <c r="G8436">
        <v>33</v>
      </c>
      <c r="H8436">
        <v>138</v>
      </c>
    </row>
    <row r="8437" spans="1:8" x14ac:dyDescent="0.3">
      <c r="A8437" s="22" t="s">
        <v>64</v>
      </c>
      <c r="B8437" t="s">
        <v>84</v>
      </c>
      <c r="C8437" s="23">
        <v>8.9145726683106094E-2</v>
      </c>
      <c r="D8437" s="23">
        <v>4.6829971181556199E-2</v>
      </c>
      <c r="E8437" s="23">
        <v>1.5151515151515201E-2</v>
      </c>
      <c r="F8437" s="23">
        <v>1</v>
      </c>
      <c r="G8437">
        <v>29</v>
      </c>
      <c r="H8437">
        <v>138</v>
      </c>
    </row>
    <row r="8439" spans="1:8" ht="57.6" x14ac:dyDescent="0.3">
      <c r="A8439" s="22" t="s">
        <v>1828</v>
      </c>
    </row>
    <row r="8440" spans="1:8" x14ac:dyDescent="0.3">
      <c r="A8440" s="22" t="s">
        <v>57</v>
      </c>
      <c r="B8440" t="s">
        <v>58</v>
      </c>
      <c r="C8440" t="s">
        <v>59</v>
      </c>
      <c r="D8440" t="s">
        <v>60</v>
      </c>
      <c r="E8440" t="s">
        <v>61</v>
      </c>
      <c r="F8440" t="s">
        <v>62</v>
      </c>
      <c r="G8440" t="s">
        <v>63</v>
      </c>
    </row>
    <row r="8441" spans="1:8" x14ac:dyDescent="0.3">
      <c r="A8441" s="22" t="s">
        <v>64</v>
      </c>
      <c r="B8441" s="23">
        <v>0.13409628372128329</v>
      </c>
      <c r="C8441" s="23">
        <v>2.32558139534884E-2</v>
      </c>
      <c r="D8441" s="23">
        <v>1.41342756183746E-2</v>
      </c>
      <c r="E8441" s="23">
        <v>0.76335877862595403</v>
      </c>
      <c r="F8441">
        <v>12</v>
      </c>
      <c r="G8441">
        <v>12</v>
      </c>
    </row>
    <row r="8442" spans="1:8" x14ac:dyDescent="0.3">
      <c r="C8442" s="23"/>
      <c r="D8442" s="23"/>
      <c r="E8442" s="23"/>
      <c r="F8442" s="23"/>
    </row>
    <row r="8443" spans="1:8" ht="72" x14ac:dyDescent="0.3">
      <c r="A8443" s="22" t="s">
        <v>1829</v>
      </c>
      <c r="C8443" s="23"/>
      <c r="D8443" s="23"/>
      <c r="E8443" s="23"/>
      <c r="F8443" s="23"/>
    </row>
    <row r="8444" spans="1:8" x14ac:dyDescent="0.3">
      <c r="A8444" s="22" t="s">
        <v>57</v>
      </c>
      <c r="B8444" t="s">
        <v>66</v>
      </c>
      <c r="C8444" s="23" t="s">
        <v>58</v>
      </c>
      <c r="D8444" s="23" t="s">
        <v>59</v>
      </c>
      <c r="E8444" s="23" t="s">
        <v>60</v>
      </c>
      <c r="F8444" s="23" t="s">
        <v>61</v>
      </c>
      <c r="G8444" t="s">
        <v>62</v>
      </c>
      <c r="H8444" t="s">
        <v>63</v>
      </c>
    </row>
    <row r="8445" spans="1:8" x14ac:dyDescent="0.3">
      <c r="A8445" s="22" t="s">
        <v>64</v>
      </c>
      <c r="B8445" t="s">
        <v>67</v>
      </c>
      <c r="C8445" s="23">
        <v>0.14498193978815949</v>
      </c>
      <c r="D8445" s="23">
        <v>5.2083333333333301E-2</v>
      </c>
      <c r="E8445" s="23">
        <v>1.41342756183746E-2</v>
      </c>
      <c r="F8445" s="23">
        <v>0.76335877862595403</v>
      </c>
      <c r="G8445">
        <v>11</v>
      </c>
      <c r="H8445">
        <v>12</v>
      </c>
    </row>
    <row r="8446" spans="1:8" x14ac:dyDescent="0.3">
      <c r="A8446" s="22" t="s">
        <v>64</v>
      </c>
      <c r="B8446" t="s">
        <v>68</v>
      </c>
      <c r="C8446" s="23">
        <v>1.43540669856459E-2</v>
      </c>
      <c r="D8446" s="23">
        <v>1.43540669856459E-2</v>
      </c>
      <c r="E8446" s="23">
        <v>1.43540669856459E-2</v>
      </c>
      <c r="F8446" s="23">
        <v>1.43540669856459E-2</v>
      </c>
      <c r="G8446">
        <v>1</v>
      </c>
      <c r="H8446">
        <v>12</v>
      </c>
    </row>
    <row r="8447" spans="1:8" x14ac:dyDescent="0.3">
      <c r="C8447" s="23"/>
      <c r="D8447" s="23"/>
      <c r="E8447" s="23"/>
      <c r="F8447" s="23"/>
    </row>
    <row r="8448" spans="1:8" x14ac:dyDescent="0.3">
      <c r="A8448"/>
      <c r="C8448" s="23"/>
      <c r="D8448" s="23"/>
      <c r="E8448" s="23"/>
      <c r="F8448" s="23"/>
    </row>
    <row r="8449" spans="1:8" x14ac:dyDescent="0.3">
      <c r="A8449"/>
      <c r="C8449" s="23"/>
      <c r="D8449" s="23"/>
      <c r="E8449" s="23"/>
      <c r="F8449" s="23"/>
    </row>
    <row r="8450" spans="1:8" x14ac:dyDescent="0.3">
      <c r="A8450"/>
      <c r="C8450" s="23"/>
      <c r="D8450" s="23"/>
      <c r="E8450" s="23"/>
      <c r="F8450" s="23"/>
    </row>
    <row r="8451" spans="1:8" x14ac:dyDescent="0.3">
      <c r="C8451" s="23"/>
      <c r="D8451" s="23"/>
      <c r="E8451" s="23"/>
      <c r="F8451" s="23"/>
    </row>
    <row r="8452" spans="1:8" ht="72" x14ac:dyDescent="0.3">
      <c r="A8452" s="22" t="s">
        <v>1830</v>
      </c>
      <c r="C8452" s="23"/>
      <c r="D8452" s="23"/>
      <c r="E8452" s="23"/>
      <c r="F8452" s="23"/>
    </row>
    <row r="8453" spans="1:8" x14ac:dyDescent="0.3">
      <c r="A8453" s="22" t="s">
        <v>57</v>
      </c>
      <c r="B8453" t="s">
        <v>66</v>
      </c>
      <c r="C8453" s="23" t="s">
        <v>58</v>
      </c>
      <c r="D8453" s="23" t="s">
        <v>59</v>
      </c>
      <c r="E8453" s="23" t="s">
        <v>60</v>
      </c>
      <c r="F8453" s="23" t="s">
        <v>61</v>
      </c>
      <c r="G8453" t="s">
        <v>62</v>
      </c>
      <c r="H8453" t="s">
        <v>63</v>
      </c>
    </row>
    <row r="8454" spans="1:8" x14ac:dyDescent="0.3">
      <c r="A8454" s="22" t="s">
        <v>64</v>
      </c>
      <c r="B8454" t="s">
        <v>67</v>
      </c>
      <c r="C8454" s="23">
        <v>0.13409628372128329</v>
      </c>
      <c r="D8454" s="23">
        <v>2.32558139534884E-2</v>
      </c>
      <c r="E8454" s="23">
        <v>1.41342756183746E-2</v>
      </c>
      <c r="F8454" s="23">
        <v>0.76335877862595403</v>
      </c>
      <c r="G8454">
        <v>12</v>
      </c>
      <c r="H8454">
        <v>12</v>
      </c>
    </row>
    <row r="8455" spans="1:8" x14ac:dyDescent="0.3">
      <c r="C8455" s="23"/>
      <c r="D8455" s="23"/>
      <c r="E8455" s="23"/>
      <c r="F8455" s="23"/>
    </row>
    <row r="8456" spans="1:8" ht="72" x14ac:dyDescent="0.3">
      <c r="A8456" s="22" t="s">
        <v>1831</v>
      </c>
      <c r="C8456" s="23"/>
      <c r="D8456" s="23"/>
      <c r="E8456" s="23"/>
      <c r="F8456" s="23"/>
    </row>
    <row r="8457" spans="1:8" x14ac:dyDescent="0.3">
      <c r="A8457" s="22" t="s">
        <v>57</v>
      </c>
      <c r="B8457" t="s">
        <v>66</v>
      </c>
      <c r="C8457" s="23" t="s">
        <v>58</v>
      </c>
      <c r="D8457" s="23" t="s">
        <v>59</v>
      </c>
      <c r="E8457" s="23" t="s">
        <v>60</v>
      </c>
      <c r="F8457" s="23" t="s">
        <v>61</v>
      </c>
      <c r="G8457" t="s">
        <v>62</v>
      </c>
      <c r="H8457" t="s">
        <v>63</v>
      </c>
    </row>
    <row r="8458" spans="1:8" x14ac:dyDescent="0.3">
      <c r="A8458" s="22" t="s">
        <v>64</v>
      </c>
      <c r="B8458" t="s">
        <v>67</v>
      </c>
      <c r="C8458" s="23">
        <v>0.13409628372128329</v>
      </c>
      <c r="D8458" s="23">
        <v>2.32558139534884E-2</v>
      </c>
      <c r="E8458" s="23">
        <v>1.41342756183746E-2</v>
      </c>
      <c r="F8458" s="23">
        <v>0.76335877862595403</v>
      </c>
      <c r="G8458">
        <v>12</v>
      </c>
      <c r="H8458">
        <v>12</v>
      </c>
    </row>
    <row r="8459" spans="1:8" x14ac:dyDescent="0.3">
      <c r="C8459" s="23"/>
      <c r="D8459" s="23"/>
      <c r="E8459" s="23"/>
      <c r="F8459" s="23"/>
    </row>
    <row r="8460" spans="1:8" ht="72" x14ac:dyDescent="0.3">
      <c r="A8460" s="22" t="s">
        <v>1832</v>
      </c>
      <c r="C8460" s="23"/>
      <c r="D8460" s="23"/>
      <c r="E8460" s="23"/>
      <c r="F8460" s="23"/>
    </row>
    <row r="8461" spans="1:8" x14ac:dyDescent="0.3">
      <c r="A8461" s="22" t="s">
        <v>57</v>
      </c>
      <c r="B8461" t="s">
        <v>66</v>
      </c>
      <c r="C8461" s="23" t="s">
        <v>58</v>
      </c>
      <c r="D8461" s="23" t="s">
        <v>59</v>
      </c>
      <c r="E8461" s="23" t="s">
        <v>60</v>
      </c>
      <c r="F8461" s="23" t="s">
        <v>61</v>
      </c>
      <c r="G8461" t="s">
        <v>62</v>
      </c>
      <c r="H8461" t="s">
        <v>63</v>
      </c>
    </row>
    <row r="8462" spans="1:8" x14ac:dyDescent="0.3">
      <c r="A8462" s="22" t="s">
        <v>64</v>
      </c>
      <c r="B8462" t="s">
        <v>67</v>
      </c>
      <c r="C8462" s="23">
        <v>0.1095559091468178</v>
      </c>
      <c r="D8462" s="23">
        <v>4.4609665427509299E-2</v>
      </c>
      <c r="E8462" s="23">
        <v>1.41342756183746E-2</v>
      </c>
      <c r="F8462" s="23">
        <v>0.76335877862595403</v>
      </c>
      <c r="G8462">
        <v>11</v>
      </c>
      <c r="H8462">
        <v>12</v>
      </c>
    </row>
    <row r="8463" spans="1:8" x14ac:dyDescent="0.3">
      <c r="A8463" s="22" t="s">
        <v>64</v>
      </c>
      <c r="B8463" t="s">
        <v>68</v>
      </c>
      <c r="C8463" s="23">
        <v>0.40404040404040398</v>
      </c>
      <c r="D8463" s="23">
        <v>0.40404040404040398</v>
      </c>
      <c r="E8463" s="23">
        <v>0.40404040404040398</v>
      </c>
      <c r="F8463" s="23">
        <v>0.40404040404040398</v>
      </c>
      <c r="G8463">
        <v>1</v>
      </c>
      <c r="H8463">
        <v>12</v>
      </c>
    </row>
    <row r="8464" spans="1:8" x14ac:dyDescent="0.3">
      <c r="C8464" s="23"/>
      <c r="D8464" s="23"/>
      <c r="E8464" s="23"/>
      <c r="F8464" s="23"/>
    </row>
    <row r="8465" spans="1:8" ht="72" x14ac:dyDescent="0.3">
      <c r="A8465" s="22" t="s">
        <v>1833</v>
      </c>
      <c r="C8465" s="23"/>
      <c r="D8465" s="23"/>
      <c r="E8465" s="23"/>
      <c r="F8465" s="23"/>
    </row>
    <row r="8466" spans="1:8" x14ac:dyDescent="0.3">
      <c r="A8466" s="22" t="s">
        <v>57</v>
      </c>
      <c r="B8466" t="s">
        <v>66</v>
      </c>
      <c r="C8466" s="23" t="s">
        <v>58</v>
      </c>
      <c r="D8466" s="23" t="s">
        <v>59</v>
      </c>
      <c r="E8466" s="23" t="s">
        <v>60</v>
      </c>
      <c r="F8466" s="23" t="s">
        <v>61</v>
      </c>
      <c r="G8466" t="s">
        <v>62</v>
      </c>
      <c r="H8466" t="s">
        <v>63</v>
      </c>
    </row>
    <row r="8467" spans="1:8" x14ac:dyDescent="0.3">
      <c r="A8467" s="22" t="s">
        <v>64</v>
      </c>
      <c r="B8467" t="s">
        <v>68</v>
      </c>
      <c r="C8467" s="23">
        <v>0.13409628372128329</v>
      </c>
      <c r="D8467" s="23">
        <v>2.32558139534884E-2</v>
      </c>
      <c r="E8467" s="23">
        <v>1.41342756183746E-2</v>
      </c>
      <c r="F8467" s="23">
        <v>0.76335877862595403</v>
      </c>
      <c r="G8467">
        <v>12</v>
      </c>
      <c r="H8467">
        <v>12</v>
      </c>
    </row>
    <row r="8468" spans="1:8" x14ac:dyDescent="0.3">
      <c r="C8468" s="23"/>
      <c r="D8468" s="23"/>
      <c r="E8468" s="23"/>
      <c r="F8468" s="23"/>
    </row>
    <row r="8469" spans="1:8" ht="72" x14ac:dyDescent="0.3">
      <c r="A8469" s="22" t="s">
        <v>1834</v>
      </c>
      <c r="C8469" s="23"/>
      <c r="D8469" s="23"/>
      <c r="E8469" s="23"/>
      <c r="F8469" s="23"/>
    </row>
    <row r="8470" spans="1:8" x14ac:dyDescent="0.3">
      <c r="A8470" s="22" t="s">
        <v>57</v>
      </c>
      <c r="B8470" t="s">
        <v>66</v>
      </c>
      <c r="C8470" s="23" t="s">
        <v>58</v>
      </c>
      <c r="D8470" s="23" t="s">
        <v>59</v>
      </c>
      <c r="E8470" s="23" t="s">
        <v>60</v>
      </c>
      <c r="F8470" s="23" t="s">
        <v>61</v>
      </c>
      <c r="G8470" t="s">
        <v>62</v>
      </c>
      <c r="H8470" t="s">
        <v>63</v>
      </c>
    </row>
    <row r="8471" spans="1:8" x14ac:dyDescent="0.3">
      <c r="A8471" s="22" t="s">
        <v>64</v>
      </c>
      <c r="B8471" t="s">
        <v>67</v>
      </c>
      <c r="C8471" s="23">
        <v>7.6890602366313288E-2</v>
      </c>
      <c r="D8471" s="23">
        <v>4.4609665427509299E-2</v>
      </c>
      <c r="E8471" s="23">
        <v>1.41342756183746E-2</v>
      </c>
      <c r="F8471" s="23">
        <v>0.40404040404040398</v>
      </c>
      <c r="G8471">
        <v>11</v>
      </c>
      <c r="H8471">
        <v>12</v>
      </c>
    </row>
    <row r="8472" spans="1:8" x14ac:dyDescent="0.3">
      <c r="A8472" s="22" t="s">
        <v>64</v>
      </c>
      <c r="B8472" t="s">
        <v>68</v>
      </c>
      <c r="C8472" s="23">
        <v>0.76335877862595403</v>
      </c>
      <c r="D8472" s="23">
        <v>0.76335877862595403</v>
      </c>
      <c r="E8472" s="23">
        <v>0.76335877862595403</v>
      </c>
      <c r="F8472" s="23">
        <v>0.76335877862595403</v>
      </c>
      <c r="G8472">
        <v>1</v>
      </c>
      <c r="H8472">
        <v>12</v>
      </c>
    </row>
    <row r="8473" spans="1:8" x14ac:dyDescent="0.3">
      <c r="C8473" s="23"/>
      <c r="D8473" s="23"/>
      <c r="E8473" s="23"/>
      <c r="F8473" s="23"/>
    </row>
    <row r="8474" spans="1:8" ht="72" x14ac:dyDescent="0.3">
      <c r="A8474" s="22" t="s">
        <v>1835</v>
      </c>
      <c r="C8474" s="23"/>
      <c r="D8474" s="23"/>
      <c r="E8474" s="23"/>
      <c r="F8474" s="23"/>
    </row>
    <row r="8475" spans="1:8" x14ac:dyDescent="0.3">
      <c r="A8475" s="22" t="s">
        <v>57</v>
      </c>
      <c r="B8475" t="s">
        <v>66</v>
      </c>
      <c r="C8475" s="23" t="s">
        <v>58</v>
      </c>
      <c r="D8475" s="23" t="s">
        <v>59</v>
      </c>
      <c r="E8475" s="23" t="s">
        <v>60</v>
      </c>
      <c r="F8475" s="23" t="s">
        <v>61</v>
      </c>
      <c r="G8475" t="s">
        <v>62</v>
      </c>
      <c r="H8475" t="s">
        <v>63</v>
      </c>
    </row>
    <row r="8476" spans="1:8" x14ac:dyDescent="0.3">
      <c r="A8476" s="22" t="s">
        <v>64</v>
      </c>
      <c r="B8476" t="s">
        <v>67</v>
      </c>
      <c r="C8476" s="23">
        <v>0.2166789717286968</v>
      </c>
      <c r="D8476" s="23">
        <v>4.4609665427509299E-2</v>
      </c>
      <c r="E8476" s="23">
        <v>1.4367816091954E-2</v>
      </c>
      <c r="F8476" s="23">
        <v>0.76335877862595403</v>
      </c>
      <c r="G8476">
        <v>6</v>
      </c>
      <c r="H8476">
        <v>12</v>
      </c>
    </row>
    <row r="8477" spans="1:8" x14ac:dyDescent="0.3">
      <c r="A8477" s="22" t="s">
        <v>64</v>
      </c>
      <c r="B8477" t="s">
        <v>68</v>
      </c>
      <c r="C8477" s="23">
        <v>5.1513595713869952E-2</v>
      </c>
      <c r="D8477" s="23">
        <v>1.72413793103448E-2</v>
      </c>
      <c r="E8477" s="23">
        <v>1.41342756183746E-2</v>
      </c>
      <c r="F8477" s="23">
        <v>0.122448979591837</v>
      </c>
      <c r="G8477">
        <v>6</v>
      </c>
      <c r="H8477">
        <v>12</v>
      </c>
    </row>
    <row r="8478" spans="1:8" x14ac:dyDescent="0.3">
      <c r="C8478" s="23"/>
      <c r="D8478" s="23"/>
      <c r="E8478" s="23"/>
      <c r="F8478" s="23"/>
    </row>
    <row r="8479" spans="1:8" ht="72" x14ac:dyDescent="0.3">
      <c r="A8479" s="22" t="s">
        <v>1836</v>
      </c>
      <c r="C8479" s="23"/>
      <c r="D8479" s="23"/>
      <c r="E8479" s="23"/>
      <c r="F8479" s="23"/>
    </row>
    <row r="8480" spans="1:8" x14ac:dyDescent="0.3">
      <c r="A8480" s="22" t="s">
        <v>57</v>
      </c>
      <c r="B8480" t="s">
        <v>66</v>
      </c>
      <c r="C8480" s="23" t="s">
        <v>58</v>
      </c>
      <c r="D8480" s="23" t="s">
        <v>59</v>
      </c>
      <c r="E8480" s="23" t="s">
        <v>60</v>
      </c>
      <c r="F8480" s="23" t="s">
        <v>61</v>
      </c>
      <c r="G8480" t="s">
        <v>62</v>
      </c>
      <c r="H8480" t="s">
        <v>63</v>
      </c>
    </row>
    <row r="8481" spans="1:8" x14ac:dyDescent="0.3">
      <c r="A8481" s="22" t="s">
        <v>64</v>
      </c>
      <c r="B8481" t="s">
        <v>67</v>
      </c>
      <c r="C8481" s="23">
        <v>0.25569199950383092</v>
      </c>
      <c r="D8481" s="23">
        <v>0.40404040404040398</v>
      </c>
      <c r="E8481" s="23">
        <v>1.4367816091954E-2</v>
      </c>
      <c r="F8481" s="23">
        <v>0.76335877862595403</v>
      </c>
      <c r="G8481">
        <v>5</v>
      </c>
      <c r="H8481">
        <v>12</v>
      </c>
    </row>
    <row r="8482" spans="1:8" x14ac:dyDescent="0.3">
      <c r="A8482" s="22" t="s">
        <v>64</v>
      </c>
      <c r="B8482" t="s">
        <v>68</v>
      </c>
      <c r="C8482" s="23">
        <v>4.724220101946365E-2</v>
      </c>
      <c r="D8482" s="23">
        <v>2.32558139534884E-2</v>
      </c>
      <c r="E8482" s="23">
        <v>1.41342756183746E-2</v>
      </c>
      <c r="F8482" s="23">
        <v>0.122448979591837</v>
      </c>
      <c r="G8482">
        <v>7</v>
      </c>
      <c r="H8482">
        <v>12</v>
      </c>
    </row>
    <row r="8483" spans="1:8" x14ac:dyDescent="0.3">
      <c r="C8483" s="23"/>
      <c r="D8483" s="23"/>
      <c r="E8483" s="23"/>
      <c r="F8483" s="23"/>
    </row>
    <row r="8484" spans="1:8" ht="86.4" x14ac:dyDescent="0.3">
      <c r="A8484" s="22" t="s">
        <v>1837</v>
      </c>
      <c r="C8484" s="23"/>
      <c r="D8484" s="23"/>
      <c r="E8484" s="23"/>
      <c r="F8484" s="23"/>
    </row>
    <row r="8485" spans="1:8" x14ac:dyDescent="0.3">
      <c r="A8485" s="22" t="s">
        <v>57</v>
      </c>
      <c r="B8485" t="s">
        <v>66</v>
      </c>
      <c r="C8485" s="23" t="s">
        <v>58</v>
      </c>
      <c r="D8485" s="23" t="s">
        <v>59</v>
      </c>
      <c r="E8485" s="23" t="s">
        <v>60</v>
      </c>
      <c r="F8485" s="23" t="s">
        <v>61</v>
      </c>
      <c r="G8485" t="s">
        <v>62</v>
      </c>
      <c r="H8485" t="s">
        <v>63</v>
      </c>
    </row>
    <row r="8486" spans="1:8" x14ac:dyDescent="0.3">
      <c r="A8486" s="22" t="s">
        <v>64</v>
      </c>
      <c r="B8486" t="s">
        <v>67</v>
      </c>
      <c r="C8486" s="23">
        <v>0.1095559091468178</v>
      </c>
      <c r="D8486" s="23">
        <v>4.4609665427509299E-2</v>
      </c>
      <c r="E8486" s="23">
        <v>1.41342756183746E-2</v>
      </c>
      <c r="F8486" s="23">
        <v>0.76335877862595403</v>
      </c>
      <c r="G8486">
        <v>11</v>
      </c>
      <c r="H8486">
        <v>12</v>
      </c>
    </row>
    <row r="8487" spans="1:8" x14ac:dyDescent="0.3">
      <c r="A8487" s="22" t="s">
        <v>64</v>
      </c>
      <c r="B8487" t="s">
        <v>68</v>
      </c>
      <c r="C8487" s="23">
        <v>0.40404040404040398</v>
      </c>
      <c r="D8487" s="23">
        <v>0.40404040404040398</v>
      </c>
      <c r="E8487" s="23">
        <v>0.40404040404040398</v>
      </c>
      <c r="F8487" s="23">
        <v>0.40404040404040398</v>
      </c>
      <c r="G8487">
        <v>1</v>
      </c>
      <c r="H8487">
        <v>12</v>
      </c>
    </row>
    <row r="8488" spans="1:8" x14ac:dyDescent="0.3">
      <c r="C8488" s="23"/>
      <c r="D8488" s="23"/>
      <c r="E8488" s="23"/>
      <c r="F8488" s="23"/>
    </row>
    <row r="8489" spans="1:8" ht="86.4" x14ac:dyDescent="0.3">
      <c r="A8489" s="22" t="s">
        <v>1838</v>
      </c>
      <c r="C8489" s="23"/>
      <c r="D8489" s="23"/>
      <c r="E8489" s="23"/>
      <c r="F8489" s="23"/>
    </row>
    <row r="8490" spans="1:8" x14ac:dyDescent="0.3">
      <c r="A8490" s="22" t="s">
        <v>57</v>
      </c>
      <c r="B8490" t="s">
        <v>66</v>
      </c>
      <c r="C8490" s="23" t="s">
        <v>58</v>
      </c>
      <c r="D8490" s="23" t="s">
        <v>59</v>
      </c>
      <c r="E8490" s="23" t="s">
        <v>60</v>
      </c>
      <c r="F8490" s="23" t="s">
        <v>61</v>
      </c>
      <c r="G8490" t="s">
        <v>62</v>
      </c>
      <c r="H8490" t="s">
        <v>63</v>
      </c>
    </row>
    <row r="8491" spans="1:8" x14ac:dyDescent="0.3">
      <c r="A8491" s="22" t="s">
        <v>64</v>
      </c>
      <c r="B8491" t="s">
        <v>67</v>
      </c>
      <c r="C8491" s="23">
        <v>0.13409628372128329</v>
      </c>
      <c r="D8491" s="23">
        <v>2.32558139534884E-2</v>
      </c>
      <c r="E8491" s="23">
        <v>1.41342756183746E-2</v>
      </c>
      <c r="F8491" s="23">
        <v>0.76335877862595403</v>
      </c>
      <c r="G8491">
        <v>12</v>
      </c>
      <c r="H8491">
        <v>12</v>
      </c>
    </row>
    <row r="8492" spans="1:8" x14ac:dyDescent="0.3">
      <c r="C8492" s="23"/>
      <c r="D8492" s="23"/>
      <c r="E8492" s="23"/>
      <c r="F8492" s="23"/>
    </row>
    <row r="8493" spans="1:8" ht="72" x14ac:dyDescent="0.3">
      <c r="A8493" s="22" t="s">
        <v>1839</v>
      </c>
      <c r="C8493" s="23"/>
      <c r="D8493" s="23"/>
      <c r="E8493" s="23"/>
      <c r="F8493" s="23"/>
    </row>
    <row r="8494" spans="1:8" x14ac:dyDescent="0.3">
      <c r="A8494" s="22" t="s">
        <v>57</v>
      </c>
      <c r="B8494" t="s">
        <v>66</v>
      </c>
      <c r="C8494" s="23" t="s">
        <v>58</v>
      </c>
      <c r="D8494" s="23" t="s">
        <v>59</v>
      </c>
      <c r="E8494" s="23" t="s">
        <v>60</v>
      </c>
      <c r="F8494" s="23" t="s">
        <v>61</v>
      </c>
      <c r="G8494" t="s">
        <v>62</v>
      </c>
      <c r="H8494" t="s">
        <v>63</v>
      </c>
    </row>
    <row r="8495" spans="1:8" x14ac:dyDescent="0.3">
      <c r="A8495" s="22" t="s">
        <v>64</v>
      </c>
      <c r="B8495" t="s">
        <v>67</v>
      </c>
      <c r="C8495" s="23">
        <v>0.14380896076864769</v>
      </c>
      <c r="D8495" s="23">
        <v>4.4609665427509299E-2</v>
      </c>
      <c r="E8495" s="23">
        <v>1.41342756183746E-2</v>
      </c>
      <c r="F8495" s="23">
        <v>0.76335877862595403</v>
      </c>
      <c r="G8495">
        <v>7</v>
      </c>
      <c r="H8495">
        <v>12</v>
      </c>
    </row>
    <row r="8496" spans="1:8" x14ac:dyDescent="0.3">
      <c r="A8496" s="22" t="s">
        <v>64</v>
      </c>
      <c r="B8496" t="s">
        <v>68</v>
      </c>
      <c r="C8496" s="23">
        <v>0.12049853585497319</v>
      </c>
      <c r="D8496" s="23">
        <v>0.11764705882352899</v>
      </c>
      <c r="E8496" s="23">
        <v>1.43540669856459E-2</v>
      </c>
      <c r="F8496" s="23">
        <v>0.40404040404040398</v>
      </c>
      <c r="G8496">
        <v>5</v>
      </c>
      <c r="H8496">
        <v>12</v>
      </c>
    </row>
    <row r="8497" spans="1:8" x14ac:dyDescent="0.3">
      <c r="C8497" s="23"/>
      <c r="D8497" s="23"/>
      <c r="E8497" s="23"/>
      <c r="F8497" s="23"/>
    </row>
    <row r="8498" spans="1:8" ht="86.4" x14ac:dyDescent="0.3">
      <c r="A8498" s="22" t="s">
        <v>1840</v>
      </c>
      <c r="C8498" s="23"/>
      <c r="D8498" s="23"/>
      <c r="E8498" s="23"/>
      <c r="F8498" s="23"/>
    </row>
    <row r="8499" spans="1:8" x14ac:dyDescent="0.3">
      <c r="A8499" s="22" t="s">
        <v>57</v>
      </c>
      <c r="B8499" t="s">
        <v>66</v>
      </c>
      <c r="C8499" s="23" t="s">
        <v>58</v>
      </c>
      <c r="D8499" s="23" t="s">
        <v>59</v>
      </c>
      <c r="E8499" s="23" t="s">
        <v>60</v>
      </c>
      <c r="F8499" s="23" t="s">
        <v>61</v>
      </c>
      <c r="G8499" t="s">
        <v>62</v>
      </c>
      <c r="H8499" t="s">
        <v>63</v>
      </c>
    </row>
    <row r="8500" spans="1:8" x14ac:dyDescent="0.3">
      <c r="A8500" s="22" t="s">
        <v>64</v>
      </c>
      <c r="B8500" t="s">
        <v>67</v>
      </c>
      <c r="C8500" s="23">
        <v>4.6682487681779593E-2</v>
      </c>
      <c r="D8500" s="23">
        <v>4.4609665427509299E-2</v>
      </c>
      <c r="E8500" s="23">
        <v>1.41342756183746E-2</v>
      </c>
      <c r="F8500" s="23">
        <v>0.122448979591837</v>
      </c>
      <c r="G8500">
        <v>9</v>
      </c>
      <c r="H8500">
        <v>12</v>
      </c>
    </row>
    <row r="8501" spans="1:8" x14ac:dyDescent="0.3">
      <c r="A8501" s="22" t="s">
        <v>64</v>
      </c>
      <c r="B8501" t="s">
        <v>68</v>
      </c>
      <c r="C8501" s="23">
        <v>0.39633767183979463</v>
      </c>
      <c r="D8501" s="23">
        <v>0.76335877862595403</v>
      </c>
      <c r="E8501" s="23">
        <v>2.1613832853025899E-2</v>
      </c>
      <c r="F8501" s="23">
        <v>0.76335877862595403</v>
      </c>
      <c r="G8501">
        <v>3</v>
      </c>
      <c r="H8501">
        <v>12</v>
      </c>
    </row>
    <row r="8502" spans="1:8" x14ac:dyDescent="0.3">
      <c r="C8502" s="23"/>
      <c r="D8502" s="23"/>
      <c r="E8502" s="23"/>
      <c r="F8502" s="23"/>
    </row>
    <row r="8503" spans="1:8" ht="72" x14ac:dyDescent="0.3">
      <c r="A8503" s="22" t="s">
        <v>1841</v>
      </c>
      <c r="C8503" s="23"/>
      <c r="D8503" s="23"/>
      <c r="E8503" s="23"/>
      <c r="F8503" s="23"/>
    </row>
    <row r="8504" spans="1:8" x14ac:dyDescent="0.3">
      <c r="A8504" s="22" t="s">
        <v>57</v>
      </c>
      <c r="B8504" t="s">
        <v>66</v>
      </c>
      <c r="C8504" s="23" t="s">
        <v>58</v>
      </c>
      <c r="D8504" s="23" t="s">
        <v>59</v>
      </c>
      <c r="E8504" s="23" t="s">
        <v>60</v>
      </c>
      <c r="F8504" s="23" t="s">
        <v>61</v>
      </c>
      <c r="G8504" t="s">
        <v>62</v>
      </c>
      <c r="H8504" t="s">
        <v>63</v>
      </c>
    </row>
    <row r="8505" spans="1:8" x14ac:dyDescent="0.3">
      <c r="A8505" s="22" t="s">
        <v>64</v>
      </c>
      <c r="B8505" t="s">
        <v>81</v>
      </c>
      <c r="C8505" s="23">
        <v>1.72413793103448E-2</v>
      </c>
      <c r="D8505" s="23">
        <v>1.72413793103448E-2</v>
      </c>
      <c r="E8505" s="23">
        <v>1.72413793103448E-2</v>
      </c>
      <c r="F8505" s="23">
        <v>1.72413793103448E-2</v>
      </c>
      <c r="G8505">
        <v>1</v>
      </c>
      <c r="H8505">
        <v>12</v>
      </c>
    </row>
    <row r="8506" spans="1:8" x14ac:dyDescent="0.3">
      <c r="A8506" s="22" t="s">
        <v>64</v>
      </c>
      <c r="B8506" t="s">
        <v>82</v>
      </c>
      <c r="C8506" s="23">
        <v>5.3279689721233342E-2</v>
      </c>
      <c r="D8506" s="23">
        <v>0.122448979591837</v>
      </c>
      <c r="E8506" s="23">
        <v>1.41342756183746E-2</v>
      </c>
      <c r="F8506" s="23">
        <v>0.122448979591837</v>
      </c>
      <c r="G8506">
        <v>3</v>
      </c>
      <c r="H8506">
        <v>12</v>
      </c>
    </row>
    <row r="8507" spans="1:8" x14ac:dyDescent="0.3">
      <c r="A8507" s="22" t="s">
        <v>64</v>
      </c>
      <c r="B8507" t="s">
        <v>83</v>
      </c>
      <c r="C8507" s="23">
        <v>0.22743193013177071</v>
      </c>
      <c r="D8507" s="23">
        <v>1.4367816091954E-2</v>
      </c>
      <c r="E8507" s="23">
        <v>1.43540669856459E-2</v>
      </c>
      <c r="F8507" s="23">
        <v>0.76335877862595403</v>
      </c>
      <c r="G8507">
        <v>4</v>
      </c>
      <c r="H8507">
        <v>12</v>
      </c>
    </row>
    <row r="8508" spans="1:8" x14ac:dyDescent="0.3">
      <c r="A8508" s="22" t="s">
        <v>64</v>
      </c>
      <c r="B8508" t="s">
        <v>84</v>
      </c>
      <c r="C8508" s="23">
        <v>0.13058680891356811</v>
      </c>
      <c r="D8508" s="23">
        <v>4.4609665427509299E-2</v>
      </c>
      <c r="E8508" s="23">
        <v>2.1613832853025899E-2</v>
      </c>
      <c r="F8508" s="23">
        <v>0.40404040404040398</v>
      </c>
      <c r="G8508">
        <v>4</v>
      </c>
      <c r="H8508">
        <v>12</v>
      </c>
    </row>
    <row r="8509" spans="1:8" x14ac:dyDescent="0.3">
      <c r="C8509" s="23"/>
      <c r="D8509" s="23"/>
      <c r="E8509" s="23"/>
      <c r="F8509" s="23"/>
    </row>
    <row r="8510" spans="1:8" ht="57.6" x14ac:dyDescent="0.3">
      <c r="A8510" s="22" t="s">
        <v>1842</v>
      </c>
      <c r="C8510" s="23"/>
      <c r="D8510" s="23"/>
      <c r="E8510" s="23"/>
      <c r="F8510" s="23"/>
    </row>
    <row r="8511" spans="1:8" x14ac:dyDescent="0.3">
      <c r="A8511" s="22" t="s">
        <v>57</v>
      </c>
      <c r="B8511" t="s">
        <v>58</v>
      </c>
      <c r="C8511" t="s">
        <v>59</v>
      </c>
      <c r="D8511" t="s">
        <v>60</v>
      </c>
      <c r="E8511" t="s">
        <v>61</v>
      </c>
      <c r="F8511" t="s">
        <v>62</v>
      </c>
      <c r="G8511" t="s">
        <v>63</v>
      </c>
    </row>
    <row r="8512" spans="1:8" x14ac:dyDescent="0.3">
      <c r="A8512" s="22" t="s">
        <v>64</v>
      </c>
      <c r="B8512" s="23">
        <v>0.38938317552463042</v>
      </c>
      <c r="C8512" s="23">
        <v>0.89108910891089099</v>
      </c>
      <c r="D8512" s="23">
        <v>0.13071895424836599</v>
      </c>
      <c r="E8512" s="23">
        <v>0.89108910891089099</v>
      </c>
      <c r="F8512">
        <v>3</v>
      </c>
      <c r="G8512">
        <v>3</v>
      </c>
    </row>
    <row r="8514" spans="1:8" ht="72" x14ac:dyDescent="0.3">
      <c r="A8514" s="22" t="s">
        <v>1843</v>
      </c>
      <c r="C8514" s="23"/>
      <c r="D8514" s="23"/>
      <c r="E8514" s="23"/>
      <c r="F8514" s="23"/>
    </row>
    <row r="8515" spans="1:8" x14ac:dyDescent="0.3">
      <c r="A8515" s="22" t="s">
        <v>57</v>
      </c>
      <c r="B8515" t="s">
        <v>66</v>
      </c>
      <c r="C8515" s="23" t="s">
        <v>58</v>
      </c>
      <c r="D8515" s="23" t="s">
        <v>59</v>
      </c>
      <c r="E8515" s="23" t="s">
        <v>60</v>
      </c>
      <c r="F8515" s="23" t="s">
        <v>61</v>
      </c>
      <c r="G8515" t="s">
        <v>62</v>
      </c>
      <c r="H8515" t="s">
        <v>63</v>
      </c>
    </row>
    <row r="8516" spans="1:8" x14ac:dyDescent="0.3">
      <c r="A8516" s="22" t="s">
        <v>64</v>
      </c>
      <c r="B8516" t="s">
        <v>67</v>
      </c>
      <c r="C8516" s="23">
        <v>0.38938317552463042</v>
      </c>
      <c r="D8516" s="23">
        <v>0.89108910891089099</v>
      </c>
      <c r="E8516" s="23">
        <v>0.13071895424836599</v>
      </c>
      <c r="F8516" s="23">
        <v>0.89108910891089099</v>
      </c>
      <c r="G8516">
        <v>3</v>
      </c>
      <c r="H8516">
        <v>3</v>
      </c>
    </row>
    <row r="8517" spans="1:8" x14ac:dyDescent="0.3">
      <c r="C8517" s="23"/>
      <c r="D8517" s="23"/>
      <c r="E8517" s="23"/>
      <c r="F8517" s="23"/>
    </row>
    <row r="8518" spans="1:8" x14ac:dyDescent="0.3">
      <c r="A8518"/>
      <c r="C8518" s="23"/>
      <c r="D8518" s="23"/>
      <c r="E8518" s="23"/>
      <c r="F8518" s="23"/>
    </row>
    <row r="8519" spans="1:8" x14ac:dyDescent="0.3">
      <c r="A8519"/>
      <c r="C8519" s="23"/>
      <c r="D8519" s="23"/>
      <c r="E8519" s="23"/>
      <c r="F8519" s="23"/>
    </row>
    <row r="8520" spans="1:8" x14ac:dyDescent="0.3">
      <c r="A8520"/>
      <c r="C8520" s="23"/>
      <c r="D8520" s="23"/>
      <c r="E8520" s="23"/>
      <c r="F8520" s="23"/>
    </row>
    <row r="8521" spans="1:8" x14ac:dyDescent="0.3">
      <c r="C8521" s="23"/>
      <c r="D8521" s="23"/>
      <c r="E8521" s="23"/>
      <c r="F8521" s="23"/>
    </row>
    <row r="8522" spans="1:8" ht="72" x14ac:dyDescent="0.3">
      <c r="A8522" s="22" t="s">
        <v>1844</v>
      </c>
      <c r="C8522" s="23"/>
      <c r="D8522" s="23"/>
      <c r="E8522" s="23"/>
      <c r="F8522" s="23"/>
    </row>
    <row r="8523" spans="1:8" x14ac:dyDescent="0.3">
      <c r="A8523" s="22" t="s">
        <v>57</v>
      </c>
      <c r="B8523" t="s">
        <v>66</v>
      </c>
      <c r="C8523" s="23" t="s">
        <v>58</v>
      </c>
      <c r="D8523" s="23" t="s">
        <v>59</v>
      </c>
      <c r="E8523" s="23" t="s">
        <v>60</v>
      </c>
      <c r="F8523" s="23" t="s">
        <v>61</v>
      </c>
      <c r="G8523" t="s">
        <v>62</v>
      </c>
      <c r="H8523" t="s">
        <v>63</v>
      </c>
    </row>
    <row r="8524" spans="1:8" x14ac:dyDescent="0.3">
      <c r="A8524" s="22" t="s">
        <v>64</v>
      </c>
      <c r="B8524" t="s">
        <v>67</v>
      </c>
      <c r="C8524" s="23">
        <v>0.38938317552463042</v>
      </c>
      <c r="D8524" s="23">
        <v>0.89108910891089099</v>
      </c>
      <c r="E8524" s="23">
        <v>0.13071895424836599</v>
      </c>
      <c r="F8524" s="23">
        <v>0.89108910891089099</v>
      </c>
      <c r="G8524">
        <v>3</v>
      </c>
      <c r="H8524">
        <v>3</v>
      </c>
    </row>
    <row r="8525" spans="1:8" x14ac:dyDescent="0.3">
      <c r="C8525" s="23"/>
      <c r="D8525" s="23"/>
      <c r="E8525" s="23"/>
      <c r="F8525" s="23"/>
    </row>
    <row r="8526" spans="1:8" ht="72" x14ac:dyDescent="0.3">
      <c r="A8526" s="22" t="s">
        <v>1845</v>
      </c>
      <c r="C8526" s="23"/>
      <c r="D8526" s="23"/>
      <c r="E8526" s="23"/>
      <c r="F8526" s="23"/>
    </row>
    <row r="8527" spans="1:8" x14ac:dyDescent="0.3">
      <c r="A8527" s="22" t="s">
        <v>57</v>
      </c>
      <c r="B8527" t="s">
        <v>66</v>
      </c>
      <c r="C8527" s="23" t="s">
        <v>58</v>
      </c>
      <c r="D8527" s="23" t="s">
        <v>59</v>
      </c>
      <c r="E8527" s="23" t="s">
        <v>60</v>
      </c>
      <c r="F8527" s="23" t="s">
        <v>61</v>
      </c>
      <c r="G8527" t="s">
        <v>62</v>
      </c>
      <c r="H8527" t="s">
        <v>63</v>
      </c>
    </row>
    <row r="8528" spans="1:8" x14ac:dyDescent="0.3">
      <c r="A8528" s="22" t="s">
        <v>64</v>
      </c>
      <c r="B8528" t="s">
        <v>67</v>
      </c>
      <c r="C8528" s="23">
        <v>0.38938317552463042</v>
      </c>
      <c r="D8528" s="23">
        <v>0.89108910891089099</v>
      </c>
      <c r="E8528" s="23">
        <v>0.13071895424836599</v>
      </c>
      <c r="F8528" s="23">
        <v>0.89108910891089099</v>
      </c>
      <c r="G8528">
        <v>3</v>
      </c>
      <c r="H8528">
        <v>3</v>
      </c>
    </row>
    <row r="8529" spans="1:8" x14ac:dyDescent="0.3">
      <c r="C8529" s="23"/>
      <c r="D8529" s="23"/>
      <c r="E8529" s="23"/>
      <c r="F8529" s="23"/>
    </row>
    <row r="8530" spans="1:8" ht="72" x14ac:dyDescent="0.3">
      <c r="A8530" s="22" t="s">
        <v>1846</v>
      </c>
      <c r="C8530" s="23"/>
      <c r="D8530" s="23"/>
      <c r="E8530" s="23"/>
      <c r="F8530" s="23"/>
    </row>
    <row r="8531" spans="1:8" x14ac:dyDescent="0.3">
      <c r="A8531" s="22" t="s">
        <v>57</v>
      </c>
      <c r="B8531" t="s">
        <v>66</v>
      </c>
      <c r="C8531" s="23" t="s">
        <v>58</v>
      </c>
      <c r="D8531" s="23" t="s">
        <v>59</v>
      </c>
      <c r="E8531" s="23" t="s">
        <v>60</v>
      </c>
      <c r="F8531" s="23" t="s">
        <v>61</v>
      </c>
      <c r="G8531" t="s">
        <v>62</v>
      </c>
      <c r="H8531" t="s">
        <v>63</v>
      </c>
    </row>
    <row r="8532" spans="1:8" x14ac:dyDescent="0.3">
      <c r="A8532" s="22" t="s">
        <v>64</v>
      </c>
      <c r="B8532" t="s">
        <v>67</v>
      </c>
      <c r="C8532" s="23">
        <v>0.38938317552463042</v>
      </c>
      <c r="D8532" s="23">
        <v>0.89108910891089099</v>
      </c>
      <c r="E8532" s="23">
        <v>0.13071895424836599</v>
      </c>
      <c r="F8532" s="23">
        <v>0.89108910891089099</v>
      </c>
      <c r="G8532">
        <v>3</v>
      </c>
      <c r="H8532">
        <v>3</v>
      </c>
    </row>
    <row r="8533" spans="1:8" x14ac:dyDescent="0.3">
      <c r="C8533" s="23"/>
      <c r="D8533" s="23"/>
      <c r="E8533" s="23"/>
      <c r="F8533" s="23"/>
    </row>
    <row r="8534" spans="1:8" ht="72" x14ac:dyDescent="0.3">
      <c r="A8534" s="22" t="s">
        <v>1847</v>
      </c>
      <c r="C8534" s="23"/>
      <c r="D8534" s="23"/>
      <c r="E8534" s="23"/>
      <c r="F8534" s="23"/>
    </row>
    <row r="8535" spans="1:8" x14ac:dyDescent="0.3">
      <c r="A8535" s="22" t="s">
        <v>57</v>
      </c>
      <c r="B8535" t="s">
        <v>66</v>
      </c>
      <c r="C8535" s="23" t="s">
        <v>58</v>
      </c>
      <c r="D8535" s="23" t="s">
        <v>59</v>
      </c>
      <c r="E8535" s="23" t="s">
        <v>60</v>
      </c>
      <c r="F8535" s="23" t="s">
        <v>61</v>
      </c>
      <c r="G8535" t="s">
        <v>62</v>
      </c>
      <c r="H8535" t="s">
        <v>63</v>
      </c>
    </row>
    <row r="8536" spans="1:8" x14ac:dyDescent="0.3">
      <c r="A8536" s="22" t="s">
        <v>64</v>
      </c>
      <c r="B8536" t="s">
        <v>68</v>
      </c>
      <c r="C8536" s="23">
        <v>0.38938317552463042</v>
      </c>
      <c r="D8536" s="23">
        <v>0.89108910891089099</v>
      </c>
      <c r="E8536" s="23">
        <v>0.13071895424836599</v>
      </c>
      <c r="F8536" s="23">
        <v>0.89108910891089099</v>
      </c>
      <c r="G8536">
        <v>3</v>
      </c>
      <c r="H8536">
        <v>3</v>
      </c>
    </row>
    <row r="8537" spans="1:8" x14ac:dyDescent="0.3">
      <c r="C8537" s="23"/>
      <c r="D8537" s="23"/>
      <c r="E8537" s="23"/>
      <c r="F8537" s="23"/>
    </row>
    <row r="8538" spans="1:8" ht="72" x14ac:dyDescent="0.3">
      <c r="A8538" s="22" t="s">
        <v>1848</v>
      </c>
      <c r="C8538" s="23"/>
      <c r="D8538" s="23"/>
      <c r="E8538" s="23"/>
      <c r="F8538" s="23"/>
    </row>
    <row r="8539" spans="1:8" x14ac:dyDescent="0.3">
      <c r="A8539" s="22" t="s">
        <v>57</v>
      </c>
      <c r="B8539" t="s">
        <v>66</v>
      </c>
      <c r="C8539" s="23" t="s">
        <v>58</v>
      </c>
      <c r="D8539" s="23" t="s">
        <v>59</v>
      </c>
      <c r="E8539" s="23" t="s">
        <v>60</v>
      </c>
      <c r="F8539" s="23" t="s">
        <v>61</v>
      </c>
      <c r="G8539" t="s">
        <v>62</v>
      </c>
      <c r="H8539" t="s">
        <v>63</v>
      </c>
    </row>
    <row r="8540" spans="1:8" x14ac:dyDescent="0.3">
      <c r="A8540" s="22" t="s">
        <v>64</v>
      </c>
      <c r="B8540" t="s">
        <v>67</v>
      </c>
      <c r="C8540" s="23">
        <v>0.38938317552463042</v>
      </c>
      <c r="D8540" s="23">
        <v>0.89108910891089099</v>
      </c>
      <c r="E8540" s="23">
        <v>0.13071895424836599</v>
      </c>
      <c r="F8540" s="23">
        <v>0.89108910891089099</v>
      </c>
      <c r="G8540">
        <v>3</v>
      </c>
      <c r="H8540">
        <v>3</v>
      </c>
    </row>
    <row r="8541" spans="1:8" x14ac:dyDescent="0.3">
      <c r="C8541" s="23"/>
      <c r="D8541" s="23"/>
      <c r="E8541" s="23"/>
      <c r="F8541" s="23"/>
    </row>
    <row r="8542" spans="1:8" ht="72" x14ac:dyDescent="0.3">
      <c r="A8542" s="22" t="s">
        <v>1849</v>
      </c>
      <c r="C8542" s="23"/>
      <c r="D8542" s="23"/>
      <c r="E8542" s="23"/>
      <c r="F8542" s="23"/>
    </row>
    <row r="8543" spans="1:8" x14ac:dyDescent="0.3">
      <c r="A8543" s="22" t="s">
        <v>57</v>
      </c>
      <c r="B8543" t="s">
        <v>66</v>
      </c>
      <c r="C8543" s="23" t="s">
        <v>58</v>
      </c>
      <c r="D8543" s="23" t="s">
        <v>59</v>
      </c>
      <c r="E8543" s="23" t="s">
        <v>60</v>
      </c>
      <c r="F8543" s="23" t="s">
        <v>61</v>
      </c>
      <c r="G8543" t="s">
        <v>62</v>
      </c>
      <c r="H8543" t="s">
        <v>63</v>
      </c>
    </row>
    <row r="8544" spans="1:8" x14ac:dyDescent="0.3">
      <c r="A8544" s="22" t="s">
        <v>64</v>
      </c>
      <c r="B8544" t="s">
        <v>67</v>
      </c>
      <c r="C8544" s="23">
        <v>0.13071895424836599</v>
      </c>
      <c r="D8544" s="23">
        <v>0.13071895424836599</v>
      </c>
      <c r="E8544" s="23">
        <v>0.13071895424836599</v>
      </c>
      <c r="F8544" s="23">
        <v>0.13071895424836599</v>
      </c>
      <c r="G8544">
        <v>1</v>
      </c>
      <c r="H8544">
        <v>3</v>
      </c>
    </row>
    <row r="8545" spans="1:8" x14ac:dyDescent="0.3">
      <c r="A8545" s="22" t="s">
        <v>64</v>
      </c>
      <c r="B8545" t="s">
        <v>68</v>
      </c>
      <c r="C8545" s="23">
        <v>0.51871528616276252</v>
      </c>
      <c r="D8545" s="23">
        <v>0.146341463414634</v>
      </c>
      <c r="E8545" s="23">
        <v>0.146341463414634</v>
      </c>
      <c r="F8545" s="23">
        <v>0.89108910891089099</v>
      </c>
      <c r="G8545">
        <v>2</v>
      </c>
      <c r="H8545">
        <v>3</v>
      </c>
    </row>
    <row r="8546" spans="1:8" x14ac:dyDescent="0.3">
      <c r="C8546" s="23"/>
      <c r="D8546" s="23"/>
      <c r="E8546" s="23"/>
      <c r="F8546" s="23"/>
    </row>
    <row r="8547" spans="1:8" ht="72" x14ac:dyDescent="0.3">
      <c r="A8547" s="22" t="s">
        <v>1850</v>
      </c>
      <c r="C8547" s="23"/>
      <c r="D8547" s="23"/>
      <c r="E8547" s="23"/>
      <c r="F8547" s="23"/>
    </row>
    <row r="8548" spans="1:8" x14ac:dyDescent="0.3">
      <c r="A8548" s="22" t="s">
        <v>57</v>
      </c>
      <c r="B8548" t="s">
        <v>66</v>
      </c>
      <c r="C8548" s="23" t="s">
        <v>58</v>
      </c>
      <c r="D8548" s="23" t="s">
        <v>59</v>
      </c>
      <c r="E8548" s="23" t="s">
        <v>60</v>
      </c>
      <c r="F8548" s="23" t="s">
        <v>61</v>
      </c>
      <c r="G8548" t="s">
        <v>62</v>
      </c>
      <c r="H8548" t="s">
        <v>63</v>
      </c>
    </row>
    <row r="8549" spans="1:8" x14ac:dyDescent="0.3">
      <c r="A8549" s="22" t="s">
        <v>64</v>
      </c>
      <c r="B8549" t="s">
        <v>67</v>
      </c>
      <c r="C8549" s="23">
        <v>0.13071895424836599</v>
      </c>
      <c r="D8549" s="23">
        <v>0.13071895424836599</v>
      </c>
      <c r="E8549" s="23">
        <v>0.13071895424836599</v>
      </c>
      <c r="F8549" s="23">
        <v>0.13071895424836599</v>
      </c>
      <c r="G8549">
        <v>1</v>
      </c>
      <c r="H8549">
        <v>3</v>
      </c>
    </row>
    <row r="8550" spans="1:8" x14ac:dyDescent="0.3">
      <c r="A8550" s="22" t="s">
        <v>64</v>
      </c>
      <c r="B8550" t="s">
        <v>68</v>
      </c>
      <c r="C8550" s="23">
        <v>0.51871528616276252</v>
      </c>
      <c r="D8550" s="23">
        <v>0.146341463414634</v>
      </c>
      <c r="E8550" s="23">
        <v>0.146341463414634</v>
      </c>
      <c r="F8550" s="23">
        <v>0.89108910891089099</v>
      </c>
      <c r="G8550">
        <v>2</v>
      </c>
      <c r="H8550">
        <v>3</v>
      </c>
    </row>
    <row r="8551" spans="1:8" x14ac:dyDescent="0.3">
      <c r="C8551" s="23"/>
      <c r="D8551" s="23"/>
      <c r="E8551" s="23"/>
      <c r="F8551" s="23"/>
    </row>
    <row r="8552" spans="1:8" ht="86.4" x14ac:dyDescent="0.3">
      <c r="A8552" s="22" t="s">
        <v>1851</v>
      </c>
      <c r="C8552" s="23"/>
      <c r="D8552" s="23"/>
      <c r="E8552" s="23"/>
      <c r="F8552" s="23"/>
    </row>
    <row r="8553" spans="1:8" x14ac:dyDescent="0.3">
      <c r="A8553" s="22" t="s">
        <v>57</v>
      </c>
      <c r="B8553" t="s">
        <v>66</v>
      </c>
      <c r="C8553" s="23" t="s">
        <v>58</v>
      </c>
      <c r="D8553" s="23" t="s">
        <v>59</v>
      </c>
      <c r="E8553" s="23" t="s">
        <v>60</v>
      </c>
      <c r="F8553" s="23" t="s">
        <v>61</v>
      </c>
      <c r="G8553" t="s">
        <v>62</v>
      </c>
      <c r="H8553" t="s">
        <v>63</v>
      </c>
    </row>
    <row r="8554" spans="1:8" x14ac:dyDescent="0.3">
      <c r="A8554" s="22" t="s">
        <v>64</v>
      </c>
      <c r="B8554" t="s">
        <v>67</v>
      </c>
      <c r="C8554" s="23">
        <v>0.51090403157962849</v>
      </c>
      <c r="D8554" s="23">
        <v>0.13071895424836599</v>
      </c>
      <c r="E8554" s="23">
        <v>0.13071895424836599</v>
      </c>
      <c r="F8554" s="23">
        <v>0.89108910891089099</v>
      </c>
      <c r="G8554">
        <v>2</v>
      </c>
      <c r="H8554">
        <v>3</v>
      </c>
    </row>
    <row r="8555" spans="1:8" x14ac:dyDescent="0.3">
      <c r="A8555" s="22" t="s">
        <v>64</v>
      </c>
      <c r="B8555" t="s">
        <v>68</v>
      </c>
      <c r="C8555" s="23">
        <v>0.146341463414634</v>
      </c>
      <c r="D8555" s="23">
        <v>0.146341463414634</v>
      </c>
      <c r="E8555" s="23">
        <v>0.146341463414634</v>
      </c>
      <c r="F8555" s="23">
        <v>0.146341463414634</v>
      </c>
      <c r="G8555">
        <v>1</v>
      </c>
      <c r="H8555">
        <v>3</v>
      </c>
    </row>
    <row r="8556" spans="1:8" x14ac:dyDescent="0.3">
      <c r="C8556" s="23"/>
      <c r="D8556" s="23"/>
      <c r="E8556" s="23"/>
      <c r="F8556" s="23"/>
    </row>
    <row r="8557" spans="1:8" ht="86.4" x14ac:dyDescent="0.3">
      <c r="A8557" s="22" t="s">
        <v>1852</v>
      </c>
      <c r="C8557" s="23"/>
      <c r="D8557" s="23"/>
      <c r="E8557" s="23"/>
      <c r="F8557" s="23"/>
    </row>
    <row r="8558" spans="1:8" x14ac:dyDescent="0.3">
      <c r="A8558" s="22" t="s">
        <v>57</v>
      </c>
      <c r="B8558" t="s">
        <v>66</v>
      </c>
      <c r="C8558" s="23" t="s">
        <v>58</v>
      </c>
      <c r="D8558" s="23" t="s">
        <v>59</v>
      </c>
      <c r="E8558" s="23" t="s">
        <v>60</v>
      </c>
      <c r="F8558" s="23" t="s">
        <v>61</v>
      </c>
      <c r="G8558" t="s">
        <v>62</v>
      </c>
      <c r="H8558" t="s">
        <v>63</v>
      </c>
    </row>
    <row r="8559" spans="1:8" x14ac:dyDescent="0.3">
      <c r="A8559" s="22" t="s">
        <v>64</v>
      </c>
      <c r="B8559" t="s">
        <v>67</v>
      </c>
      <c r="C8559" s="23">
        <v>0.38938317552463042</v>
      </c>
      <c r="D8559" s="23">
        <v>0.89108910891089099</v>
      </c>
      <c r="E8559" s="23">
        <v>0.13071895424836599</v>
      </c>
      <c r="F8559" s="23">
        <v>0.89108910891089099</v>
      </c>
      <c r="G8559">
        <v>3</v>
      </c>
      <c r="H8559">
        <v>3</v>
      </c>
    </row>
    <row r="8560" spans="1:8" x14ac:dyDescent="0.3">
      <c r="C8560" s="23"/>
      <c r="D8560" s="23"/>
      <c r="E8560" s="23"/>
      <c r="F8560" s="23"/>
    </row>
    <row r="8561" spans="1:8" ht="72" x14ac:dyDescent="0.3">
      <c r="A8561" s="22" t="s">
        <v>1853</v>
      </c>
      <c r="C8561" s="23"/>
      <c r="D8561" s="23"/>
      <c r="E8561" s="23"/>
      <c r="F8561" s="23"/>
    </row>
    <row r="8562" spans="1:8" x14ac:dyDescent="0.3">
      <c r="A8562" s="22" t="s">
        <v>57</v>
      </c>
      <c r="B8562" t="s">
        <v>66</v>
      </c>
      <c r="C8562" s="23" t="s">
        <v>58</v>
      </c>
      <c r="D8562" s="23" t="s">
        <v>59</v>
      </c>
      <c r="E8562" s="23" t="s">
        <v>60</v>
      </c>
      <c r="F8562" s="23" t="s">
        <v>61</v>
      </c>
      <c r="G8562" t="s">
        <v>62</v>
      </c>
      <c r="H8562" t="s">
        <v>63</v>
      </c>
    </row>
    <row r="8563" spans="1:8" x14ac:dyDescent="0.3">
      <c r="A8563" s="22" t="s">
        <v>64</v>
      </c>
      <c r="B8563" t="s">
        <v>67</v>
      </c>
      <c r="C8563" s="23">
        <v>0.89108910891089099</v>
      </c>
      <c r="D8563" s="23">
        <v>0.89108910891089099</v>
      </c>
      <c r="E8563" s="23">
        <v>0.89108910891089099</v>
      </c>
      <c r="F8563" s="23">
        <v>0.89108910891089099</v>
      </c>
      <c r="G8563">
        <v>1</v>
      </c>
      <c r="H8563">
        <v>3</v>
      </c>
    </row>
    <row r="8564" spans="1:8" x14ac:dyDescent="0.3">
      <c r="A8564" s="22" t="s">
        <v>64</v>
      </c>
      <c r="B8564" t="s">
        <v>68</v>
      </c>
      <c r="C8564" s="23">
        <v>0.1385302088315</v>
      </c>
      <c r="D8564" s="23">
        <v>0.13071895424836599</v>
      </c>
      <c r="E8564" s="23">
        <v>0.13071895424836599</v>
      </c>
      <c r="F8564" s="23">
        <v>0.146341463414634</v>
      </c>
      <c r="G8564">
        <v>2</v>
      </c>
      <c r="H8564">
        <v>3</v>
      </c>
    </row>
    <row r="8565" spans="1:8" x14ac:dyDescent="0.3">
      <c r="C8565" s="23"/>
      <c r="D8565" s="23"/>
      <c r="E8565" s="23"/>
      <c r="F8565" s="23"/>
    </row>
    <row r="8566" spans="1:8" ht="72" x14ac:dyDescent="0.3">
      <c r="A8566" s="22" t="s">
        <v>1854</v>
      </c>
      <c r="C8566" s="23"/>
      <c r="D8566" s="23"/>
      <c r="E8566" s="23"/>
      <c r="F8566" s="23"/>
    </row>
    <row r="8567" spans="1:8" x14ac:dyDescent="0.3">
      <c r="A8567" s="22" t="s">
        <v>57</v>
      </c>
      <c r="B8567" t="s">
        <v>66</v>
      </c>
      <c r="C8567" s="23" t="s">
        <v>58</v>
      </c>
      <c r="D8567" s="23" t="s">
        <v>59</v>
      </c>
      <c r="E8567" s="23" t="s">
        <v>60</v>
      </c>
      <c r="F8567" s="23" t="s">
        <v>61</v>
      </c>
      <c r="G8567" t="s">
        <v>62</v>
      </c>
      <c r="H8567" t="s">
        <v>63</v>
      </c>
    </row>
    <row r="8568" spans="1:8" x14ac:dyDescent="0.3">
      <c r="A8568" s="22" t="s">
        <v>64</v>
      </c>
      <c r="B8568" t="s">
        <v>67</v>
      </c>
      <c r="C8568" s="23">
        <v>0.38938317552463042</v>
      </c>
      <c r="D8568" s="23">
        <v>0.89108910891089099</v>
      </c>
      <c r="E8568" s="23">
        <v>0.13071895424836599</v>
      </c>
      <c r="F8568" s="23">
        <v>0.89108910891089099</v>
      </c>
      <c r="G8568">
        <v>3</v>
      </c>
      <c r="H8568">
        <v>3</v>
      </c>
    </row>
    <row r="8569" spans="1:8" x14ac:dyDescent="0.3">
      <c r="C8569" s="23"/>
      <c r="D8569" s="23"/>
      <c r="E8569" s="23"/>
      <c r="F8569" s="23"/>
    </row>
    <row r="8570" spans="1:8" ht="57.6" x14ac:dyDescent="0.3">
      <c r="A8570" s="22" t="s">
        <v>1855</v>
      </c>
      <c r="C8570" s="23"/>
      <c r="D8570" s="23"/>
      <c r="E8570" s="23"/>
      <c r="F8570" s="23"/>
    </row>
    <row r="8571" spans="1:8" x14ac:dyDescent="0.3">
      <c r="A8571" s="22" t="s">
        <v>57</v>
      </c>
      <c r="B8571" t="s">
        <v>66</v>
      </c>
      <c r="C8571" s="23" t="s">
        <v>58</v>
      </c>
      <c r="D8571" s="23" t="s">
        <v>59</v>
      </c>
      <c r="E8571" s="23" t="s">
        <v>60</v>
      </c>
      <c r="F8571" s="23" t="s">
        <v>61</v>
      </c>
      <c r="G8571" t="s">
        <v>62</v>
      </c>
      <c r="H8571" t="s">
        <v>63</v>
      </c>
    </row>
    <row r="8572" spans="1:8" x14ac:dyDescent="0.3">
      <c r="A8572" s="22" t="s">
        <v>64</v>
      </c>
      <c r="B8572" t="s">
        <v>82</v>
      </c>
      <c r="C8572" s="23">
        <v>0.89108910891089099</v>
      </c>
      <c r="D8572" s="23">
        <v>0.89108910891089099</v>
      </c>
      <c r="E8572" s="23">
        <v>0.89108910891089099</v>
      </c>
      <c r="F8572" s="23">
        <v>0.89108910891089099</v>
      </c>
      <c r="G8572">
        <v>1</v>
      </c>
      <c r="H8572">
        <v>3</v>
      </c>
    </row>
    <row r="8573" spans="1:8" x14ac:dyDescent="0.3">
      <c r="A8573" s="22" t="s">
        <v>64</v>
      </c>
      <c r="B8573" t="s">
        <v>83</v>
      </c>
      <c r="C8573" s="23">
        <v>0.13071895424836599</v>
      </c>
      <c r="D8573" s="23">
        <v>0.13071895424836599</v>
      </c>
      <c r="E8573" s="23">
        <v>0.13071895424836599</v>
      </c>
      <c r="F8573" s="23">
        <v>0.13071895424836599</v>
      </c>
      <c r="G8573">
        <v>1</v>
      </c>
      <c r="H8573">
        <v>3</v>
      </c>
    </row>
    <row r="8574" spans="1:8" x14ac:dyDescent="0.3">
      <c r="A8574" s="22" t="s">
        <v>64</v>
      </c>
      <c r="B8574" t="s">
        <v>84</v>
      </c>
      <c r="C8574" s="23">
        <v>0.146341463414634</v>
      </c>
      <c r="D8574" s="23">
        <v>0.146341463414634</v>
      </c>
      <c r="E8574" s="23">
        <v>0.146341463414634</v>
      </c>
      <c r="F8574" s="23">
        <v>0.146341463414634</v>
      </c>
      <c r="G8574">
        <v>1</v>
      </c>
      <c r="H8574">
        <v>3</v>
      </c>
    </row>
    <row r="8575" spans="1:8" x14ac:dyDescent="0.3">
      <c r="C8575" s="23"/>
      <c r="D8575" s="23"/>
      <c r="E8575" s="23"/>
      <c r="F8575" s="23"/>
    </row>
    <row r="8576" spans="1:8" ht="57.6" x14ac:dyDescent="0.3">
      <c r="A8576" s="22" t="s">
        <v>1856</v>
      </c>
      <c r="C8576" s="23"/>
      <c r="D8576" s="23"/>
      <c r="E8576" s="23"/>
      <c r="F8576" s="23"/>
    </row>
    <row r="8577" spans="1:8" x14ac:dyDescent="0.3">
      <c r="A8577" s="22" t="s">
        <v>57</v>
      </c>
      <c r="B8577" t="s">
        <v>58</v>
      </c>
      <c r="C8577" t="s">
        <v>59</v>
      </c>
      <c r="D8577" t="s">
        <v>60</v>
      </c>
      <c r="E8577" t="s">
        <v>61</v>
      </c>
      <c r="F8577" t="s">
        <v>62</v>
      </c>
      <c r="G8577" t="s">
        <v>63</v>
      </c>
    </row>
    <row r="8578" spans="1:8" x14ac:dyDescent="0.3">
      <c r="A8578" s="22" t="s">
        <v>64</v>
      </c>
      <c r="B8578" s="23">
        <v>0.35308075779809361</v>
      </c>
      <c r="C8578" s="23">
        <v>0.32786885245901598</v>
      </c>
      <c r="D8578" s="23">
        <v>2.7100271002710001E-2</v>
      </c>
      <c r="E8578" s="23">
        <v>1</v>
      </c>
      <c r="F8578">
        <v>114</v>
      </c>
      <c r="G8578">
        <v>114</v>
      </c>
    </row>
    <row r="8580" spans="1:8" ht="72" x14ac:dyDescent="0.3">
      <c r="A8580" s="22" t="s">
        <v>1857</v>
      </c>
      <c r="C8580" s="23"/>
      <c r="D8580" s="23"/>
      <c r="E8580" s="23"/>
      <c r="F8580" s="23"/>
    </row>
    <row r="8581" spans="1:8" x14ac:dyDescent="0.3">
      <c r="A8581" s="22" t="s">
        <v>57</v>
      </c>
      <c r="B8581" t="s">
        <v>66</v>
      </c>
      <c r="C8581" s="23" t="s">
        <v>58</v>
      </c>
      <c r="D8581" s="23" t="s">
        <v>59</v>
      </c>
      <c r="E8581" s="23" t="s">
        <v>60</v>
      </c>
      <c r="F8581" s="23" t="s">
        <v>61</v>
      </c>
      <c r="G8581" t="s">
        <v>62</v>
      </c>
      <c r="H8581" t="s">
        <v>63</v>
      </c>
    </row>
    <row r="8582" spans="1:8" x14ac:dyDescent="0.3">
      <c r="A8582" s="22" t="s">
        <v>64</v>
      </c>
      <c r="B8582" t="s">
        <v>67</v>
      </c>
      <c r="C8582" s="23">
        <v>0.35462887841642121</v>
      </c>
      <c r="D8582" s="23">
        <v>0.34782608695652201</v>
      </c>
      <c r="E8582" s="23">
        <v>2.9812606473594499E-2</v>
      </c>
      <c r="F8582" s="23">
        <v>1</v>
      </c>
      <c r="G8582">
        <v>107</v>
      </c>
      <c r="H8582">
        <v>114</v>
      </c>
    </row>
    <row r="8583" spans="1:8" x14ac:dyDescent="0.3">
      <c r="A8583" s="22" t="s">
        <v>64</v>
      </c>
      <c r="B8583" t="s">
        <v>68</v>
      </c>
      <c r="C8583" s="23">
        <v>0.32941662834651569</v>
      </c>
      <c r="D8583" s="23">
        <v>0.33333333333333298</v>
      </c>
      <c r="E8583" s="23">
        <v>2.7100271002710001E-2</v>
      </c>
      <c r="F8583" s="23">
        <v>0.69444444444444398</v>
      </c>
      <c r="G8583">
        <v>7</v>
      </c>
      <c r="H8583">
        <v>114</v>
      </c>
    </row>
    <row r="8584" spans="1:8" x14ac:dyDescent="0.3">
      <c r="C8584" s="23"/>
      <c r="D8584" s="23"/>
      <c r="E8584" s="23"/>
      <c r="F8584" s="23"/>
    </row>
    <row r="8585" spans="1:8" x14ac:dyDescent="0.3">
      <c r="A8585"/>
      <c r="C8585" s="23"/>
      <c r="D8585" s="23"/>
      <c r="E8585" s="23"/>
      <c r="F8585" s="23"/>
    </row>
    <row r="8586" spans="1:8" x14ac:dyDescent="0.3">
      <c r="A8586"/>
      <c r="C8586" s="23"/>
      <c r="D8586" s="23"/>
      <c r="E8586" s="23"/>
      <c r="F8586" s="23"/>
    </row>
    <row r="8587" spans="1:8" x14ac:dyDescent="0.3">
      <c r="A8587"/>
      <c r="C8587" s="23"/>
      <c r="D8587" s="23"/>
      <c r="E8587" s="23"/>
      <c r="F8587" s="23"/>
    </row>
    <row r="8588" spans="1:8" x14ac:dyDescent="0.3">
      <c r="C8588" s="23"/>
      <c r="D8588" s="23"/>
      <c r="E8588" s="23"/>
      <c r="F8588" s="23"/>
    </row>
    <row r="8589" spans="1:8" ht="72" x14ac:dyDescent="0.3">
      <c r="A8589" s="22" t="s">
        <v>1858</v>
      </c>
      <c r="C8589" s="23"/>
      <c r="D8589" s="23"/>
      <c r="E8589" s="23"/>
      <c r="F8589" s="23"/>
    </row>
    <row r="8590" spans="1:8" x14ac:dyDescent="0.3">
      <c r="A8590" s="22" t="s">
        <v>57</v>
      </c>
      <c r="B8590" t="s">
        <v>66</v>
      </c>
      <c r="C8590" s="23" t="s">
        <v>58</v>
      </c>
      <c r="D8590" s="23" t="s">
        <v>59</v>
      </c>
      <c r="E8590" s="23" t="s">
        <v>60</v>
      </c>
      <c r="F8590" s="23" t="s">
        <v>61</v>
      </c>
      <c r="G8590" t="s">
        <v>62</v>
      </c>
      <c r="H8590" t="s">
        <v>63</v>
      </c>
    </row>
    <row r="8591" spans="1:8" x14ac:dyDescent="0.3">
      <c r="A8591" s="22" t="s">
        <v>64</v>
      </c>
      <c r="B8591" t="s">
        <v>67</v>
      </c>
      <c r="C8591" s="23">
        <v>0.35820615401064521</v>
      </c>
      <c r="D8591" s="23">
        <v>0.34782608695652201</v>
      </c>
      <c r="E8591" s="23">
        <v>2.7100271002710001E-2</v>
      </c>
      <c r="F8591" s="23">
        <v>1</v>
      </c>
      <c r="G8591">
        <v>109</v>
      </c>
      <c r="H8591">
        <v>114</v>
      </c>
    </row>
    <row r="8592" spans="1:8" x14ac:dyDescent="0.3">
      <c r="A8592" s="22" t="s">
        <v>64</v>
      </c>
      <c r="B8592" t="s">
        <v>68</v>
      </c>
      <c r="C8592" s="23">
        <v>0.24134712036447109</v>
      </c>
      <c r="D8592" s="23">
        <v>0.32</v>
      </c>
      <c r="E8592" s="23">
        <v>4.7961630695443597E-2</v>
      </c>
      <c r="F8592" s="23">
        <v>0.53846153846153799</v>
      </c>
      <c r="G8592">
        <v>5</v>
      </c>
      <c r="H8592">
        <v>114</v>
      </c>
    </row>
    <row r="8593" spans="1:8" x14ac:dyDescent="0.3">
      <c r="C8593" s="23"/>
      <c r="D8593" s="23"/>
      <c r="E8593" s="23"/>
      <c r="F8593" s="23"/>
    </row>
    <row r="8594" spans="1:8" ht="72" x14ac:dyDescent="0.3">
      <c r="A8594" s="22" t="s">
        <v>1859</v>
      </c>
      <c r="C8594" s="23"/>
      <c r="D8594" s="23"/>
      <c r="E8594" s="23"/>
      <c r="F8594" s="23"/>
    </row>
    <row r="8595" spans="1:8" x14ac:dyDescent="0.3">
      <c r="A8595" s="22" t="s">
        <v>57</v>
      </c>
      <c r="B8595" t="s">
        <v>66</v>
      </c>
      <c r="C8595" s="23" t="s">
        <v>58</v>
      </c>
      <c r="D8595" s="23" t="s">
        <v>59</v>
      </c>
      <c r="E8595" s="23" t="s">
        <v>60</v>
      </c>
      <c r="F8595" s="23" t="s">
        <v>61</v>
      </c>
      <c r="G8595" t="s">
        <v>62</v>
      </c>
      <c r="H8595" t="s">
        <v>63</v>
      </c>
    </row>
    <row r="8596" spans="1:8" x14ac:dyDescent="0.3">
      <c r="A8596" s="22" t="s">
        <v>64</v>
      </c>
      <c r="B8596" t="s">
        <v>67</v>
      </c>
      <c r="C8596" s="23">
        <v>0.35308657948224498</v>
      </c>
      <c r="D8596" s="23">
        <v>0.33149171270718197</v>
      </c>
      <c r="E8596" s="23">
        <v>2.7100271002710001E-2</v>
      </c>
      <c r="F8596" s="23">
        <v>1</v>
      </c>
      <c r="G8596">
        <v>113</v>
      </c>
      <c r="H8596">
        <v>114</v>
      </c>
    </row>
    <row r="8597" spans="1:8" x14ac:dyDescent="0.3">
      <c r="A8597" s="22" t="s">
        <v>64</v>
      </c>
      <c r="B8597" t="s">
        <v>68</v>
      </c>
      <c r="C8597" s="23">
        <v>0.35242290748898703</v>
      </c>
      <c r="D8597" s="23">
        <v>0.35242290748898703</v>
      </c>
      <c r="E8597" s="23">
        <v>0.35242290748898703</v>
      </c>
      <c r="F8597" s="23">
        <v>0.35242290748898703</v>
      </c>
      <c r="G8597">
        <v>1</v>
      </c>
      <c r="H8597">
        <v>114</v>
      </c>
    </row>
    <row r="8598" spans="1:8" x14ac:dyDescent="0.3">
      <c r="C8598" s="23"/>
      <c r="D8598" s="23"/>
      <c r="E8598" s="23"/>
      <c r="F8598" s="23"/>
    </row>
    <row r="8599" spans="1:8" ht="72" x14ac:dyDescent="0.3">
      <c r="A8599" s="22" t="s">
        <v>1860</v>
      </c>
      <c r="C8599" s="23"/>
      <c r="D8599" s="23"/>
      <c r="E8599" s="23"/>
      <c r="F8599" s="23"/>
    </row>
    <row r="8600" spans="1:8" x14ac:dyDescent="0.3">
      <c r="A8600" s="22" t="s">
        <v>57</v>
      </c>
      <c r="B8600" t="s">
        <v>66</v>
      </c>
      <c r="C8600" s="23" t="s">
        <v>58</v>
      </c>
      <c r="D8600" s="23" t="s">
        <v>59</v>
      </c>
      <c r="E8600" s="23" t="s">
        <v>60</v>
      </c>
      <c r="F8600" s="23" t="s">
        <v>61</v>
      </c>
      <c r="G8600" t="s">
        <v>62</v>
      </c>
      <c r="H8600" t="s">
        <v>63</v>
      </c>
    </row>
    <row r="8601" spans="1:8" x14ac:dyDescent="0.3">
      <c r="A8601" s="22" t="s">
        <v>64</v>
      </c>
      <c r="B8601" t="s">
        <v>67</v>
      </c>
      <c r="C8601" s="23">
        <v>0.34631807846063251</v>
      </c>
      <c r="D8601" s="23">
        <v>0.32258064516128998</v>
      </c>
      <c r="E8601" s="23">
        <v>2.7100271002710001E-2</v>
      </c>
      <c r="F8601" s="23">
        <v>0.85714285714285698</v>
      </c>
      <c r="G8601">
        <v>105</v>
      </c>
      <c r="H8601">
        <v>114</v>
      </c>
    </row>
    <row r="8602" spans="1:8" x14ac:dyDescent="0.3">
      <c r="A8602" s="22" t="s">
        <v>64</v>
      </c>
      <c r="B8602" t="s">
        <v>68</v>
      </c>
      <c r="C8602" s="23">
        <v>0.43197868340180778</v>
      </c>
      <c r="D8602" s="23">
        <v>0.4</v>
      </c>
      <c r="E8602" s="23">
        <v>8.2644628099173598E-2</v>
      </c>
      <c r="F8602" s="23">
        <v>1</v>
      </c>
      <c r="G8602">
        <v>9</v>
      </c>
      <c r="H8602">
        <v>114</v>
      </c>
    </row>
    <row r="8603" spans="1:8" x14ac:dyDescent="0.3">
      <c r="C8603" s="23"/>
      <c r="D8603" s="23"/>
      <c r="E8603" s="23"/>
      <c r="F8603" s="23"/>
    </row>
    <row r="8604" spans="1:8" ht="72" x14ac:dyDescent="0.3">
      <c r="A8604" s="22" t="s">
        <v>1861</v>
      </c>
      <c r="C8604" s="23"/>
      <c r="D8604" s="23"/>
      <c r="E8604" s="23"/>
      <c r="F8604" s="23"/>
    </row>
    <row r="8605" spans="1:8" x14ac:dyDescent="0.3">
      <c r="A8605" s="22" t="s">
        <v>57</v>
      </c>
      <c r="B8605" t="s">
        <v>66</v>
      </c>
      <c r="C8605" s="23" t="s">
        <v>58</v>
      </c>
      <c r="D8605" s="23" t="s">
        <v>59</v>
      </c>
      <c r="E8605" s="23" t="s">
        <v>60</v>
      </c>
      <c r="F8605" s="23" t="s">
        <v>61</v>
      </c>
      <c r="G8605" t="s">
        <v>62</v>
      </c>
      <c r="H8605" t="s">
        <v>63</v>
      </c>
    </row>
    <row r="8606" spans="1:8" x14ac:dyDescent="0.3">
      <c r="A8606" s="22" t="s">
        <v>64</v>
      </c>
      <c r="B8606" t="s">
        <v>67</v>
      </c>
      <c r="C8606" s="23">
        <v>0.33404678388703962</v>
      </c>
      <c r="D8606" s="23">
        <v>0.53846153846153799</v>
      </c>
      <c r="E8606" s="23">
        <v>0.15151515151515199</v>
      </c>
      <c r="F8606" s="23">
        <v>0.66666666666666696</v>
      </c>
      <c r="G8606">
        <v>5</v>
      </c>
      <c r="H8606">
        <v>114</v>
      </c>
    </row>
    <row r="8607" spans="1:8" x14ac:dyDescent="0.3">
      <c r="A8607" s="22" t="s">
        <v>64</v>
      </c>
      <c r="B8607" t="s">
        <v>68</v>
      </c>
      <c r="C8607" s="23">
        <v>0.35395387586740801</v>
      </c>
      <c r="D8607" s="23">
        <v>0.33333333333333298</v>
      </c>
      <c r="E8607" s="23">
        <v>2.7100271002710001E-2</v>
      </c>
      <c r="F8607" s="23">
        <v>1</v>
      </c>
      <c r="G8607">
        <v>109</v>
      </c>
      <c r="H8607">
        <v>114</v>
      </c>
    </row>
    <row r="8608" spans="1:8" x14ac:dyDescent="0.3">
      <c r="C8608" s="23"/>
      <c r="D8608" s="23"/>
      <c r="E8608" s="23"/>
      <c r="F8608" s="23"/>
    </row>
    <row r="8609" spans="1:8" ht="72" x14ac:dyDescent="0.3">
      <c r="A8609" s="22" t="s">
        <v>1862</v>
      </c>
      <c r="C8609" s="23"/>
      <c r="D8609" s="23"/>
      <c r="E8609" s="23"/>
      <c r="F8609" s="23"/>
    </row>
    <row r="8610" spans="1:8" x14ac:dyDescent="0.3">
      <c r="A8610" s="22" t="s">
        <v>57</v>
      </c>
      <c r="B8610" t="s">
        <v>66</v>
      </c>
      <c r="C8610" s="23" t="s">
        <v>58</v>
      </c>
      <c r="D8610" s="23" t="s">
        <v>59</v>
      </c>
      <c r="E8610" s="23" t="s">
        <v>60</v>
      </c>
      <c r="F8610" s="23" t="s">
        <v>61</v>
      </c>
      <c r="G8610" t="s">
        <v>62</v>
      </c>
      <c r="H8610" t="s">
        <v>63</v>
      </c>
    </row>
    <row r="8611" spans="1:8" x14ac:dyDescent="0.3">
      <c r="A8611" s="22" t="s">
        <v>64</v>
      </c>
      <c r="B8611" t="s">
        <v>67</v>
      </c>
      <c r="C8611" s="23">
        <v>0.34627951141547281</v>
      </c>
      <c r="D8611" s="23">
        <v>0.33149171270718197</v>
      </c>
      <c r="E8611" s="23">
        <v>2.7100271002710001E-2</v>
      </c>
      <c r="F8611" s="23">
        <v>1</v>
      </c>
      <c r="G8611">
        <v>93</v>
      </c>
      <c r="H8611">
        <v>114</v>
      </c>
    </row>
    <row r="8612" spans="1:8" x14ac:dyDescent="0.3">
      <c r="A8612" s="22" t="s">
        <v>64</v>
      </c>
      <c r="B8612" t="s">
        <v>68</v>
      </c>
      <c r="C8612" s="23">
        <v>0.38320056320684298</v>
      </c>
      <c r="D8612" s="23">
        <v>0.37735849056603799</v>
      </c>
      <c r="E8612" s="23">
        <v>2.9812606473594499E-2</v>
      </c>
      <c r="F8612" s="23">
        <v>0.78947368421052599</v>
      </c>
      <c r="G8612">
        <v>21</v>
      </c>
      <c r="H8612">
        <v>114</v>
      </c>
    </row>
    <row r="8613" spans="1:8" x14ac:dyDescent="0.3">
      <c r="C8613" s="23"/>
      <c r="D8613" s="23"/>
      <c r="E8613" s="23"/>
      <c r="F8613" s="23"/>
    </row>
    <row r="8614" spans="1:8" ht="72" x14ac:dyDescent="0.3">
      <c r="A8614" s="22" t="s">
        <v>1863</v>
      </c>
      <c r="C8614" s="23"/>
      <c r="D8614" s="23"/>
      <c r="E8614" s="23"/>
      <c r="F8614" s="23"/>
    </row>
    <row r="8615" spans="1:8" x14ac:dyDescent="0.3">
      <c r="A8615" s="22" t="s">
        <v>57</v>
      </c>
      <c r="B8615" t="s">
        <v>66</v>
      </c>
      <c r="C8615" s="23" t="s">
        <v>58</v>
      </c>
      <c r="D8615" s="23" t="s">
        <v>59</v>
      </c>
      <c r="E8615" s="23" t="s">
        <v>60</v>
      </c>
      <c r="F8615" s="23" t="s">
        <v>61</v>
      </c>
      <c r="G8615" t="s">
        <v>62</v>
      </c>
      <c r="H8615" t="s">
        <v>63</v>
      </c>
    </row>
    <row r="8616" spans="1:8" x14ac:dyDescent="0.3">
      <c r="A8616" s="22" t="s">
        <v>64</v>
      </c>
      <c r="B8616" t="s">
        <v>67</v>
      </c>
      <c r="C8616" s="23">
        <v>0.36265188907344081</v>
      </c>
      <c r="D8616" s="23">
        <v>0.34883720930232598</v>
      </c>
      <c r="E8616" s="23">
        <v>2.9812606473594499E-2</v>
      </c>
      <c r="F8616" s="23">
        <v>1</v>
      </c>
      <c r="G8616">
        <v>89</v>
      </c>
      <c r="H8616">
        <v>114</v>
      </c>
    </row>
    <row r="8617" spans="1:8" x14ac:dyDescent="0.3">
      <c r="A8617" s="22" t="s">
        <v>64</v>
      </c>
      <c r="B8617" t="s">
        <v>68</v>
      </c>
      <c r="C8617" s="23">
        <v>0.31900753045785762</v>
      </c>
      <c r="D8617" s="23">
        <v>0.32258064516128998</v>
      </c>
      <c r="E8617" s="23">
        <v>2.7100271002710001E-2</v>
      </c>
      <c r="F8617" s="23">
        <v>0.66666666666666696</v>
      </c>
      <c r="G8617">
        <v>25</v>
      </c>
      <c r="H8617">
        <v>114</v>
      </c>
    </row>
    <row r="8618" spans="1:8" x14ac:dyDescent="0.3">
      <c r="C8618" s="23"/>
      <c r="D8618" s="23"/>
      <c r="E8618" s="23"/>
      <c r="F8618" s="23"/>
    </row>
    <row r="8619" spans="1:8" ht="72" x14ac:dyDescent="0.3">
      <c r="A8619" s="22" t="s">
        <v>1864</v>
      </c>
      <c r="C8619" s="23"/>
      <c r="D8619" s="23"/>
      <c r="E8619" s="23"/>
      <c r="F8619" s="23"/>
    </row>
    <row r="8620" spans="1:8" x14ac:dyDescent="0.3">
      <c r="A8620" s="22" t="s">
        <v>57</v>
      </c>
      <c r="B8620" t="s">
        <v>66</v>
      </c>
      <c r="C8620" s="23" t="s">
        <v>58</v>
      </c>
      <c r="D8620" s="23" t="s">
        <v>59</v>
      </c>
      <c r="E8620" s="23" t="s">
        <v>60</v>
      </c>
      <c r="F8620" s="23" t="s">
        <v>61</v>
      </c>
      <c r="G8620" t="s">
        <v>62</v>
      </c>
      <c r="H8620" t="s">
        <v>63</v>
      </c>
    </row>
    <row r="8621" spans="1:8" x14ac:dyDescent="0.3">
      <c r="A8621" s="22" t="s">
        <v>64</v>
      </c>
      <c r="B8621" t="s">
        <v>67</v>
      </c>
      <c r="C8621" s="23">
        <v>0.36706891743837172</v>
      </c>
      <c r="D8621" s="23">
        <v>0.35242290748898703</v>
      </c>
      <c r="E8621" s="23">
        <v>2.7100271002710001E-2</v>
      </c>
      <c r="F8621" s="23">
        <v>1</v>
      </c>
      <c r="G8621">
        <v>85</v>
      </c>
      <c r="H8621">
        <v>114</v>
      </c>
    </row>
    <row r="8622" spans="1:8" x14ac:dyDescent="0.3">
      <c r="A8622" s="22" t="s">
        <v>64</v>
      </c>
      <c r="B8622" t="s">
        <v>68</v>
      </c>
      <c r="C8622" s="23">
        <v>0.31208097954210651</v>
      </c>
      <c r="D8622" s="23">
        <v>0.32258064516128998</v>
      </c>
      <c r="E8622" s="23">
        <v>4.08163265306122E-2</v>
      </c>
      <c r="F8622" s="23">
        <v>0.85714285714285698</v>
      </c>
      <c r="G8622">
        <v>29</v>
      </c>
      <c r="H8622">
        <v>114</v>
      </c>
    </row>
    <row r="8623" spans="1:8" x14ac:dyDescent="0.3">
      <c r="C8623" s="23"/>
      <c r="D8623" s="23"/>
      <c r="E8623" s="23"/>
      <c r="F8623" s="23"/>
    </row>
    <row r="8624" spans="1:8" ht="86.4" x14ac:dyDescent="0.3">
      <c r="A8624" s="22" t="s">
        <v>1865</v>
      </c>
      <c r="C8624" s="23"/>
      <c r="D8624" s="23"/>
      <c r="E8624" s="23"/>
      <c r="F8624" s="23"/>
    </row>
    <row r="8625" spans="1:8" x14ac:dyDescent="0.3">
      <c r="A8625" s="22" t="s">
        <v>57</v>
      </c>
      <c r="B8625" t="s">
        <v>66</v>
      </c>
      <c r="C8625" s="23" t="s">
        <v>58</v>
      </c>
      <c r="D8625" s="23" t="s">
        <v>59</v>
      </c>
      <c r="E8625" s="23" t="s">
        <v>60</v>
      </c>
      <c r="F8625" s="23" t="s">
        <v>61</v>
      </c>
      <c r="G8625" t="s">
        <v>62</v>
      </c>
      <c r="H8625" t="s">
        <v>63</v>
      </c>
    </row>
    <row r="8626" spans="1:8" x14ac:dyDescent="0.3">
      <c r="A8626" s="22" t="s">
        <v>64</v>
      </c>
      <c r="B8626" t="s">
        <v>67</v>
      </c>
      <c r="C8626" s="23">
        <v>0.3533720974057184</v>
      </c>
      <c r="D8626" s="23">
        <v>0.33149171270718197</v>
      </c>
      <c r="E8626" s="23">
        <v>2.7100271002710001E-2</v>
      </c>
      <c r="F8626" s="23">
        <v>1</v>
      </c>
      <c r="G8626">
        <v>102</v>
      </c>
      <c r="H8626">
        <v>114</v>
      </c>
    </row>
    <row r="8627" spans="1:8" x14ac:dyDescent="0.3">
      <c r="A8627" s="22" t="s">
        <v>64</v>
      </c>
      <c r="B8627" t="s">
        <v>68</v>
      </c>
      <c r="C8627" s="23">
        <v>0.35060437113328219</v>
      </c>
      <c r="D8627" s="23">
        <v>0.24654832347139999</v>
      </c>
      <c r="E8627" s="23">
        <v>7.2164948453608199E-2</v>
      </c>
      <c r="F8627" s="23">
        <v>0.85714285714285698</v>
      </c>
      <c r="G8627">
        <v>12</v>
      </c>
      <c r="H8627">
        <v>114</v>
      </c>
    </row>
    <row r="8628" spans="1:8" x14ac:dyDescent="0.3">
      <c r="C8628" s="23"/>
      <c r="D8628" s="23"/>
      <c r="E8628" s="23"/>
      <c r="F8628" s="23"/>
    </row>
    <row r="8629" spans="1:8" ht="86.4" x14ac:dyDescent="0.3">
      <c r="A8629" s="22" t="s">
        <v>1866</v>
      </c>
      <c r="C8629" s="23"/>
      <c r="D8629" s="23"/>
      <c r="E8629" s="23"/>
      <c r="F8629" s="23"/>
    </row>
    <row r="8630" spans="1:8" x14ac:dyDescent="0.3">
      <c r="A8630" s="22" t="s">
        <v>57</v>
      </c>
      <c r="B8630" t="s">
        <v>66</v>
      </c>
      <c r="C8630" s="23" t="s">
        <v>58</v>
      </c>
      <c r="D8630" s="23" t="s">
        <v>59</v>
      </c>
      <c r="E8630" s="23" t="s">
        <v>60</v>
      </c>
      <c r="F8630" s="23" t="s">
        <v>61</v>
      </c>
      <c r="G8630" t="s">
        <v>62</v>
      </c>
      <c r="H8630" t="s">
        <v>63</v>
      </c>
    </row>
    <row r="8631" spans="1:8" x14ac:dyDescent="0.3">
      <c r="A8631" s="22" t="s">
        <v>64</v>
      </c>
      <c r="B8631" t="s">
        <v>67</v>
      </c>
      <c r="C8631" s="23">
        <v>0.35308075779809361</v>
      </c>
      <c r="D8631" s="23">
        <v>0.32786885245901598</v>
      </c>
      <c r="E8631" s="23">
        <v>2.7100271002710001E-2</v>
      </c>
      <c r="F8631" s="23">
        <v>1</v>
      </c>
      <c r="G8631">
        <v>114</v>
      </c>
      <c r="H8631">
        <v>114</v>
      </c>
    </row>
    <row r="8632" spans="1:8" x14ac:dyDescent="0.3">
      <c r="C8632" s="23"/>
      <c r="D8632" s="23"/>
      <c r="E8632" s="23"/>
      <c r="F8632" s="23"/>
    </row>
    <row r="8633" spans="1:8" ht="72" x14ac:dyDescent="0.3">
      <c r="A8633" s="22" t="s">
        <v>1867</v>
      </c>
      <c r="C8633" s="23"/>
      <c r="D8633" s="23"/>
      <c r="E8633" s="23"/>
      <c r="F8633" s="23"/>
    </row>
    <row r="8634" spans="1:8" x14ac:dyDescent="0.3">
      <c r="A8634" s="22" t="s">
        <v>57</v>
      </c>
      <c r="B8634" t="s">
        <v>66</v>
      </c>
      <c r="C8634" s="23" t="s">
        <v>58</v>
      </c>
      <c r="D8634" s="23" t="s">
        <v>59</v>
      </c>
      <c r="E8634" s="23" t="s">
        <v>60</v>
      </c>
      <c r="F8634" s="23" t="s">
        <v>61</v>
      </c>
      <c r="G8634" t="s">
        <v>62</v>
      </c>
      <c r="H8634" t="s">
        <v>63</v>
      </c>
    </row>
    <row r="8635" spans="1:8" x14ac:dyDescent="0.3">
      <c r="A8635" s="22" t="s">
        <v>64</v>
      </c>
      <c r="B8635" t="s">
        <v>67</v>
      </c>
      <c r="C8635" s="23">
        <v>0.35296410851279802</v>
      </c>
      <c r="D8635" s="23">
        <v>0.34782608695652201</v>
      </c>
      <c r="E8635" s="23">
        <v>2.7100271002710001E-2</v>
      </c>
      <c r="F8635" s="23">
        <v>0.78947368421052599</v>
      </c>
      <c r="G8635">
        <v>67</v>
      </c>
      <c r="H8635">
        <v>114</v>
      </c>
    </row>
    <row r="8636" spans="1:8" x14ac:dyDescent="0.3">
      <c r="A8636" s="22" t="s">
        <v>64</v>
      </c>
      <c r="B8636" t="s">
        <v>68</v>
      </c>
      <c r="C8636" s="23">
        <v>0.353247045077132</v>
      </c>
      <c r="D8636" s="23">
        <v>0.304054054054054</v>
      </c>
      <c r="E8636" s="23">
        <v>4.08163265306122E-2</v>
      </c>
      <c r="F8636" s="23">
        <v>1</v>
      </c>
      <c r="G8636">
        <v>47</v>
      </c>
      <c r="H8636">
        <v>114</v>
      </c>
    </row>
    <row r="8637" spans="1:8" x14ac:dyDescent="0.3">
      <c r="C8637" s="23"/>
      <c r="D8637" s="23"/>
      <c r="E8637" s="23"/>
      <c r="F8637" s="23"/>
    </row>
    <row r="8638" spans="1:8" ht="72" x14ac:dyDescent="0.3">
      <c r="A8638" s="22" t="s">
        <v>1868</v>
      </c>
      <c r="C8638" s="23"/>
      <c r="D8638" s="23"/>
      <c r="E8638" s="23"/>
      <c r="F8638" s="23"/>
    </row>
    <row r="8639" spans="1:8" x14ac:dyDescent="0.3">
      <c r="A8639" s="22" t="s">
        <v>57</v>
      </c>
      <c r="B8639" t="s">
        <v>66</v>
      </c>
      <c r="C8639" s="23" t="s">
        <v>58</v>
      </c>
      <c r="D8639" s="23" t="s">
        <v>59</v>
      </c>
      <c r="E8639" s="23" t="s">
        <v>60</v>
      </c>
      <c r="F8639" s="23" t="s">
        <v>61</v>
      </c>
      <c r="G8639" t="s">
        <v>62</v>
      </c>
      <c r="H8639" t="s">
        <v>63</v>
      </c>
    </row>
    <row r="8640" spans="1:8" x14ac:dyDescent="0.3">
      <c r="A8640" s="22" t="s">
        <v>64</v>
      </c>
      <c r="B8640" t="s">
        <v>67</v>
      </c>
      <c r="C8640" s="23">
        <v>0.36161473535056199</v>
      </c>
      <c r="D8640" s="23">
        <v>0.32786885245901598</v>
      </c>
      <c r="E8640" s="23">
        <v>2.7100271002710001E-2</v>
      </c>
      <c r="F8640" s="23">
        <v>1</v>
      </c>
      <c r="G8640">
        <v>100</v>
      </c>
      <c r="H8640">
        <v>114</v>
      </c>
    </row>
    <row r="8641" spans="1:8" x14ac:dyDescent="0.3">
      <c r="A8641" s="22" t="s">
        <v>64</v>
      </c>
      <c r="B8641" t="s">
        <v>68</v>
      </c>
      <c r="C8641" s="23">
        <v>0.29212377528046157</v>
      </c>
      <c r="D8641" s="23">
        <v>0.27027027027027001</v>
      </c>
      <c r="E8641" s="23">
        <v>2.9812606473594499E-2</v>
      </c>
      <c r="F8641" s="23">
        <v>0.56000000000000005</v>
      </c>
      <c r="G8641">
        <v>14</v>
      </c>
      <c r="H8641">
        <v>114</v>
      </c>
    </row>
    <row r="8642" spans="1:8" x14ac:dyDescent="0.3">
      <c r="C8642" s="23"/>
      <c r="D8642" s="23"/>
      <c r="E8642" s="23"/>
      <c r="F8642" s="23"/>
    </row>
    <row r="8643" spans="1:8" ht="57.6" x14ac:dyDescent="0.3">
      <c r="A8643" s="22" t="s">
        <v>1869</v>
      </c>
      <c r="C8643" s="23"/>
      <c r="D8643" s="23"/>
      <c r="E8643" s="23"/>
      <c r="F8643" s="23"/>
    </row>
    <row r="8644" spans="1:8" x14ac:dyDescent="0.3">
      <c r="A8644" s="22" t="s">
        <v>57</v>
      </c>
      <c r="B8644" t="s">
        <v>66</v>
      </c>
      <c r="C8644" s="23" t="s">
        <v>58</v>
      </c>
      <c r="D8644" s="23" t="s">
        <v>59</v>
      </c>
      <c r="E8644" s="23" t="s">
        <v>60</v>
      </c>
      <c r="F8644" s="23" t="s">
        <v>61</v>
      </c>
      <c r="G8644" t="s">
        <v>62</v>
      </c>
      <c r="H8644" t="s">
        <v>63</v>
      </c>
    </row>
    <row r="8645" spans="1:8" x14ac:dyDescent="0.3">
      <c r="A8645" s="22" t="s">
        <v>64</v>
      </c>
      <c r="B8645" t="s">
        <v>81</v>
      </c>
      <c r="C8645" s="23">
        <v>0.39509278611647719</v>
      </c>
      <c r="D8645" s="23">
        <v>0.4</v>
      </c>
      <c r="E8645" s="23">
        <v>2.7100271002710001E-2</v>
      </c>
      <c r="F8645" s="23">
        <v>0.78947368421052599</v>
      </c>
      <c r="G8645">
        <v>27</v>
      </c>
      <c r="H8645">
        <v>114</v>
      </c>
    </row>
    <row r="8646" spans="1:8" x14ac:dyDescent="0.3">
      <c r="A8646" s="22" t="s">
        <v>64</v>
      </c>
      <c r="B8646" t="s">
        <v>82</v>
      </c>
      <c r="C8646" s="23">
        <v>0.36260753203016161</v>
      </c>
      <c r="D8646" s="23">
        <v>0.37037037037037002</v>
      </c>
      <c r="E8646" s="23">
        <v>4.08163265306122E-2</v>
      </c>
      <c r="F8646" s="23">
        <v>0.70588235294117696</v>
      </c>
      <c r="G8646">
        <v>27</v>
      </c>
      <c r="H8646">
        <v>114</v>
      </c>
    </row>
    <row r="8647" spans="1:8" x14ac:dyDescent="0.3">
      <c r="A8647" s="22" t="s">
        <v>64</v>
      </c>
      <c r="B8647" t="s">
        <v>83</v>
      </c>
      <c r="C8647" s="23">
        <v>0.27381939118988141</v>
      </c>
      <c r="D8647" s="23">
        <v>0.27027027027027001</v>
      </c>
      <c r="E8647" s="23">
        <v>2.9812606473594499E-2</v>
      </c>
      <c r="F8647" s="23">
        <v>0.58823529411764697</v>
      </c>
      <c r="G8647">
        <v>29</v>
      </c>
      <c r="H8647">
        <v>114</v>
      </c>
    </row>
    <row r="8648" spans="1:8" x14ac:dyDescent="0.3">
      <c r="A8648" s="22" t="s">
        <v>64</v>
      </c>
      <c r="B8648" t="s">
        <v>84</v>
      </c>
      <c r="C8648" s="23">
        <v>0.38233985337151188</v>
      </c>
      <c r="D8648" s="23">
        <v>0.35242290748898703</v>
      </c>
      <c r="E8648" s="23">
        <v>7.2164948453608199E-2</v>
      </c>
      <c r="F8648" s="23">
        <v>1</v>
      </c>
      <c r="G8648">
        <v>31</v>
      </c>
      <c r="H8648">
        <v>114</v>
      </c>
    </row>
    <row r="8649" spans="1:8" x14ac:dyDescent="0.3">
      <c r="C8649" s="23"/>
      <c r="D8649" s="23"/>
      <c r="E8649" s="23"/>
      <c r="F8649" s="23"/>
    </row>
    <row r="8650" spans="1:8" ht="57.6" x14ac:dyDescent="0.3">
      <c r="A8650" s="22" t="s">
        <v>1870</v>
      </c>
      <c r="C8650" s="23"/>
      <c r="D8650" s="23"/>
      <c r="E8650" s="23"/>
      <c r="F8650" s="23"/>
    </row>
    <row r="8651" spans="1:8" x14ac:dyDescent="0.3">
      <c r="A8651" s="22" t="s">
        <v>57</v>
      </c>
      <c r="B8651" t="s">
        <v>58</v>
      </c>
      <c r="C8651" t="s">
        <v>59</v>
      </c>
      <c r="D8651" t="s">
        <v>60</v>
      </c>
      <c r="E8651" t="s">
        <v>61</v>
      </c>
      <c r="F8651" t="s">
        <v>62</v>
      </c>
      <c r="G8651" t="s">
        <v>63</v>
      </c>
    </row>
    <row r="8652" spans="1:8" x14ac:dyDescent="0.3">
      <c r="A8652" s="22" t="s">
        <v>64</v>
      </c>
      <c r="B8652" s="23">
        <v>8.0726828627299671E-2</v>
      </c>
      <c r="C8652" s="23">
        <v>7.4074074074074098E-2</v>
      </c>
      <c r="D8652" s="23">
        <v>2.5553662691652499E-3</v>
      </c>
      <c r="E8652" s="23">
        <v>0.2</v>
      </c>
      <c r="F8652">
        <v>51</v>
      </c>
      <c r="G8652">
        <v>51</v>
      </c>
    </row>
    <row r="8654" spans="1:8" ht="72" x14ac:dyDescent="0.3">
      <c r="A8654" s="22" t="s">
        <v>1871</v>
      </c>
      <c r="C8654" s="23"/>
      <c r="D8654" s="23"/>
      <c r="E8654" s="23"/>
      <c r="F8654" s="23"/>
    </row>
    <row r="8655" spans="1:8" x14ac:dyDescent="0.3">
      <c r="A8655" s="22" t="s">
        <v>57</v>
      </c>
      <c r="B8655" t="s">
        <v>66</v>
      </c>
      <c r="C8655" s="23" t="s">
        <v>58</v>
      </c>
      <c r="D8655" s="23" t="s">
        <v>59</v>
      </c>
      <c r="E8655" s="23" t="s">
        <v>60</v>
      </c>
      <c r="F8655" s="23" t="s">
        <v>61</v>
      </c>
      <c r="G8655" t="s">
        <v>62</v>
      </c>
      <c r="H8655" t="s">
        <v>63</v>
      </c>
    </row>
    <row r="8656" spans="1:8" x14ac:dyDescent="0.3">
      <c r="A8656" s="22" t="s">
        <v>64</v>
      </c>
      <c r="B8656" t="s">
        <v>67</v>
      </c>
      <c r="C8656" s="23">
        <v>8.001344782843002E-2</v>
      </c>
      <c r="D8656" s="23">
        <v>6.9767441860465101E-2</v>
      </c>
      <c r="E8656" s="23">
        <v>2.5553662691652499E-3</v>
      </c>
      <c r="F8656" s="23">
        <v>0.2</v>
      </c>
      <c r="G8656">
        <v>48</v>
      </c>
      <c r="H8656">
        <v>51</v>
      </c>
    </row>
    <row r="8657" spans="1:8" x14ac:dyDescent="0.3">
      <c r="A8657" s="22" t="s">
        <v>64</v>
      </c>
      <c r="B8657" t="s">
        <v>68</v>
      </c>
      <c r="C8657" s="23">
        <v>9.2140921409214038E-2</v>
      </c>
      <c r="D8657" s="23">
        <v>0.11111111111111099</v>
      </c>
      <c r="E8657" s="23">
        <v>5.4200542005420099E-2</v>
      </c>
      <c r="F8657" s="23">
        <v>0.11111111111111099</v>
      </c>
      <c r="G8657">
        <v>3</v>
      </c>
      <c r="H8657">
        <v>51</v>
      </c>
    </row>
    <row r="8658" spans="1:8" x14ac:dyDescent="0.3">
      <c r="C8658" s="23"/>
      <c r="D8658" s="23"/>
      <c r="E8658" s="23"/>
      <c r="F8658" s="23"/>
    </row>
    <row r="8659" spans="1:8" x14ac:dyDescent="0.3">
      <c r="A8659"/>
      <c r="C8659" s="23"/>
      <c r="D8659" s="23"/>
      <c r="E8659" s="23"/>
      <c r="F8659" s="23"/>
    </row>
    <row r="8660" spans="1:8" x14ac:dyDescent="0.3">
      <c r="A8660"/>
      <c r="C8660" s="23"/>
      <c r="D8660" s="23"/>
      <c r="E8660" s="23"/>
      <c r="F8660" s="23"/>
    </row>
    <row r="8661" spans="1:8" x14ac:dyDescent="0.3">
      <c r="A8661"/>
      <c r="C8661" s="23"/>
      <c r="D8661" s="23"/>
      <c r="E8661" s="23"/>
      <c r="F8661" s="23"/>
    </row>
    <row r="8662" spans="1:8" x14ac:dyDescent="0.3">
      <c r="C8662" s="23"/>
      <c r="D8662" s="23"/>
      <c r="E8662" s="23"/>
      <c r="F8662" s="23"/>
    </row>
    <row r="8663" spans="1:8" ht="72" x14ac:dyDescent="0.3">
      <c r="A8663" s="22" t="s">
        <v>1872</v>
      </c>
      <c r="C8663" s="23"/>
      <c r="D8663" s="23"/>
      <c r="E8663" s="23"/>
      <c r="F8663" s="23"/>
    </row>
    <row r="8664" spans="1:8" x14ac:dyDescent="0.3">
      <c r="A8664" s="22" t="s">
        <v>57</v>
      </c>
      <c r="B8664" t="s">
        <v>66</v>
      </c>
      <c r="C8664" s="23" t="s">
        <v>58</v>
      </c>
      <c r="D8664" s="23" t="s">
        <v>59</v>
      </c>
      <c r="E8664" s="23" t="s">
        <v>60</v>
      </c>
      <c r="F8664" s="23" t="s">
        <v>61</v>
      </c>
      <c r="G8664" t="s">
        <v>62</v>
      </c>
      <c r="H8664" t="s">
        <v>63</v>
      </c>
    </row>
    <row r="8665" spans="1:8" x14ac:dyDescent="0.3">
      <c r="A8665" s="22" t="s">
        <v>64</v>
      </c>
      <c r="B8665" t="s">
        <v>67</v>
      </c>
      <c r="C8665" s="23">
        <v>8.0361618995202957E-2</v>
      </c>
      <c r="D8665" s="23">
        <v>7.4074074074074098E-2</v>
      </c>
      <c r="E8665" s="23">
        <v>2.5553662691652499E-3</v>
      </c>
      <c r="F8665" s="23">
        <v>0.2</v>
      </c>
      <c r="G8665">
        <v>47</v>
      </c>
      <c r="H8665">
        <v>51</v>
      </c>
    </row>
    <row r="8666" spans="1:8" x14ac:dyDescent="0.3">
      <c r="A8666" s="22" t="s">
        <v>64</v>
      </c>
      <c r="B8666" t="s">
        <v>68</v>
      </c>
      <c r="C8666" s="23">
        <v>8.5018041804436228E-2</v>
      </c>
      <c r="D8666" s="23">
        <v>4.80769230769231E-2</v>
      </c>
      <c r="E8666" s="23">
        <v>4.7961630695443597E-2</v>
      </c>
      <c r="F8666" s="23">
        <v>0.16</v>
      </c>
      <c r="G8666">
        <v>4</v>
      </c>
      <c r="H8666">
        <v>51</v>
      </c>
    </row>
    <row r="8667" spans="1:8" x14ac:dyDescent="0.3">
      <c r="C8667" s="23"/>
      <c r="D8667" s="23"/>
      <c r="E8667" s="23"/>
      <c r="F8667" s="23"/>
    </row>
    <row r="8668" spans="1:8" ht="72" x14ac:dyDescent="0.3">
      <c r="A8668" s="22" t="s">
        <v>1873</v>
      </c>
      <c r="C8668" s="23"/>
      <c r="D8668" s="23"/>
      <c r="E8668" s="23"/>
      <c r="F8668" s="23"/>
    </row>
    <row r="8669" spans="1:8" x14ac:dyDescent="0.3">
      <c r="A8669" s="22" t="s">
        <v>57</v>
      </c>
      <c r="B8669" t="s">
        <v>66</v>
      </c>
      <c r="C8669" s="23" t="s">
        <v>58</v>
      </c>
      <c r="D8669" s="23" t="s">
        <v>59</v>
      </c>
      <c r="E8669" s="23" t="s">
        <v>60</v>
      </c>
      <c r="F8669" s="23" t="s">
        <v>61</v>
      </c>
      <c r="G8669" t="s">
        <v>62</v>
      </c>
      <c r="H8669" t="s">
        <v>63</v>
      </c>
    </row>
    <row r="8670" spans="1:8" x14ac:dyDescent="0.3">
      <c r="A8670" s="22" t="s">
        <v>64</v>
      </c>
      <c r="B8670" t="s">
        <v>67</v>
      </c>
      <c r="C8670" s="23">
        <v>8.0726828627299671E-2</v>
      </c>
      <c r="D8670" s="23">
        <v>7.4074074074074098E-2</v>
      </c>
      <c r="E8670" s="23">
        <v>2.5553662691652499E-3</v>
      </c>
      <c r="F8670" s="23">
        <v>0.2</v>
      </c>
      <c r="G8670">
        <v>51</v>
      </c>
      <c r="H8670">
        <v>51</v>
      </c>
    </row>
    <row r="8671" spans="1:8" x14ac:dyDescent="0.3">
      <c r="C8671" s="23"/>
      <c r="D8671" s="23"/>
      <c r="E8671" s="23"/>
      <c r="F8671" s="23"/>
    </row>
    <row r="8672" spans="1:8" ht="72" x14ac:dyDescent="0.3">
      <c r="A8672" s="22" t="s">
        <v>1874</v>
      </c>
      <c r="C8672" s="23"/>
      <c r="D8672" s="23"/>
      <c r="E8672" s="23"/>
      <c r="F8672" s="23"/>
    </row>
    <row r="8673" spans="1:8" x14ac:dyDescent="0.3">
      <c r="A8673" s="22" t="s">
        <v>57</v>
      </c>
      <c r="B8673" t="s">
        <v>66</v>
      </c>
      <c r="C8673" s="23" t="s">
        <v>58</v>
      </c>
      <c r="D8673" s="23" t="s">
        <v>59</v>
      </c>
      <c r="E8673" s="23" t="s">
        <v>60</v>
      </c>
      <c r="F8673" s="23" t="s">
        <v>61</v>
      </c>
      <c r="G8673" t="s">
        <v>62</v>
      </c>
      <c r="H8673" t="s">
        <v>63</v>
      </c>
    </row>
    <row r="8674" spans="1:8" x14ac:dyDescent="0.3">
      <c r="A8674" s="22" t="s">
        <v>64</v>
      </c>
      <c r="B8674" t="s">
        <v>67</v>
      </c>
      <c r="C8674" s="23">
        <v>7.9118597626484488E-2</v>
      </c>
      <c r="D8674" s="23">
        <v>6.9767441860465101E-2</v>
      </c>
      <c r="E8674" s="23">
        <v>2.5553662691652499E-3</v>
      </c>
      <c r="F8674" s="23">
        <v>0.2</v>
      </c>
      <c r="G8674">
        <v>48</v>
      </c>
      <c r="H8674">
        <v>51</v>
      </c>
    </row>
    <row r="8675" spans="1:8" x14ac:dyDescent="0.3">
      <c r="A8675" s="22" t="s">
        <v>64</v>
      </c>
      <c r="B8675" t="s">
        <v>68</v>
      </c>
      <c r="C8675" s="23">
        <v>0.10645852464034281</v>
      </c>
      <c r="D8675" s="23">
        <v>0.2</v>
      </c>
      <c r="E8675" s="23">
        <v>8.2644628099173608E-3</v>
      </c>
      <c r="F8675" s="23">
        <v>0.2</v>
      </c>
      <c r="G8675">
        <v>3</v>
      </c>
      <c r="H8675">
        <v>51</v>
      </c>
    </row>
    <row r="8676" spans="1:8" x14ac:dyDescent="0.3">
      <c r="C8676" s="23"/>
      <c r="D8676" s="23"/>
      <c r="E8676" s="23"/>
      <c r="F8676" s="23"/>
    </row>
    <row r="8677" spans="1:8" ht="72" x14ac:dyDescent="0.3">
      <c r="A8677" s="22" t="s">
        <v>1875</v>
      </c>
      <c r="C8677" s="23"/>
      <c r="D8677" s="23"/>
      <c r="E8677" s="23"/>
      <c r="F8677" s="23"/>
    </row>
    <row r="8678" spans="1:8" x14ac:dyDescent="0.3">
      <c r="A8678" s="22" t="s">
        <v>57</v>
      </c>
      <c r="B8678" t="s">
        <v>66</v>
      </c>
      <c r="C8678" s="23" t="s">
        <v>58</v>
      </c>
      <c r="D8678" s="23" t="s">
        <v>59</v>
      </c>
      <c r="E8678" s="23" t="s">
        <v>60</v>
      </c>
      <c r="F8678" s="23" t="s">
        <v>61</v>
      </c>
      <c r="G8678" t="s">
        <v>62</v>
      </c>
      <c r="H8678" t="s">
        <v>63</v>
      </c>
    </row>
    <row r="8679" spans="1:8" x14ac:dyDescent="0.3">
      <c r="A8679" s="22" t="s">
        <v>64</v>
      </c>
      <c r="B8679" t="s">
        <v>67</v>
      </c>
      <c r="C8679" s="23">
        <v>5.7220232140359928E-2</v>
      </c>
      <c r="D8679" s="23">
        <v>8.3333333333333301E-2</v>
      </c>
      <c r="E8679" s="23">
        <v>4.0404040404040401E-2</v>
      </c>
      <c r="F8679" s="23">
        <v>8.3333333333333301E-2</v>
      </c>
      <c r="G8679">
        <v>3</v>
      </c>
      <c r="H8679">
        <v>51</v>
      </c>
    </row>
    <row r="8680" spans="1:8" x14ac:dyDescent="0.3">
      <c r="A8680" s="22" t="s">
        <v>64</v>
      </c>
      <c r="B8680" t="s">
        <v>68</v>
      </c>
      <c r="C8680" s="23">
        <v>8.2195990907733399E-2</v>
      </c>
      <c r="D8680" s="23">
        <v>7.0422535211267595E-2</v>
      </c>
      <c r="E8680" s="23">
        <v>2.5553662691652499E-3</v>
      </c>
      <c r="F8680" s="23">
        <v>0.2</v>
      </c>
      <c r="G8680">
        <v>48</v>
      </c>
      <c r="H8680">
        <v>51</v>
      </c>
    </row>
    <row r="8681" spans="1:8" x14ac:dyDescent="0.3">
      <c r="C8681" s="23"/>
      <c r="D8681" s="23"/>
      <c r="E8681" s="23"/>
      <c r="F8681" s="23"/>
    </row>
    <row r="8682" spans="1:8" ht="72" x14ac:dyDescent="0.3">
      <c r="A8682" s="22" t="s">
        <v>1876</v>
      </c>
      <c r="C8682" s="23"/>
      <c r="D8682" s="23"/>
      <c r="E8682" s="23"/>
      <c r="F8682" s="23"/>
    </row>
    <row r="8683" spans="1:8" x14ac:dyDescent="0.3">
      <c r="A8683" s="22" t="s">
        <v>57</v>
      </c>
      <c r="B8683" t="s">
        <v>66</v>
      </c>
      <c r="C8683" s="23" t="s">
        <v>58</v>
      </c>
      <c r="D8683" s="23" t="s">
        <v>59</v>
      </c>
      <c r="E8683" s="23" t="s">
        <v>60</v>
      </c>
      <c r="F8683" s="23" t="s">
        <v>61</v>
      </c>
      <c r="G8683" t="s">
        <v>62</v>
      </c>
      <c r="H8683" t="s">
        <v>63</v>
      </c>
    </row>
    <row r="8684" spans="1:8" x14ac:dyDescent="0.3">
      <c r="A8684" s="22" t="s">
        <v>64</v>
      </c>
      <c r="B8684" t="s">
        <v>67</v>
      </c>
      <c r="C8684" s="23">
        <v>8.0640645358559207E-2</v>
      </c>
      <c r="D8684" s="23">
        <v>7.4074074074074098E-2</v>
      </c>
      <c r="E8684" s="23">
        <v>8.2644628099173608E-3</v>
      </c>
      <c r="F8684" s="23">
        <v>0.2</v>
      </c>
      <c r="G8684">
        <v>41</v>
      </c>
      <c r="H8684">
        <v>51</v>
      </c>
    </row>
    <row r="8685" spans="1:8" x14ac:dyDescent="0.3">
      <c r="A8685" s="22" t="s">
        <v>64</v>
      </c>
      <c r="B8685" t="s">
        <v>68</v>
      </c>
      <c r="C8685" s="23">
        <v>8.1080180029135571E-2</v>
      </c>
      <c r="D8685" s="23">
        <v>7.0422535211267595E-2</v>
      </c>
      <c r="E8685" s="23">
        <v>2.5553662691652499E-3</v>
      </c>
      <c r="F8685" s="23">
        <v>0.173913043478261</v>
      </c>
      <c r="G8685">
        <v>10</v>
      </c>
      <c r="H8685">
        <v>51</v>
      </c>
    </row>
    <row r="8686" spans="1:8" x14ac:dyDescent="0.3">
      <c r="C8686" s="23"/>
      <c r="D8686" s="23"/>
      <c r="E8686" s="23"/>
      <c r="F8686" s="23"/>
    </row>
    <row r="8687" spans="1:8" ht="72" x14ac:dyDescent="0.3">
      <c r="A8687" s="22" t="s">
        <v>1877</v>
      </c>
      <c r="C8687" s="23"/>
      <c r="D8687" s="23"/>
      <c r="E8687" s="23"/>
      <c r="F8687" s="23"/>
    </row>
    <row r="8688" spans="1:8" x14ac:dyDescent="0.3">
      <c r="A8688" s="22" t="s">
        <v>57</v>
      </c>
      <c r="B8688" t="s">
        <v>66</v>
      </c>
      <c r="C8688" s="23" t="s">
        <v>58</v>
      </c>
      <c r="D8688" s="23" t="s">
        <v>59</v>
      </c>
      <c r="E8688" s="23" t="s">
        <v>60</v>
      </c>
      <c r="F8688" s="23" t="s">
        <v>61</v>
      </c>
      <c r="G8688" t="s">
        <v>62</v>
      </c>
      <c r="H8688" t="s">
        <v>63</v>
      </c>
    </row>
    <row r="8689" spans="1:8" x14ac:dyDescent="0.3">
      <c r="A8689" s="22" t="s">
        <v>64</v>
      </c>
      <c r="B8689" t="s">
        <v>67</v>
      </c>
      <c r="C8689" s="23">
        <v>8.1541509545834751E-2</v>
      </c>
      <c r="D8689" s="23">
        <v>7.4074074074074098E-2</v>
      </c>
      <c r="E8689" s="23">
        <v>2.5553662691652499E-3</v>
      </c>
      <c r="F8689" s="23">
        <v>0.2</v>
      </c>
      <c r="G8689">
        <v>36</v>
      </c>
      <c r="H8689">
        <v>51</v>
      </c>
    </row>
    <row r="8690" spans="1:8" x14ac:dyDescent="0.3">
      <c r="A8690" s="22" t="s">
        <v>64</v>
      </c>
      <c r="B8690" t="s">
        <v>68</v>
      </c>
      <c r="C8690" s="23">
        <v>7.8771594422815505E-2</v>
      </c>
      <c r="D8690" s="23">
        <v>7.0422535211267595E-2</v>
      </c>
      <c r="E8690" s="23">
        <v>3.3726812816188903E-2</v>
      </c>
      <c r="F8690" s="23">
        <v>0.2</v>
      </c>
      <c r="G8690">
        <v>15</v>
      </c>
      <c r="H8690">
        <v>51</v>
      </c>
    </row>
    <row r="8691" spans="1:8" x14ac:dyDescent="0.3">
      <c r="C8691" s="23"/>
      <c r="D8691" s="23"/>
      <c r="E8691" s="23"/>
      <c r="F8691" s="23"/>
    </row>
    <row r="8692" spans="1:8" ht="72" x14ac:dyDescent="0.3">
      <c r="A8692" s="22" t="s">
        <v>1878</v>
      </c>
      <c r="C8692" s="23"/>
      <c r="D8692" s="23"/>
      <c r="E8692" s="23"/>
      <c r="F8692" s="23"/>
    </row>
    <row r="8693" spans="1:8" x14ac:dyDescent="0.3">
      <c r="A8693" s="22" t="s">
        <v>57</v>
      </c>
      <c r="B8693" t="s">
        <v>66</v>
      </c>
      <c r="C8693" s="23" t="s">
        <v>58</v>
      </c>
      <c r="D8693" s="23" t="s">
        <v>59</v>
      </c>
      <c r="E8693" s="23" t="s">
        <v>60</v>
      </c>
      <c r="F8693" s="23" t="s">
        <v>61</v>
      </c>
      <c r="G8693" t="s">
        <v>62</v>
      </c>
      <c r="H8693" t="s">
        <v>63</v>
      </c>
    </row>
    <row r="8694" spans="1:8" x14ac:dyDescent="0.3">
      <c r="A8694" s="22" t="s">
        <v>64</v>
      </c>
      <c r="B8694" t="s">
        <v>67</v>
      </c>
      <c r="C8694" s="23">
        <v>7.9414136312643685E-2</v>
      </c>
      <c r="D8694" s="23">
        <v>7.0422535211267595E-2</v>
      </c>
      <c r="E8694" s="23">
        <v>2.5553662691652499E-3</v>
      </c>
      <c r="F8694" s="23">
        <v>0.2</v>
      </c>
      <c r="G8694">
        <v>39</v>
      </c>
      <c r="H8694">
        <v>51</v>
      </c>
    </row>
    <row r="8695" spans="1:8" x14ac:dyDescent="0.3">
      <c r="A8695" s="22" t="s">
        <v>64</v>
      </c>
      <c r="B8695" t="s">
        <v>68</v>
      </c>
      <c r="C8695" s="23">
        <v>8.499307864993165E-2</v>
      </c>
      <c r="D8695" s="23">
        <v>8.3333333333333301E-2</v>
      </c>
      <c r="E8695" s="23">
        <v>2.04081632653061E-2</v>
      </c>
      <c r="F8695" s="23">
        <v>0.2</v>
      </c>
      <c r="G8695">
        <v>12</v>
      </c>
      <c r="H8695">
        <v>51</v>
      </c>
    </row>
    <row r="8696" spans="1:8" x14ac:dyDescent="0.3">
      <c r="C8696" s="23"/>
      <c r="D8696" s="23"/>
      <c r="E8696" s="23"/>
      <c r="F8696" s="23"/>
    </row>
    <row r="8697" spans="1:8" ht="86.4" x14ac:dyDescent="0.3">
      <c r="A8697" s="22" t="s">
        <v>1879</v>
      </c>
      <c r="C8697" s="23"/>
      <c r="D8697" s="23"/>
      <c r="E8697" s="23"/>
      <c r="F8697" s="23"/>
    </row>
    <row r="8698" spans="1:8" x14ac:dyDescent="0.3">
      <c r="A8698" s="22" t="s">
        <v>57</v>
      </c>
      <c r="B8698" t="s">
        <v>66</v>
      </c>
      <c r="C8698" s="23" t="s">
        <v>58</v>
      </c>
      <c r="D8698" s="23" t="s">
        <v>59</v>
      </c>
      <c r="E8698" s="23" t="s">
        <v>60</v>
      </c>
      <c r="F8698" s="23" t="s">
        <v>61</v>
      </c>
      <c r="G8698" t="s">
        <v>62</v>
      </c>
      <c r="H8698" t="s">
        <v>63</v>
      </c>
    </row>
    <row r="8699" spans="1:8" x14ac:dyDescent="0.3">
      <c r="A8699" s="22" t="s">
        <v>64</v>
      </c>
      <c r="B8699" t="s">
        <v>67</v>
      </c>
      <c r="C8699" s="23">
        <v>7.8385227351320405E-2</v>
      </c>
      <c r="D8699" s="23">
        <v>6.9767441860465101E-2</v>
      </c>
      <c r="E8699" s="23">
        <v>2.5553662691652499E-3</v>
      </c>
      <c r="F8699" s="23">
        <v>0.2</v>
      </c>
      <c r="G8699">
        <v>46</v>
      </c>
      <c r="H8699">
        <v>51</v>
      </c>
    </row>
    <row r="8700" spans="1:8" x14ac:dyDescent="0.3">
      <c r="A8700" s="22" t="s">
        <v>64</v>
      </c>
      <c r="B8700" t="s">
        <v>68</v>
      </c>
      <c r="C8700" s="23">
        <v>0.1022695603663089</v>
      </c>
      <c r="D8700" s="23">
        <v>0.14792899408283999</v>
      </c>
      <c r="E8700" s="23">
        <v>4.0404040404040401E-2</v>
      </c>
      <c r="F8700" s="23">
        <v>0.2</v>
      </c>
      <c r="G8700">
        <v>5</v>
      </c>
      <c r="H8700">
        <v>51</v>
      </c>
    </row>
    <row r="8701" spans="1:8" x14ac:dyDescent="0.3">
      <c r="C8701" s="23"/>
      <c r="D8701" s="23"/>
      <c r="E8701" s="23"/>
      <c r="F8701" s="23"/>
    </row>
    <row r="8702" spans="1:8" ht="86.4" x14ac:dyDescent="0.3">
      <c r="A8702" s="22" t="s">
        <v>1880</v>
      </c>
      <c r="C8702" s="23"/>
      <c r="D8702" s="23"/>
      <c r="E8702" s="23"/>
      <c r="F8702" s="23"/>
    </row>
    <row r="8703" spans="1:8" x14ac:dyDescent="0.3">
      <c r="A8703" s="22" t="s">
        <v>57</v>
      </c>
      <c r="B8703" t="s">
        <v>66</v>
      </c>
      <c r="C8703" s="23" t="s">
        <v>58</v>
      </c>
      <c r="D8703" s="23" t="s">
        <v>59</v>
      </c>
      <c r="E8703" s="23" t="s">
        <v>60</v>
      </c>
      <c r="F8703" s="23" t="s">
        <v>61</v>
      </c>
      <c r="G8703" t="s">
        <v>62</v>
      </c>
      <c r="H8703" t="s">
        <v>63</v>
      </c>
    </row>
    <row r="8704" spans="1:8" x14ac:dyDescent="0.3">
      <c r="A8704" s="22" t="s">
        <v>64</v>
      </c>
      <c r="B8704" t="s">
        <v>67</v>
      </c>
      <c r="C8704" s="23">
        <v>8.0726828627299671E-2</v>
      </c>
      <c r="D8704" s="23">
        <v>7.4074074074074098E-2</v>
      </c>
      <c r="E8704" s="23">
        <v>2.5553662691652499E-3</v>
      </c>
      <c r="F8704" s="23">
        <v>0.2</v>
      </c>
      <c r="G8704">
        <v>51</v>
      </c>
      <c r="H8704">
        <v>51</v>
      </c>
    </row>
    <row r="8705" spans="1:8" x14ac:dyDescent="0.3">
      <c r="C8705" s="23"/>
      <c r="D8705" s="23"/>
      <c r="E8705" s="23"/>
      <c r="F8705" s="23"/>
    </row>
    <row r="8706" spans="1:8" ht="72" x14ac:dyDescent="0.3">
      <c r="A8706" s="22" t="s">
        <v>1881</v>
      </c>
      <c r="C8706" s="23"/>
      <c r="D8706" s="23"/>
      <c r="E8706" s="23"/>
      <c r="F8706" s="23"/>
    </row>
    <row r="8707" spans="1:8" x14ac:dyDescent="0.3">
      <c r="A8707" s="22" t="s">
        <v>57</v>
      </c>
      <c r="B8707" t="s">
        <v>66</v>
      </c>
      <c r="C8707" s="23" t="s">
        <v>58</v>
      </c>
      <c r="D8707" s="23" t="s">
        <v>59</v>
      </c>
      <c r="E8707" s="23" t="s">
        <v>60</v>
      </c>
      <c r="F8707" s="23" t="s">
        <v>61</v>
      </c>
      <c r="G8707" t="s">
        <v>62</v>
      </c>
      <c r="H8707" t="s">
        <v>63</v>
      </c>
    </row>
    <row r="8708" spans="1:8" x14ac:dyDescent="0.3">
      <c r="A8708" s="22" t="s">
        <v>64</v>
      </c>
      <c r="B8708" t="s">
        <v>67</v>
      </c>
      <c r="C8708" s="23">
        <v>8.5142052512186997E-2</v>
      </c>
      <c r="D8708" s="23">
        <v>7.0422535211267595E-2</v>
      </c>
      <c r="E8708" s="23">
        <v>2.5553662691652499E-3</v>
      </c>
      <c r="F8708" s="23">
        <v>0.2</v>
      </c>
      <c r="G8708">
        <v>32</v>
      </c>
      <c r="H8708">
        <v>51</v>
      </c>
    </row>
    <row r="8709" spans="1:8" x14ac:dyDescent="0.3">
      <c r="A8709" s="22" t="s">
        <v>64</v>
      </c>
      <c r="B8709" t="s">
        <v>68</v>
      </c>
      <c r="C8709" s="23">
        <v>7.3290662084331576E-2</v>
      </c>
      <c r="D8709" s="23">
        <v>7.4074074074074098E-2</v>
      </c>
      <c r="E8709" s="23">
        <v>8.2644628099173608E-3</v>
      </c>
      <c r="F8709" s="23">
        <v>0.2</v>
      </c>
      <c r="G8709">
        <v>19</v>
      </c>
      <c r="H8709">
        <v>51</v>
      </c>
    </row>
    <row r="8710" spans="1:8" x14ac:dyDescent="0.3">
      <c r="C8710" s="23"/>
      <c r="D8710" s="23"/>
      <c r="E8710" s="23"/>
      <c r="F8710" s="23"/>
    </row>
    <row r="8711" spans="1:8" ht="86.4" x14ac:dyDescent="0.3">
      <c r="A8711" s="22" t="s">
        <v>1882</v>
      </c>
      <c r="C8711" s="23"/>
      <c r="D8711" s="23"/>
      <c r="E8711" s="23"/>
      <c r="F8711" s="23"/>
    </row>
    <row r="8712" spans="1:8" x14ac:dyDescent="0.3">
      <c r="A8712" s="22" t="s">
        <v>57</v>
      </c>
      <c r="B8712" t="s">
        <v>66</v>
      </c>
      <c r="C8712" s="23" t="s">
        <v>58</v>
      </c>
      <c r="D8712" s="23" t="s">
        <v>59</v>
      </c>
      <c r="E8712" s="23" t="s">
        <v>60</v>
      </c>
      <c r="F8712" s="23" t="s">
        <v>61</v>
      </c>
      <c r="G8712" t="s">
        <v>62</v>
      </c>
      <c r="H8712" t="s">
        <v>63</v>
      </c>
    </row>
    <row r="8713" spans="1:8" x14ac:dyDescent="0.3">
      <c r="A8713" s="22" t="s">
        <v>64</v>
      </c>
      <c r="B8713" t="s">
        <v>67</v>
      </c>
      <c r="C8713" s="23">
        <v>7.9367674995623791E-2</v>
      </c>
      <c r="D8713" s="23">
        <v>6.0422960725075497E-2</v>
      </c>
      <c r="E8713" s="23">
        <v>8.2644628099173608E-3</v>
      </c>
      <c r="F8713" s="23">
        <v>0.2</v>
      </c>
      <c r="G8713">
        <v>42</v>
      </c>
      <c r="H8713">
        <v>51</v>
      </c>
    </row>
    <row r="8714" spans="1:8" x14ac:dyDescent="0.3">
      <c r="A8714" s="22" t="s">
        <v>64</v>
      </c>
      <c r="B8714" t="s">
        <v>68</v>
      </c>
      <c r="C8714" s="23">
        <v>8.7069545575120449E-2</v>
      </c>
      <c r="D8714" s="23">
        <v>0.11764705882352899</v>
      </c>
      <c r="E8714" s="23">
        <v>2.5553662691652499E-3</v>
      </c>
      <c r="F8714" s="23">
        <v>0.173913043478261</v>
      </c>
      <c r="G8714">
        <v>9</v>
      </c>
      <c r="H8714">
        <v>51</v>
      </c>
    </row>
    <row r="8715" spans="1:8" x14ac:dyDescent="0.3">
      <c r="C8715" s="23"/>
      <c r="D8715" s="23"/>
      <c r="E8715" s="23"/>
      <c r="F8715" s="23"/>
    </row>
    <row r="8716" spans="1:8" ht="72" x14ac:dyDescent="0.3">
      <c r="A8716" s="22" t="s">
        <v>1883</v>
      </c>
      <c r="C8716" s="23"/>
      <c r="D8716" s="23"/>
      <c r="E8716" s="23"/>
      <c r="F8716" s="23"/>
    </row>
    <row r="8717" spans="1:8" x14ac:dyDescent="0.3">
      <c r="A8717" s="22" t="s">
        <v>57</v>
      </c>
      <c r="B8717" t="s">
        <v>66</v>
      </c>
      <c r="C8717" s="23" t="s">
        <v>58</v>
      </c>
      <c r="D8717" s="23" t="s">
        <v>59</v>
      </c>
      <c r="E8717" s="23" t="s">
        <v>60</v>
      </c>
      <c r="F8717" s="23" t="s">
        <v>61</v>
      </c>
      <c r="G8717" t="s">
        <v>62</v>
      </c>
      <c r="H8717" t="s">
        <v>63</v>
      </c>
    </row>
    <row r="8718" spans="1:8" x14ac:dyDescent="0.3">
      <c r="A8718" s="22" t="s">
        <v>64</v>
      </c>
      <c r="B8718" t="s">
        <v>81</v>
      </c>
      <c r="C8718" s="23">
        <v>6.1493738471661293E-2</v>
      </c>
      <c r="D8718" s="23">
        <v>5.4200542005420099E-2</v>
      </c>
      <c r="E8718" s="23">
        <v>3.3726812816188903E-2</v>
      </c>
      <c r="F8718" s="23">
        <v>0.16</v>
      </c>
      <c r="G8718">
        <v>11</v>
      </c>
      <c r="H8718">
        <v>51</v>
      </c>
    </row>
    <row r="8719" spans="1:8" x14ac:dyDescent="0.3">
      <c r="A8719" s="22" t="s">
        <v>64</v>
      </c>
      <c r="B8719" t="s">
        <v>82</v>
      </c>
      <c r="C8719" s="23">
        <v>9.5802539856523358E-2</v>
      </c>
      <c r="D8719" s="23">
        <v>8.3333333333333301E-2</v>
      </c>
      <c r="E8719" s="23">
        <v>2.23463687150838E-2</v>
      </c>
      <c r="F8719" s="23">
        <v>0.2</v>
      </c>
      <c r="G8719">
        <v>12</v>
      </c>
      <c r="H8719">
        <v>51</v>
      </c>
    </row>
    <row r="8720" spans="1:8" x14ac:dyDescent="0.3">
      <c r="A8720" s="22" t="s">
        <v>64</v>
      </c>
      <c r="B8720" t="s">
        <v>83</v>
      </c>
      <c r="C8720" s="23">
        <v>7.6386961534934877E-2</v>
      </c>
      <c r="D8720" s="23">
        <v>4.80769230769231E-2</v>
      </c>
      <c r="E8720" s="23">
        <v>2.5553662691652499E-3</v>
      </c>
      <c r="F8720" s="23">
        <v>0.173913043478261</v>
      </c>
      <c r="G8720">
        <v>18</v>
      </c>
      <c r="H8720">
        <v>51</v>
      </c>
    </row>
    <row r="8721" spans="1:8" x14ac:dyDescent="0.3">
      <c r="A8721" s="22" t="s">
        <v>64</v>
      </c>
      <c r="B8721" t="s">
        <v>84</v>
      </c>
      <c r="C8721" s="23">
        <v>9.1604135089690189E-2</v>
      </c>
      <c r="D8721" s="23">
        <v>8.6956521739130405E-2</v>
      </c>
      <c r="E8721" s="23">
        <v>8.2644628099173608E-3</v>
      </c>
      <c r="F8721" s="23">
        <v>0.2</v>
      </c>
      <c r="G8721">
        <v>10</v>
      </c>
      <c r="H8721">
        <v>51</v>
      </c>
    </row>
    <row r="8722" spans="1:8" x14ac:dyDescent="0.3">
      <c r="C8722" s="23"/>
      <c r="D8722" s="23"/>
      <c r="E8722" s="23"/>
      <c r="F8722" s="23"/>
    </row>
    <row r="8723" spans="1:8" ht="57.6" x14ac:dyDescent="0.3">
      <c r="A8723" s="22" t="s">
        <v>1884</v>
      </c>
      <c r="C8723" s="23"/>
      <c r="D8723" s="23"/>
      <c r="E8723" s="23"/>
      <c r="F8723" s="23"/>
    </row>
    <row r="8724" spans="1:8" x14ac:dyDescent="0.3">
      <c r="A8724" s="22" t="s">
        <v>57</v>
      </c>
      <c r="B8724" t="s">
        <v>58</v>
      </c>
      <c r="C8724" t="s">
        <v>59</v>
      </c>
      <c r="D8724" t="s">
        <v>60</v>
      </c>
      <c r="E8724" t="s">
        <v>61</v>
      </c>
      <c r="F8724" t="s">
        <v>62</v>
      </c>
      <c r="G8724" t="s">
        <v>63</v>
      </c>
    </row>
    <row r="8725" spans="1:8" x14ac:dyDescent="0.3">
      <c r="A8725" s="22" t="s">
        <v>64</v>
      </c>
      <c r="B8725" s="23">
        <v>6.1110915936322327E-2</v>
      </c>
      <c r="C8725" s="23">
        <v>5.4644808743169397E-2</v>
      </c>
      <c r="D8725" s="23">
        <v>5.5555555555555601E-3</v>
      </c>
      <c r="E8725" s="23">
        <v>0.17857142857142899</v>
      </c>
      <c r="F8725">
        <v>52</v>
      </c>
      <c r="G8725">
        <v>52</v>
      </c>
    </row>
    <row r="8727" spans="1:8" ht="72" x14ac:dyDescent="0.3">
      <c r="A8727" s="22" t="s">
        <v>1885</v>
      </c>
      <c r="C8727" s="23"/>
      <c r="D8727" s="23"/>
      <c r="E8727" s="23"/>
      <c r="F8727" s="23"/>
    </row>
    <row r="8728" spans="1:8" x14ac:dyDescent="0.3">
      <c r="A8728" s="22" t="s">
        <v>57</v>
      </c>
      <c r="B8728" t="s">
        <v>66</v>
      </c>
      <c r="C8728" s="23" t="s">
        <v>58</v>
      </c>
      <c r="D8728" s="23" t="s">
        <v>59</v>
      </c>
      <c r="E8728" s="23" t="s">
        <v>60</v>
      </c>
      <c r="F8728" s="23" t="s">
        <v>61</v>
      </c>
      <c r="G8728" t="s">
        <v>62</v>
      </c>
      <c r="H8728" t="s">
        <v>63</v>
      </c>
    </row>
    <row r="8729" spans="1:8" x14ac:dyDescent="0.3">
      <c r="A8729" s="22" t="s">
        <v>64</v>
      </c>
      <c r="B8729" t="s">
        <v>67</v>
      </c>
      <c r="C8729" s="23">
        <v>6.2190706710338557E-2</v>
      </c>
      <c r="D8729" s="23">
        <v>5.8823529411764698E-2</v>
      </c>
      <c r="E8729" s="23">
        <v>8.2644628099173608E-3</v>
      </c>
      <c r="F8729" s="23">
        <v>0.17857142857142899</v>
      </c>
      <c r="G8729">
        <v>49</v>
      </c>
      <c r="H8729">
        <v>52</v>
      </c>
    </row>
    <row r="8730" spans="1:8" x14ac:dyDescent="0.3">
      <c r="A8730" s="22" t="s">
        <v>64</v>
      </c>
      <c r="B8730" t="s">
        <v>68</v>
      </c>
      <c r="C8730" s="23">
        <v>4.3474333294057588E-2</v>
      </c>
      <c r="D8730" s="23">
        <v>7.6086956521739094E-2</v>
      </c>
      <c r="E8730" s="23">
        <v>5.5555555555555601E-3</v>
      </c>
      <c r="F8730" s="23">
        <v>7.6086956521739094E-2</v>
      </c>
      <c r="G8730">
        <v>3</v>
      </c>
      <c r="H8730">
        <v>52</v>
      </c>
    </row>
    <row r="8731" spans="1:8" x14ac:dyDescent="0.3">
      <c r="C8731" s="23"/>
      <c r="D8731" s="23"/>
      <c r="E8731" s="23"/>
      <c r="F8731" s="23"/>
    </row>
    <row r="8732" spans="1:8" x14ac:dyDescent="0.3">
      <c r="A8732"/>
      <c r="C8732" s="23"/>
      <c r="D8732" s="23"/>
      <c r="E8732" s="23"/>
      <c r="F8732" s="23"/>
    </row>
    <row r="8733" spans="1:8" x14ac:dyDescent="0.3">
      <c r="A8733"/>
      <c r="C8733" s="23"/>
      <c r="D8733" s="23"/>
      <c r="E8733" s="23"/>
      <c r="F8733" s="23"/>
    </row>
    <row r="8734" spans="1:8" x14ac:dyDescent="0.3">
      <c r="A8734"/>
      <c r="C8734" s="23"/>
      <c r="D8734" s="23"/>
      <c r="E8734" s="23"/>
      <c r="F8734" s="23"/>
    </row>
    <row r="8735" spans="1:8" x14ac:dyDescent="0.3">
      <c r="C8735" s="23"/>
      <c r="D8735" s="23"/>
      <c r="E8735" s="23"/>
      <c r="F8735" s="23"/>
    </row>
    <row r="8736" spans="1:8" ht="72" x14ac:dyDescent="0.3">
      <c r="A8736" s="22" t="s">
        <v>1886</v>
      </c>
      <c r="C8736" s="23"/>
      <c r="D8736" s="23"/>
      <c r="E8736" s="23"/>
      <c r="F8736" s="23"/>
    </row>
    <row r="8737" spans="1:8" x14ac:dyDescent="0.3">
      <c r="A8737" s="22" t="s">
        <v>57</v>
      </c>
      <c r="B8737" t="s">
        <v>66</v>
      </c>
      <c r="C8737" s="23" t="s">
        <v>58</v>
      </c>
      <c r="D8737" s="23" t="s">
        <v>59</v>
      </c>
      <c r="E8737" s="23" t="s">
        <v>60</v>
      </c>
      <c r="F8737" s="23" t="s">
        <v>61</v>
      </c>
      <c r="G8737" t="s">
        <v>62</v>
      </c>
      <c r="H8737" t="s">
        <v>63</v>
      </c>
    </row>
    <row r="8738" spans="1:8" x14ac:dyDescent="0.3">
      <c r="A8738" s="22" t="s">
        <v>64</v>
      </c>
      <c r="B8738" t="s">
        <v>67</v>
      </c>
      <c r="C8738" s="23">
        <v>6.0770636169702019E-2</v>
      </c>
      <c r="D8738" s="23">
        <v>5.8823529411764698E-2</v>
      </c>
      <c r="E8738" s="23">
        <v>5.5555555555555601E-3</v>
      </c>
      <c r="F8738" s="23">
        <v>0.17857142857142899</v>
      </c>
      <c r="G8738">
        <v>49</v>
      </c>
      <c r="H8738">
        <v>52</v>
      </c>
    </row>
    <row r="8739" spans="1:8" x14ac:dyDescent="0.3">
      <c r="A8739" s="22" t="s">
        <v>64</v>
      </c>
      <c r="B8739" t="s">
        <v>68</v>
      </c>
      <c r="C8739" s="23">
        <v>6.6668818791120923E-2</v>
      </c>
      <c r="D8739" s="23">
        <v>0.16</v>
      </c>
      <c r="E8739" s="23">
        <v>1.6025641025641E-2</v>
      </c>
      <c r="F8739" s="23">
        <v>0.16</v>
      </c>
      <c r="G8739">
        <v>3</v>
      </c>
      <c r="H8739">
        <v>52</v>
      </c>
    </row>
    <row r="8740" spans="1:8" x14ac:dyDescent="0.3">
      <c r="C8740" s="23"/>
      <c r="D8740" s="23"/>
      <c r="E8740" s="23"/>
      <c r="F8740" s="23"/>
    </row>
    <row r="8741" spans="1:8" ht="72" x14ac:dyDescent="0.3">
      <c r="A8741" s="22" t="s">
        <v>1887</v>
      </c>
      <c r="C8741" s="23"/>
      <c r="D8741" s="23"/>
      <c r="E8741" s="23"/>
      <c r="F8741" s="23"/>
    </row>
    <row r="8742" spans="1:8" x14ac:dyDescent="0.3">
      <c r="A8742" s="22" t="s">
        <v>57</v>
      </c>
      <c r="B8742" t="s">
        <v>66</v>
      </c>
      <c r="C8742" s="23" t="s">
        <v>58</v>
      </c>
      <c r="D8742" s="23" t="s">
        <v>59</v>
      </c>
      <c r="E8742" s="23" t="s">
        <v>60</v>
      </c>
      <c r="F8742" s="23" t="s">
        <v>61</v>
      </c>
      <c r="G8742" t="s">
        <v>62</v>
      </c>
      <c r="H8742" t="s">
        <v>63</v>
      </c>
    </row>
    <row r="8743" spans="1:8" x14ac:dyDescent="0.3">
      <c r="A8743" s="22" t="s">
        <v>64</v>
      </c>
      <c r="B8743" t="s">
        <v>67</v>
      </c>
      <c r="C8743" s="23">
        <v>6.1110915936322327E-2</v>
      </c>
      <c r="D8743" s="23">
        <v>5.4644808743169397E-2</v>
      </c>
      <c r="E8743" s="23">
        <v>5.5555555555555601E-3</v>
      </c>
      <c r="F8743" s="23">
        <v>0.17857142857142899</v>
      </c>
      <c r="G8743">
        <v>52</v>
      </c>
      <c r="H8743">
        <v>52</v>
      </c>
    </row>
    <row r="8744" spans="1:8" x14ac:dyDescent="0.3">
      <c r="C8744" s="23"/>
      <c r="D8744" s="23"/>
      <c r="E8744" s="23"/>
      <c r="F8744" s="23"/>
    </row>
    <row r="8745" spans="1:8" ht="72" x14ac:dyDescent="0.3">
      <c r="A8745" s="22" t="s">
        <v>1888</v>
      </c>
      <c r="C8745" s="23"/>
      <c r="D8745" s="23"/>
      <c r="E8745" s="23"/>
      <c r="F8745" s="23"/>
    </row>
    <row r="8746" spans="1:8" x14ac:dyDescent="0.3">
      <c r="A8746" s="22" t="s">
        <v>57</v>
      </c>
      <c r="B8746" t="s">
        <v>66</v>
      </c>
      <c r="C8746" s="23" t="s">
        <v>58</v>
      </c>
      <c r="D8746" s="23" t="s">
        <v>59</v>
      </c>
      <c r="E8746" s="23" t="s">
        <v>60</v>
      </c>
      <c r="F8746" s="23" t="s">
        <v>61</v>
      </c>
      <c r="G8746" t="s">
        <v>62</v>
      </c>
      <c r="H8746" t="s">
        <v>63</v>
      </c>
    </row>
    <row r="8747" spans="1:8" x14ac:dyDescent="0.3">
      <c r="A8747" s="22" t="s">
        <v>64</v>
      </c>
      <c r="B8747" t="s">
        <v>67</v>
      </c>
      <c r="C8747" s="23">
        <v>6.3278952206465774E-2</v>
      </c>
      <c r="D8747" s="23">
        <v>5.7142857142857099E-2</v>
      </c>
      <c r="E8747" s="23">
        <v>1.0288065843621399E-2</v>
      </c>
      <c r="F8747" s="23">
        <v>0.17857142857142899</v>
      </c>
      <c r="G8747">
        <v>50</v>
      </c>
      <c r="H8747">
        <v>52</v>
      </c>
    </row>
    <row r="8748" spans="1:8" x14ac:dyDescent="0.3">
      <c r="A8748" s="22" t="s">
        <v>64</v>
      </c>
      <c r="B8748" t="s">
        <v>68</v>
      </c>
      <c r="C8748" s="23">
        <v>6.9100091827364596E-3</v>
      </c>
      <c r="D8748" s="23">
        <v>5.5555555555555601E-3</v>
      </c>
      <c r="E8748" s="23">
        <v>5.5555555555555601E-3</v>
      </c>
      <c r="F8748" s="23">
        <v>8.2644628099173608E-3</v>
      </c>
      <c r="G8748">
        <v>2</v>
      </c>
      <c r="H8748">
        <v>52</v>
      </c>
    </row>
    <row r="8749" spans="1:8" x14ac:dyDescent="0.3">
      <c r="C8749" s="23"/>
      <c r="D8749" s="23"/>
      <c r="E8749" s="23"/>
      <c r="F8749" s="23"/>
    </row>
    <row r="8750" spans="1:8" ht="72" x14ac:dyDescent="0.3">
      <c r="A8750" s="22" t="s">
        <v>1889</v>
      </c>
      <c r="C8750" s="23"/>
      <c r="D8750" s="23"/>
      <c r="E8750" s="23"/>
      <c r="F8750" s="23"/>
    </row>
    <row r="8751" spans="1:8" x14ac:dyDescent="0.3">
      <c r="A8751" s="22" t="s">
        <v>57</v>
      </c>
      <c r="B8751" t="s">
        <v>66</v>
      </c>
      <c r="C8751" s="23" t="s">
        <v>58</v>
      </c>
      <c r="D8751" s="23" t="s">
        <v>59</v>
      </c>
      <c r="E8751" s="23" t="s">
        <v>60</v>
      </c>
      <c r="F8751" s="23" t="s">
        <v>61</v>
      </c>
      <c r="G8751" t="s">
        <v>62</v>
      </c>
      <c r="H8751" t="s">
        <v>63</v>
      </c>
    </row>
    <row r="8752" spans="1:8" x14ac:dyDescent="0.3">
      <c r="A8752" s="22" t="s">
        <v>64</v>
      </c>
      <c r="B8752" t="s">
        <v>67</v>
      </c>
      <c r="C8752" s="23">
        <v>4.9653887113951002E-2</v>
      </c>
      <c r="D8752" s="23">
        <v>1.59744408945687E-2</v>
      </c>
      <c r="E8752" s="23">
        <v>1.59744408945687E-2</v>
      </c>
      <c r="F8752" s="23">
        <v>8.3333333333333301E-2</v>
      </c>
      <c r="G8752">
        <v>2</v>
      </c>
      <c r="H8752">
        <v>52</v>
      </c>
    </row>
    <row r="8753" spans="1:8" x14ac:dyDescent="0.3">
      <c r="A8753" s="22" t="s">
        <v>64</v>
      </c>
      <c r="B8753" t="s">
        <v>68</v>
      </c>
      <c r="C8753" s="23">
        <v>6.1569197089217188E-2</v>
      </c>
      <c r="D8753" s="23">
        <v>5.4644808743169397E-2</v>
      </c>
      <c r="E8753" s="23">
        <v>5.5555555555555601E-3</v>
      </c>
      <c r="F8753" s="23">
        <v>0.17857142857142899</v>
      </c>
      <c r="G8753">
        <v>50</v>
      </c>
      <c r="H8753">
        <v>52</v>
      </c>
    </row>
    <row r="8754" spans="1:8" x14ac:dyDescent="0.3">
      <c r="C8754" s="23"/>
      <c r="D8754" s="23"/>
      <c r="E8754" s="23"/>
      <c r="F8754" s="23"/>
    </row>
    <row r="8755" spans="1:8" ht="72" x14ac:dyDescent="0.3">
      <c r="A8755" s="22" t="s">
        <v>1890</v>
      </c>
      <c r="C8755" s="23"/>
      <c r="D8755" s="23"/>
      <c r="E8755" s="23"/>
      <c r="F8755" s="23"/>
    </row>
    <row r="8756" spans="1:8" x14ac:dyDescent="0.3">
      <c r="A8756" s="22" t="s">
        <v>57</v>
      </c>
      <c r="B8756" t="s">
        <v>66</v>
      </c>
      <c r="C8756" s="23" t="s">
        <v>58</v>
      </c>
      <c r="D8756" s="23" t="s">
        <v>59</v>
      </c>
      <c r="E8756" s="23" t="s">
        <v>60</v>
      </c>
      <c r="F8756" s="23" t="s">
        <v>61</v>
      </c>
      <c r="G8756" t="s">
        <v>62</v>
      </c>
      <c r="H8756" t="s">
        <v>63</v>
      </c>
    </row>
    <row r="8757" spans="1:8" x14ac:dyDescent="0.3">
      <c r="A8757" s="22" t="s">
        <v>64</v>
      </c>
      <c r="B8757" t="s">
        <v>67</v>
      </c>
      <c r="C8757" s="23">
        <v>6.454376616672293E-2</v>
      </c>
      <c r="D8757" s="23">
        <v>6.1224489795918401E-2</v>
      </c>
      <c r="E8757" s="23">
        <v>5.5555555555555601E-3</v>
      </c>
      <c r="F8757" s="23">
        <v>0.17857142857142899</v>
      </c>
      <c r="G8757">
        <v>43</v>
      </c>
      <c r="H8757">
        <v>52</v>
      </c>
    </row>
    <row r="8758" spans="1:8" x14ac:dyDescent="0.3">
      <c r="A8758" s="22" t="s">
        <v>64</v>
      </c>
      <c r="B8758" t="s">
        <v>68</v>
      </c>
      <c r="C8758" s="23">
        <v>4.4709520391075099E-2</v>
      </c>
      <c r="D8758" s="23">
        <v>3.7406483790523699E-2</v>
      </c>
      <c r="E8758" s="23">
        <v>1.14991482112436E-2</v>
      </c>
      <c r="F8758" s="23">
        <v>0.12448132780083</v>
      </c>
      <c r="G8758">
        <v>9</v>
      </c>
      <c r="H8758">
        <v>52</v>
      </c>
    </row>
    <row r="8759" spans="1:8" x14ac:dyDescent="0.3">
      <c r="C8759" s="23"/>
      <c r="D8759" s="23"/>
      <c r="E8759" s="23"/>
      <c r="F8759" s="23"/>
    </row>
    <row r="8760" spans="1:8" ht="72" x14ac:dyDescent="0.3">
      <c r="A8760" s="22" t="s">
        <v>1891</v>
      </c>
      <c r="C8760" s="23"/>
      <c r="D8760" s="23"/>
      <c r="E8760" s="23"/>
      <c r="F8760" s="23"/>
    </row>
    <row r="8761" spans="1:8" x14ac:dyDescent="0.3">
      <c r="A8761" s="22" t="s">
        <v>57</v>
      </c>
      <c r="B8761" t="s">
        <v>66</v>
      </c>
      <c r="C8761" s="23" t="s">
        <v>58</v>
      </c>
      <c r="D8761" s="23" t="s">
        <v>59</v>
      </c>
      <c r="E8761" s="23" t="s">
        <v>60</v>
      </c>
      <c r="F8761" s="23" t="s">
        <v>61</v>
      </c>
      <c r="G8761" t="s">
        <v>62</v>
      </c>
      <c r="H8761" t="s">
        <v>63</v>
      </c>
    </row>
    <row r="8762" spans="1:8" x14ac:dyDescent="0.3">
      <c r="A8762" s="22" t="s">
        <v>64</v>
      </c>
      <c r="B8762" t="s">
        <v>67</v>
      </c>
      <c r="C8762" s="23">
        <v>5.928575533373432E-2</v>
      </c>
      <c r="D8762" s="23">
        <v>5.7142857142857099E-2</v>
      </c>
      <c r="E8762" s="23">
        <v>8.2644628099173608E-3</v>
      </c>
      <c r="F8762" s="23">
        <v>0.17857142857142899</v>
      </c>
      <c r="G8762">
        <v>37</v>
      </c>
      <c r="H8762">
        <v>52</v>
      </c>
    </row>
    <row r="8763" spans="1:8" x14ac:dyDescent="0.3">
      <c r="A8763" s="22" t="s">
        <v>64</v>
      </c>
      <c r="B8763" t="s">
        <v>68</v>
      </c>
      <c r="C8763" s="23">
        <v>6.5612978756039442E-2</v>
      </c>
      <c r="D8763" s="23">
        <v>7.3964497041420094E-2</v>
      </c>
      <c r="E8763" s="23">
        <v>5.5555555555555601E-3</v>
      </c>
      <c r="F8763" s="23">
        <v>0.14893617021276601</v>
      </c>
      <c r="G8763">
        <v>15</v>
      </c>
      <c r="H8763">
        <v>52</v>
      </c>
    </row>
    <row r="8764" spans="1:8" x14ac:dyDescent="0.3">
      <c r="C8764" s="23"/>
      <c r="D8764" s="23"/>
      <c r="E8764" s="23"/>
      <c r="F8764" s="23"/>
    </row>
    <row r="8765" spans="1:8" ht="72" x14ac:dyDescent="0.3">
      <c r="A8765" s="22" t="s">
        <v>1892</v>
      </c>
      <c r="C8765" s="23"/>
      <c r="D8765" s="23"/>
      <c r="E8765" s="23"/>
      <c r="F8765" s="23"/>
    </row>
    <row r="8766" spans="1:8" x14ac:dyDescent="0.3">
      <c r="A8766" s="22" t="s">
        <v>57</v>
      </c>
      <c r="B8766" t="s">
        <v>66</v>
      </c>
      <c r="C8766" s="23" t="s">
        <v>58</v>
      </c>
      <c r="D8766" s="23" t="s">
        <v>59</v>
      </c>
      <c r="E8766" s="23" t="s">
        <v>60</v>
      </c>
      <c r="F8766" s="23" t="s">
        <v>61</v>
      </c>
      <c r="G8766" t="s">
        <v>62</v>
      </c>
      <c r="H8766" t="s">
        <v>63</v>
      </c>
    </row>
    <row r="8767" spans="1:8" x14ac:dyDescent="0.3">
      <c r="A8767" s="22" t="s">
        <v>64</v>
      </c>
      <c r="B8767" t="s">
        <v>67</v>
      </c>
      <c r="C8767" s="23">
        <v>5.9654458676976108E-2</v>
      </c>
      <c r="D8767" s="23">
        <v>5.4644808743169397E-2</v>
      </c>
      <c r="E8767" s="23">
        <v>8.2644628099173608E-3</v>
      </c>
      <c r="F8767" s="23">
        <v>0.17857142857142899</v>
      </c>
      <c r="G8767">
        <v>39</v>
      </c>
      <c r="H8767">
        <v>52</v>
      </c>
    </row>
    <row r="8768" spans="1:8" x14ac:dyDescent="0.3">
      <c r="A8768" s="22" t="s">
        <v>64</v>
      </c>
      <c r="B8768" t="s">
        <v>68</v>
      </c>
      <c r="C8768" s="23">
        <v>6.5480287714361013E-2</v>
      </c>
      <c r="D8768" s="23">
        <v>6.1224489795918401E-2</v>
      </c>
      <c r="E8768" s="23">
        <v>5.5555555555555601E-3</v>
      </c>
      <c r="F8768" s="23">
        <v>0.14893617021276601</v>
      </c>
      <c r="G8768">
        <v>13</v>
      </c>
      <c r="H8768">
        <v>52</v>
      </c>
    </row>
    <row r="8769" spans="1:8" x14ac:dyDescent="0.3">
      <c r="C8769" s="23"/>
      <c r="D8769" s="23"/>
      <c r="E8769" s="23"/>
      <c r="F8769" s="23"/>
    </row>
    <row r="8770" spans="1:8" ht="86.4" x14ac:dyDescent="0.3">
      <c r="A8770" s="22" t="s">
        <v>1893</v>
      </c>
      <c r="C8770" s="23"/>
      <c r="D8770" s="23"/>
      <c r="E8770" s="23"/>
      <c r="F8770" s="23"/>
    </row>
    <row r="8771" spans="1:8" x14ac:dyDescent="0.3">
      <c r="A8771" s="22" t="s">
        <v>57</v>
      </c>
      <c r="B8771" t="s">
        <v>66</v>
      </c>
      <c r="C8771" s="23" t="s">
        <v>58</v>
      </c>
      <c r="D8771" s="23" t="s">
        <v>59</v>
      </c>
      <c r="E8771" s="23" t="s">
        <v>60</v>
      </c>
      <c r="F8771" s="23" t="s">
        <v>61</v>
      </c>
      <c r="G8771" t="s">
        <v>62</v>
      </c>
      <c r="H8771" t="s">
        <v>63</v>
      </c>
    </row>
    <row r="8772" spans="1:8" x14ac:dyDescent="0.3">
      <c r="A8772" s="22" t="s">
        <v>64</v>
      </c>
      <c r="B8772" t="s">
        <v>67</v>
      </c>
      <c r="C8772" s="23">
        <v>6.0266627845186292E-2</v>
      </c>
      <c r="D8772" s="23">
        <v>5.7142857142857099E-2</v>
      </c>
      <c r="E8772" s="23">
        <v>5.5555555555555601E-3</v>
      </c>
      <c r="F8772" s="23">
        <v>0.17857142857142899</v>
      </c>
      <c r="G8772">
        <v>49</v>
      </c>
      <c r="H8772">
        <v>52</v>
      </c>
    </row>
    <row r="8773" spans="1:8" x14ac:dyDescent="0.3">
      <c r="A8773" s="22" t="s">
        <v>64</v>
      </c>
      <c r="B8773" t="s">
        <v>68</v>
      </c>
      <c r="C8773" s="23">
        <v>7.4900954758211027E-2</v>
      </c>
      <c r="D8773" s="23">
        <v>0.123711340206186</v>
      </c>
      <c r="E8773" s="23">
        <v>2.7027027027027001E-2</v>
      </c>
      <c r="F8773" s="23">
        <v>0.123711340206186</v>
      </c>
      <c r="G8773">
        <v>3</v>
      </c>
      <c r="H8773">
        <v>52</v>
      </c>
    </row>
    <row r="8774" spans="1:8" x14ac:dyDescent="0.3">
      <c r="C8774" s="23"/>
      <c r="D8774" s="23"/>
      <c r="E8774" s="23"/>
      <c r="F8774" s="23"/>
    </row>
    <row r="8775" spans="1:8" ht="86.4" x14ac:dyDescent="0.3">
      <c r="A8775" s="22" t="s">
        <v>1894</v>
      </c>
      <c r="C8775" s="23"/>
      <c r="D8775" s="23"/>
      <c r="E8775" s="23"/>
      <c r="F8775" s="23"/>
    </row>
    <row r="8776" spans="1:8" x14ac:dyDescent="0.3">
      <c r="A8776" s="22" t="s">
        <v>57</v>
      </c>
      <c r="B8776" t="s">
        <v>66</v>
      </c>
      <c r="C8776" s="23" t="s">
        <v>58</v>
      </c>
      <c r="D8776" s="23" t="s">
        <v>59</v>
      </c>
      <c r="E8776" s="23" t="s">
        <v>60</v>
      </c>
      <c r="F8776" s="23" t="s">
        <v>61</v>
      </c>
      <c r="G8776" t="s">
        <v>62</v>
      </c>
      <c r="H8776" t="s">
        <v>63</v>
      </c>
    </row>
    <row r="8777" spans="1:8" x14ac:dyDescent="0.3">
      <c r="A8777" s="22" t="s">
        <v>64</v>
      </c>
      <c r="B8777" t="s">
        <v>67</v>
      </c>
      <c r="C8777" s="23">
        <v>6.1110915936322327E-2</v>
      </c>
      <c r="D8777" s="23">
        <v>5.4644808743169397E-2</v>
      </c>
      <c r="E8777" s="23">
        <v>5.5555555555555601E-3</v>
      </c>
      <c r="F8777" s="23">
        <v>0.17857142857142899</v>
      </c>
      <c r="G8777">
        <v>52</v>
      </c>
      <c r="H8777">
        <v>52</v>
      </c>
    </row>
    <row r="8778" spans="1:8" x14ac:dyDescent="0.3">
      <c r="C8778" s="23"/>
      <c r="D8778" s="23"/>
      <c r="E8778" s="23"/>
      <c r="F8778" s="23"/>
    </row>
    <row r="8779" spans="1:8" ht="72" x14ac:dyDescent="0.3">
      <c r="A8779" s="22" t="s">
        <v>1895</v>
      </c>
      <c r="C8779" s="23"/>
      <c r="D8779" s="23"/>
      <c r="E8779" s="23"/>
      <c r="F8779" s="23"/>
    </row>
    <row r="8780" spans="1:8" x14ac:dyDescent="0.3">
      <c r="A8780" s="22" t="s">
        <v>57</v>
      </c>
      <c r="B8780" t="s">
        <v>66</v>
      </c>
      <c r="C8780" s="23" t="s">
        <v>58</v>
      </c>
      <c r="D8780" s="23" t="s">
        <v>59</v>
      </c>
      <c r="E8780" s="23" t="s">
        <v>60</v>
      </c>
      <c r="F8780" s="23" t="s">
        <v>61</v>
      </c>
      <c r="G8780" t="s">
        <v>62</v>
      </c>
      <c r="H8780" t="s">
        <v>63</v>
      </c>
    </row>
    <row r="8781" spans="1:8" x14ac:dyDescent="0.3">
      <c r="A8781" s="22" t="s">
        <v>64</v>
      </c>
      <c r="B8781" t="s">
        <v>67</v>
      </c>
      <c r="C8781" s="23">
        <v>6.4386390734531215E-2</v>
      </c>
      <c r="D8781" s="23">
        <v>5.8823529411764698E-2</v>
      </c>
      <c r="E8781" s="23">
        <v>5.5555555555555601E-3</v>
      </c>
      <c r="F8781" s="23">
        <v>0.17857142857142899</v>
      </c>
      <c r="G8781">
        <v>33</v>
      </c>
      <c r="H8781">
        <v>52</v>
      </c>
    </row>
    <row r="8782" spans="1:8" x14ac:dyDescent="0.3">
      <c r="A8782" s="22" t="s">
        <v>64</v>
      </c>
      <c r="B8782" t="s">
        <v>68</v>
      </c>
      <c r="C8782" s="23">
        <v>5.5421933392064797E-2</v>
      </c>
      <c r="D8782" s="23">
        <v>4.7904191616766498E-2</v>
      </c>
      <c r="E8782" s="23">
        <v>8.2644628099173608E-3</v>
      </c>
      <c r="F8782" s="23">
        <v>0.12448132780083</v>
      </c>
      <c r="G8782">
        <v>19</v>
      </c>
      <c r="H8782">
        <v>52</v>
      </c>
    </row>
    <row r="8783" spans="1:8" x14ac:dyDescent="0.3">
      <c r="C8783" s="23"/>
      <c r="D8783" s="23"/>
      <c r="E8783" s="23"/>
      <c r="F8783" s="23"/>
    </row>
    <row r="8784" spans="1:8" ht="86.4" x14ac:dyDescent="0.3">
      <c r="A8784" s="22" t="s">
        <v>1896</v>
      </c>
      <c r="C8784" s="23"/>
      <c r="D8784" s="23"/>
      <c r="E8784" s="23"/>
      <c r="F8784" s="23"/>
    </row>
    <row r="8785" spans="1:8" x14ac:dyDescent="0.3">
      <c r="A8785" s="22" t="s">
        <v>57</v>
      </c>
      <c r="B8785" t="s">
        <v>66</v>
      </c>
      <c r="C8785" s="23" t="s">
        <v>58</v>
      </c>
      <c r="D8785" s="23" t="s">
        <v>59</v>
      </c>
      <c r="E8785" s="23" t="s">
        <v>60</v>
      </c>
      <c r="F8785" s="23" t="s">
        <v>61</v>
      </c>
      <c r="G8785" t="s">
        <v>62</v>
      </c>
      <c r="H8785" t="s">
        <v>63</v>
      </c>
    </row>
    <row r="8786" spans="1:8" x14ac:dyDescent="0.3">
      <c r="A8786" s="22" t="s">
        <v>64</v>
      </c>
      <c r="B8786" t="s">
        <v>67</v>
      </c>
      <c r="C8786" s="23">
        <v>6.1517474712110158E-2</v>
      </c>
      <c r="D8786" s="23">
        <v>5.4644808743169397E-2</v>
      </c>
      <c r="E8786" s="23">
        <v>5.5555555555555601E-3</v>
      </c>
      <c r="F8786" s="23">
        <v>0.17857142857142899</v>
      </c>
      <c r="G8786">
        <v>44</v>
      </c>
      <c r="H8786">
        <v>52</v>
      </c>
    </row>
    <row r="8787" spans="1:8" x14ac:dyDescent="0.3">
      <c r="A8787" s="22" t="s">
        <v>64</v>
      </c>
      <c r="B8787" t="s">
        <v>68</v>
      </c>
      <c r="C8787" s="23">
        <v>5.8874842669489398E-2</v>
      </c>
      <c r="D8787" s="23">
        <v>4.6511627906976702E-2</v>
      </c>
      <c r="E8787" s="23">
        <v>1.14991482112436E-2</v>
      </c>
      <c r="F8787" s="23">
        <v>0.123711340206186</v>
      </c>
      <c r="G8787">
        <v>8</v>
      </c>
      <c r="H8787">
        <v>52</v>
      </c>
    </row>
    <row r="8788" spans="1:8" x14ac:dyDescent="0.3">
      <c r="C8788" s="23"/>
      <c r="D8788" s="23"/>
      <c r="E8788" s="23"/>
      <c r="F8788" s="23"/>
    </row>
    <row r="8789" spans="1:8" ht="72" x14ac:dyDescent="0.3">
      <c r="A8789" s="22" t="s">
        <v>1897</v>
      </c>
      <c r="C8789" s="23"/>
      <c r="D8789" s="23"/>
      <c r="E8789" s="23"/>
      <c r="F8789" s="23"/>
    </row>
    <row r="8790" spans="1:8" x14ac:dyDescent="0.3">
      <c r="A8790" s="22" t="s">
        <v>57</v>
      </c>
      <c r="B8790" t="s">
        <v>66</v>
      </c>
      <c r="C8790" s="23" t="s">
        <v>58</v>
      </c>
      <c r="D8790" s="23" t="s">
        <v>59</v>
      </c>
      <c r="E8790" s="23" t="s">
        <v>60</v>
      </c>
      <c r="F8790" s="23" t="s">
        <v>61</v>
      </c>
      <c r="G8790" t="s">
        <v>62</v>
      </c>
      <c r="H8790" t="s">
        <v>63</v>
      </c>
    </row>
    <row r="8791" spans="1:8" x14ac:dyDescent="0.3">
      <c r="A8791" s="22" t="s">
        <v>64</v>
      </c>
      <c r="B8791" t="s">
        <v>81</v>
      </c>
      <c r="C8791" s="23">
        <v>6.2191685133578367E-2</v>
      </c>
      <c r="D8791" s="23">
        <v>3.7593984962405999E-2</v>
      </c>
      <c r="E8791" s="23">
        <v>1.34907251264755E-2</v>
      </c>
      <c r="F8791" s="23">
        <v>0.17857142857142899</v>
      </c>
      <c r="G8791">
        <v>16</v>
      </c>
      <c r="H8791">
        <v>52</v>
      </c>
    </row>
    <row r="8792" spans="1:8" x14ac:dyDescent="0.3">
      <c r="A8792" s="22" t="s">
        <v>64</v>
      </c>
      <c r="B8792" t="s">
        <v>82</v>
      </c>
      <c r="C8792" s="23">
        <v>7.4539420103810483E-2</v>
      </c>
      <c r="D8792" s="23">
        <v>8.3333333333333301E-2</v>
      </c>
      <c r="E8792" s="23">
        <v>1.6E-2</v>
      </c>
      <c r="F8792" s="23">
        <v>0.125</v>
      </c>
      <c r="G8792">
        <v>9</v>
      </c>
      <c r="H8792">
        <v>52</v>
      </c>
    </row>
    <row r="8793" spans="1:8" x14ac:dyDescent="0.3">
      <c r="A8793" s="22" t="s">
        <v>64</v>
      </c>
      <c r="B8793" t="s">
        <v>83</v>
      </c>
      <c r="C8793" s="23">
        <v>5.2329090018448488E-2</v>
      </c>
      <c r="D8793" s="23">
        <v>4.7904191616766498E-2</v>
      </c>
      <c r="E8793" s="23">
        <v>5.5555555555555601E-3</v>
      </c>
      <c r="F8793" s="23">
        <v>0.12280701754386</v>
      </c>
      <c r="G8793">
        <v>16</v>
      </c>
      <c r="H8793">
        <v>52</v>
      </c>
    </row>
    <row r="8794" spans="1:8" x14ac:dyDescent="0.3">
      <c r="A8794" s="22" t="s">
        <v>64</v>
      </c>
      <c r="B8794" t="s">
        <v>84</v>
      </c>
      <c r="C8794" s="23">
        <v>6.1325495029276159E-2</v>
      </c>
      <c r="D8794" s="23">
        <v>7.6086956521739094E-2</v>
      </c>
      <c r="E8794" s="23">
        <v>8.2644628099173608E-3</v>
      </c>
      <c r="F8794" s="23">
        <v>0.123711340206186</v>
      </c>
      <c r="G8794">
        <v>11</v>
      </c>
      <c r="H8794">
        <v>52</v>
      </c>
    </row>
    <row r="8795" spans="1:8" x14ac:dyDescent="0.3">
      <c r="C8795" s="23"/>
      <c r="D8795" s="23"/>
      <c r="E8795" s="23"/>
      <c r="F8795" s="23"/>
    </row>
    <row r="8796" spans="1:8" ht="57.6" x14ac:dyDescent="0.3">
      <c r="A8796" s="22" t="s">
        <v>1898</v>
      </c>
    </row>
    <row r="8797" spans="1:8" x14ac:dyDescent="0.3">
      <c r="A8797" s="22" t="s">
        <v>57</v>
      </c>
      <c r="B8797" t="s">
        <v>58</v>
      </c>
      <c r="C8797" t="s">
        <v>59</v>
      </c>
      <c r="D8797" t="s">
        <v>60</v>
      </c>
      <c r="E8797" t="s">
        <v>61</v>
      </c>
      <c r="F8797" t="s">
        <v>62</v>
      </c>
      <c r="G8797" t="s">
        <v>63</v>
      </c>
    </row>
    <row r="8798" spans="1:8" x14ac:dyDescent="0.3">
      <c r="A8798" s="22" t="s">
        <v>64</v>
      </c>
      <c r="B8798" s="23">
        <v>7.1351890275172608E-2</v>
      </c>
      <c r="C8798" s="23">
        <v>6.2350119904076698E-2</v>
      </c>
      <c r="D8798" s="23">
        <v>3.7037037037037E-2</v>
      </c>
      <c r="E8798" s="23">
        <v>0.16304347826087001</v>
      </c>
      <c r="F8798">
        <v>13</v>
      </c>
      <c r="G8798">
        <v>13</v>
      </c>
    </row>
    <row r="8799" spans="1:8" x14ac:dyDescent="0.3">
      <c r="C8799" s="23"/>
      <c r="D8799" s="23"/>
      <c r="E8799" s="23"/>
      <c r="F8799" s="23"/>
    </row>
    <row r="8800" spans="1:8" ht="72" x14ac:dyDescent="0.3">
      <c r="A8800" s="22" t="s">
        <v>1899</v>
      </c>
      <c r="C8800" s="23"/>
      <c r="D8800" s="23"/>
      <c r="E8800" s="23"/>
      <c r="F8800" s="23"/>
    </row>
    <row r="8801" spans="1:8" x14ac:dyDescent="0.3">
      <c r="A8801" s="22" t="s">
        <v>57</v>
      </c>
      <c r="B8801" t="s">
        <v>66</v>
      </c>
      <c r="C8801" s="23" t="s">
        <v>58</v>
      </c>
      <c r="D8801" s="23" t="s">
        <v>59</v>
      </c>
      <c r="E8801" s="23" t="s">
        <v>60</v>
      </c>
      <c r="F8801" s="23" t="s">
        <v>61</v>
      </c>
      <c r="G8801" t="s">
        <v>62</v>
      </c>
      <c r="H8801" t="s">
        <v>63</v>
      </c>
    </row>
    <row r="8802" spans="1:8" x14ac:dyDescent="0.3">
      <c r="A8802" s="22" t="s">
        <v>64</v>
      </c>
      <c r="B8802" t="s">
        <v>67</v>
      </c>
      <c r="C8802" s="23">
        <v>6.3710924609697808E-2</v>
      </c>
      <c r="D8802" s="23">
        <v>6.1224489795918401E-2</v>
      </c>
      <c r="E8802" s="23">
        <v>3.7037037037037E-2</v>
      </c>
      <c r="F8802" s="23">
        <v>9.8619329388560203E-2</v>
      </c>
      <c r="G8802">
        <v>12</v>
      </c>
      <c r="H8802">
        <v>13</v>
      </c>
    </row>
    <row r="8803" spans="1:8" x14ac:dyDescent="0.3">
      <c r="A8803" s="22" t="s">
        <v>64</v>
      </c>
      <c r="B8803" t="s">
        <v>68</v>
      </c>
      <c r="C8803" s="23">
        <v>0.16304347826087001</v>
      </c>
      <c r="D8803" s="23">
        <v>0.16304347826087001</v>
      </c>
      <c r="E8803" s="23">
        <v>0.16304347826087001</v>
      </c>
      <c r="F8803" s="23">
        <v>0.16304347826087001</v>
      </c>
      <c r="G8803">
        <v>1</v>
      </c>
      <c r="H8803">
        <v>13</v>
      </c>
    </row>
    <row r="8804" spans="1:8" x14ac:dyDescent="0.3">
      <c r="C8804" s="23"/>
      <c r="D8804" s="23"/>
      <c r="E8804" s="23"/>
      <c r="F8804" s="23"/>
    </row>
    <row r="8805" spans="1:8" x14ac:dyDescent="0.3">
      <c r="A8805"/>
      <c r="C8805" s="23"/>
      <c r="D8805" s="23"/>
      <c r="E8805" s="23"/>
      <c r="F8805" s="23"/>
    </row>
    <row r="8806" spans="1:8" x14ac:dyDescent="0.3">
      <c r="A8806"/>
      <c r="C8806" s="23"/>
      <c r="D8806" s="23"/>
      <c r="E8806" s="23"/>
      <c r="F8806" s="23"/>
    </row>
    <row r="8807" spans="1:8" x14ac:dyDescent="0.3">
      <c r="A8807"/>
      <c r="C8807" s="23"/>
      <c r="D8807" s="23"/>
      <c r="E8807" s="23"/>
      <c r="F8807" s="23"/>
    </row>
    <row r="8808" spans="1:8" x14ac:dyDescent="0.3">
      <c r="A8808"/>
      <c r="C8808" s="23"/>
      <c r="D8808" s="23"/>
      <c r="E8808" s="23"/>
      <c r="F8808" s="23"/>
    </row>
    <row r="8809" spans="1:8" ht="72" x14ac:dyDescent="0.3">
      <c r="A8809" s="22" t="s">
        <v>1900</v>
      </c>
      <c r="C8809" s="23"/>
      <c r="D8809" s="23"/>
      <c r="E8809" s="23"/>
      <c r="F8809" s="23"/>
    </row>
    <row r="8810" spans="1:8" x14ac:dyDescent="0.3">
      <c r="A8810" s="22" t="s">
        <v>57</v>
      </c>
      <c r="B8810" t="s">
        <v>66</v>
      </c>
      <c r="C8810" s="23" t="s">
        <v>58</v>
      </c>
      <c r="D8810" s="23" t="s">
        <v>59</v>
      </c>
      <c r="E8810" s="23" t="s">
        <v>60</v>
      </c>
      <c r="F8810" s="23" t="s">
        <v>61</v>
      </c>
      <c r="G8810" t="s">
        <v>62</v>
      </c>
      <c r="H8810" t="s">
        <v>63</v>
      </c>
    </row>
    <row r="8811" spans="1:8" x14ac:dyDescent="0.3">
      <c r="A8811" s="22" t="s">
        <v>64</v>
      </c>
      <c r="B8811" t="s">
        <v>67</v>
      </c>
      <c r="C8811" s="23">
        <v>7.2102037806097252E-2</v>
      </c>
      <c r="D8811" s="23">
        <v>6.1224489795918401E-2</v>
      </c>
      <c r="E8811" s="23">
        <v>3.7037037037037E-2</v>
      </c>
      <c r="F8811" s="23">
        <v>0.16304347826087001</v>
      </c>
      <c r="G8811">
        <v>12</v>
      </c>
      <c r="H8811">
        <v>13</v>
      </c>
    </row>
    <row r="8812" spans="1:8" x14ac:dyDescent="0.3">
      <c r="A8812" s="22" t="s">
        <v>64</v>
      </c>
      <c r="B8812" t="s">
        <v>68</v>
      </c>
      <c r="C8812" s="23">
        <v>6.2350119904076698E-2</v>
      </c>
      <c r="D8812" s="23">
        <v>6.2350119904076698E-2</v>
      </c>
      <c r="E8812" s="23">
        <v>6.2350119904076698E-2</v>
      </c>
      <c r="F8812" s="23">
        <v>6.2350119904076698E-2</v>
      </c>
      <c r="G8812">
        <v>1</v>
      </c>
      <c r="H8812">
        <v>13</v>
      </c>
    </row>
    <row r="8813" spans="1:8" x14ac:dyDescent="0.3">
      <c r="C8813" s="23"/>
      <c r="D8813" s="23"/>
      <c r="E8813" s="23"/>
      <c r="F8813" s="23"/>
    </row>
    <row r="8814" spans="1:8" ht="72" x14ac:dyDescent="0.3">
      <c r="A8814" s="22" t="s">
        <v>1901</v>
      </c>
      <c r="C8814" s="23"/>
      <c r="D8814" s="23"/>
      <c r="E8814" s="23"/>
      <c r="F8814" s="23"/>
    </row>
    <row r="8815" spans="1:8" x14ac:dyDescent="0.3">
      <c r="A8815" s="22" t="s">
        <v>57</v>
      </c>
      <c r="B8815" t="s">
        <v>66</v>
      </c>
      <c r="C8815" s="23" t="s">
        <v>58</v>
      </c>
      <c r="D8815" s="23" t="s">
        <v>59</v>
      </c>
      <c r="E8815" s="23" t="s">
        <v>60</v>
      </c>
      <c r="F8815" s="23" t="s">
        <v>61</v>
      </c>
      <c r="G8815" t="s">
        <v>62</v>
      </c>
      <c r="H8815" t="s">
        <v>63</v>
      </c>
    </row>
    <row r="8816" spans="1:8" x14ac:dyDescent="0.3">
      <c r="A8816" s="22" t="s">
        <v>64</v>
      </c>
      <c r="B8816" t="s">
        <v>67</v>
      </c>
      <c r="C8816" s="23">
        <v>7.1351890275172608E-2</v>
      </c>
      <c r="D8816" s="23">
        <v>6.2350119904076698E-2</v>
      </c>
      <c r="E8816" s="23">
        <v>3.7037037037037E-2</v>
      </c>
      <c r="F8816" s="23">
        <v>0.16304347826087001</v>
      </c>
      <c r="G8816">
        <v>13</v>
      </c>
      <c r="H8816">
        <v>13</v>
      </c>
    </row>
    <row r="8817" spans="1:8" x14ac:dyDescent="0.3">
      <c r="C8817" s="23"/>
      <c r="D8817" s="23"/>
      <c r="E8817" s="23"/>
      <c r="F8817" s="23"/>
    </row>
    <row r="8818" spans="1:8" ht="72" x14ac:dyDescent="0.3">
      <c r="A8818" s="22" t="s">
        <v>1902</v>
      </c>
      <c r="C8818" s="23"/>
      <c r="D8818" s="23"/>
      <c r="E8818" s="23"/>
      <c r="F8818" s="23"/>
    </row>
    <row r="8819" spans="1:8" x14ac:dyDescent="0.3">
      <c r="A8819" s="22" t="s">
        <v>57</v>
      </c>
      <c r="B8819" t="s">
        <v>66</v>
      </c>
      <c r="C8819" s="23" t="s">
        <v>58</v>
      </c>
      <c r="D8819" s="23" t="s">
        <v>59</v>
      </c>
      <c r="E8819" s="23" t="s">
        <v>60</v>
      </c>
      <c r="F8819" s="23" t="s">
        <v>61</v>
      </c>
      <c r="G8819" t="s">
        <v>62</v>
      </c>
      <c r="H8819" t="s">
        <v>63</v>
      </c>
    </row>
    <row r="8820" spans="1:8" x14ac:dyDescent="0.3">
      <c r="A8820" s="22" t="s">
        <v>64</v>
      </c>
      <c r="B8820" t="s">
        <v>67</v>
      </c>
      <c r="C8820" s="23">
        <v>7.1351890275172608E-2</v>
      </c>
      <c r="D8820" s="23">
        <v>6.2350119904076698E-2</v>
      </c>
      <c r="E8820" s="23">
        <v>3.7037037037037E-2</v>
      </c>
      <c r="F8820" s="23">
        <v>0.16304347826087001</v>
      </c>
      <c r="G8820">
        <v>13</v>
      </c>
      <c r="H8820">
        <v>13</v>
      </c>
    </row>
    <row r="8821" spans="1:8" x14ac:dyDescent="0.3">
      <c r="C8821" s="23"/>
      <c r="D8821" s="23"/>
      <c r="E8821" s="23"/>
      <c r="F8821" s="23"/>
    </row>
    <row r="8822" spans="1:8" ht="72" x14ac:dyDescent="0.3">
      <c r="A8822" s="22" t="s">
        <v>1903</v>
      </c>
      <c r="C8822" s="23"/>
      <c r="D8822" s="23"/>
      <c r="E8822" s="23"/>
      <c r="F8822" s="23"/>
    </row>
    <row r="8823" spans="1:8" x14ac:dyDescent="0.3">
      <c r="A8823" s="22" t="s">
        <v>57</v>
      </c>
      <c r="B8823" t="s">
        <v>66</v>
      </c>
      <c r="C8823" s="23" t="s">
        <v>58</v>
      </c>
      <c r="D8823" s="23" t="s">
        <v>59</v>
      </c>
      <c r="E8823" s="23" t="s">
        <v>60</v>
      </c>
      <c r="F8823" s="23" t="s">
        <v>61</v>
      </c>
      <c r="G8823" t="s">
        <v>62</v>
      </c>
      <c r="H8823" t="s">
        <v>63</v>
      </c>
    </row>
    <row r="8824" spans="1:8" x14ac:dyDescent="0.3">
      <c r="A8824" s="22" t="s">
        <v>64</v>
      </c>
      <c r="B8824" t="s">
        <v>67</v>
      </c>
      <c r="C8824" s="23">
        <v>9.5846645367412095E-2</v>
      </c>
      <c r="D8824" s="23">
        <v>9.5846645367412095E-2</v>
      </c>
      <c r="E8824" s="23">
        <v>9.5846645367412095E-2</v>
      </c>
      <c r="F8824" s="23">
        <v>9.5846645367412095E-2</v>
      </c>
      <c r="G8824">
        <v>1</v>
      </c>
      <c r="H8824">
        <v>13</v>
      </c>
    </row>
    <row r="8825" spans="1:8" x14ac:dyDescent="0.3">
      <c r="A8825" s="22" t="s">
        <v>64</v>
      </c>
      <c r="B8825" t="s">
        <v>68</v>
      </c>
      <c r="C8825" s="23">
        <v>6.9310660684152647E-2</v>
      </c>
      <c r="D8825" s="23">
        <v>6.1224489795918401E-2</v>
      </c>
      <c r="E8825" s="23">
        <v>3.7037037037037E-2</v>
      </c>
      <c r="F8825" s="23">
        <v>0.16304347826087001</v>
      </c>
      <c r="G8825">
        <v>12</v>
      </c>
      <c r="H8825">
        <v>13</v>
      </c>
    </row>
    <row r="8826" spans="1:8" x14ac:dyDescent="0.3">
      <c r="C8826" s="23"/>
      <c r="D8826" s="23"/>
      <c r="E8826" s="23"/>
      <c r="F8826" s="23"/>
    </row>
    <row r="8827" spans="1:8" ht="72" x14ac:dyDescent="0.3">
      <c r="A8827" s="22" t="s">
        <v>1904</v>
      </c>
      <c r="C8827" s="23"/>
      <c r="D8827" s="23"/>
      <c r="E8827" s="23"/>
      <c r="F8827" s="23"/>
    </row>
    <row r="8828" spans="1:8" x14ac:dyDescent="0.3">
      <c r="A8828" s="22" t="s">
        <v>57</v>
      </c>
      <c r="B8828" t="s">
        <v>66</v>
      </c>
      <c r="C8828" s="23" t="s">
        <v>58</v>
      </c>
      <c r="D8828" s="23" t="s">
        <v>59</v>
      </c>
      <c r="E8828" s="23" t="s">
        <v>60</v>
      </c>
      <c r="F8828" s="23" t="s">
        <v>61</v>
      </c>
      <c r="G8828" t="s">
        <v>62</v>
      </c>
      <c r="H8828" t="s">
        <v>63</v>
      </c>
    </row>
    <row r="8829" spans="1:8" x14ac:dyDescent="0.3">
      <c r="A8829" s="22" t="s">
        <v>64</v>
      </c>
      <c r="B8829" t="s">
        <v>67</v>
      </c>
      <c r="C8829" s="23">
        <v>7.5091366036420429E-2</v>
      </c>
      <c r="D8829" s="23">
        <v>6.5359477124182996E-2</v>
      </c>
      <c r="E8829" s="23">
        <v>3.7037037037037E-2</v>
      </c>
      <c r="F8829" s="23">
        <v>0.16304347826087001</v>
      </c>
      <c r="G8829">
        <v>11</v>
      </c>
      <c r="H8829">
        <v>13</v>
      </c>
    </row>
    <row r="8830" spans="1:8" x14ac:dyDescent="0.3">
      <c r="A8830" s="22" t="s">
        <v>64</v>
      </c>
      <c r="B8830" t="s">
        <v>68</v>
      </c>
      <c r="C8830" s="23">
        <v>5.0784773588309552E-2</v>
      </c>
      <c r="D8830" s="23">
        <v>4.3478260869565202E-2</v>
      </c>
      <c r="E8830" s="23">
        <v>4.3478260869565202E-2</v>
      </c>
      <c r="F8830" s="23">
        <v>5.8091286307053902E-2</v>
      </c>
      <c r="G8830">
        <v>2</v>
      </c>
      <c r="H8830">
        <v>13</v>
      </c>
    </row>
    <row r="8831" spans="1:8" x14ac:dyDescent="0.3">
      <c r="C8831" s="23"/>
      <c r="D8831" s="23"/>
      <c r="E8831" s="23"/>
      <c r="F8831" s="23"/>
    </row>
    <row r="8832" spans="1:8" ht="72" x14ac:dyDescent="0.3">
      <c r="A8832" s="22" t="s">
        <v>1905</v>
      </c>
      <c r="C8832" s="23"/>
      <c r="D8832" s="23"/>
      <c r="E8832" s="23"/>
      <c r="F8832" s="23"/>
    </row>
    <row r="8833" spans="1:8" x14ac:dyDescent="0.3">
      <c r="A8833" s="22" t="s">
        <v>57</v>
      </c>
      <c r="B8833" t="s">
        <v>66</v>
      </c>
      <c r="C8833" s="23" t="s">
        <v>58</v>
      </c>
      <c r="D8833" s="23" t="s">
        <v>59</v>
      </c>
      <c r="E8833" s="23" t="s">
        <v>60</v>
      </c>
      <c r="F8833" s="23" t="s">
        <v>61</v>
      </c>
      <c r="G8833" t="s">
        <v>62</v>
      </c>
      <c r="H8833" t="s">
        <v>63</v>
      </c>
    </row>
    <row r="8834" spans="1:8" x14ac:dyDescent="0.3">
      <c r="A8834" s="22" t="s">
        <v>64</v>
      </c>
      <c r="B8834" t="s">
        <v>67</v>
      </c>
      <c r="C8834" s="23">
        <v>6.7175890556973789E-2</v>
      </c>
      <c r="D8834" s="23">
        <v>6.0975609756097601E-2</v>
      </c>
      <c r="E8834" s="23">
        <v>3.7037037037037E-2</v>
      </c>
      <c r="F8834" s="23">
        <v>0.16304347826087001</v>
      </c>
      <c r="G8834">
        <v>10</v>
      </c>
      <c r="H8834">
        <v>13</v>
      </c>
    </row>
    <row r="8835" spans="1:8" x14ac:dyDescent="0.3">
      <c r="A8835" s="22" t="s">
        <v>64</v>
      </c>
      <c r="B8835" t="s">
        <v>68</v>
      </c>
      <c r="C8835" s="23">
        <v>8.5271889335835335E-2</v>
      </c>
      <c r="D8835" s="23">
        <v>9.8619329388560203E-2</v>
      </c>
      <c r="E8835" s="23">
        <v>6.13496932515337E-2</v>
      </c>
      <c r="F8835" s="23">
        <v>9.8619329388560203E-2</v>
      </c>
      <c r="G8835">
        <v>3</v>
      </c>
      <c r="H8835">
        <v>13</v>
      </c>
    </row>
    <row r="8836" spans="1:8" x14ac:dyDescent="0.3">
      <c r="C8836" s="23"/>
      <c r="D8836" s="23"/>
      <c r="E8836" s="23"/>
      <c r="F8836" s="23"/>
    </row>
    <row r="8837" spans="1:8" ht="72" x14ac:dyDescent="0.3">
      <c r="A8837" s="22" t="s">
        <v>1906</v>
      </c>
      <c r="C8837" s="23"/>
      <c r="D8837" s="23"/>
      <c r="E8837" s="23"/>
      <c r="F8837" s="23"/>
    </row>
    <row r="8838" spans="1:8" x14ac:dyDescent="0.3">
      <c r="A8838" s="22" t="s">
        <v>57</v>
      </c>
      <c r="B8838" t="s">
        <v>66</v>
      </c>
      <c r="C8838" s="23" t="s">
        <v>58</v>
      </c>
      <c r="D8838" s="23" t="s">
        <v>59</v>
      </c>
      <c r="E8838" s="23" t="s">
        <v>60</v>
      </c>
      <c r="F8838" s="23" t="s">
        <v>61</v>
      </c>
      <c r="G8838" t="s">
        <v>62</v>
      </c>
      <c r="H8838" t="s">
        <v>63</v>
      </c>
    </row>
    <row r="8839" spans="1:8" x14ac:dyDescent="0.3">
      <c r="A8839" s="22" t="s">
        <v>64</v>
      </c>
      <c r="B8839" t="s">
        <v>67</v>
      </c>
      <c r="C8839" s="23">
        <v>7.178718594665448E-2</v>
      </c>
      <c r="D8839" s="23">
        <v>6.13496932515337E-2</v>
      </c>
      <c r="E8839" s="23">
        <v>3.7037037037037E-2</v>
      </c>
      <c r="F8839" s="23">
        <v>0.16304347826087001</v>
      </c>
      <c r="G8839">
        <v>10</v>
      </c>
      <c r="H8839">
        <v>13</v>
      </c>
    </row>
    <row r="8840" spans="1:8" x14ac:dyDescent="0.3">
      <c r="A8840" s="22" t="s">
        <v>64</v>
      </c>
      <c r="B8840" t="s">
        <v>68</v>
      </c>
      <c r="C8840" s="23">
        <v>6.9900904703566302E-2</v>
      </c>
      <c r="D8840" s="23">
        <v>9.5846645367412095E-2</v>
      </c>
      <c r="E8840" s="23">
        <v>5.2631578947368397E-2</v>
      </c>
      <c r="F8840" s="23">
        <v>9.5846645367412095E-2</v>
      </c>
      <c r="G8840">
        <v>3</v>
      </c>
      <c r="H8840">
        <v>13</v>
      </c>
    </row>
    <row r="8841" spans="1:8" x14ac:dyDescent="0.3">
      <c r="C8841" s="23"/>
      <c r="D8841" s="23"/>
      <c r="E8841" s="23"/>
      <c r="F8841" s="23"/>
    </row>
    <row r="8842" spans="1:8" ht="86.4" x14ac:dyDescent="0.3">
      <c r="A8842" s="22" t="s">
        <v>1907</v>
      </c>
      <c r="C8842" s="23"/>
      <c r="D8842" s="23"/>
      <c r="E8842" s="23"/>
      <c r="F8842" s="23"/>
    </row>
    <row r="8843" spans="1:8" x14ac:dyDescent="0.3">
      <c r="A8843" s="22" t="s">
        <v>57</v>
      </c>
      <c r="B8843" t="s">
        <v>66</v>
      </c>
      <c r="C8843" s="23" t="s">
        <v>58</v>
      </c>
      <c r="D8843" s="23" t="s">
        <v>59</v>
      </c>
      <c r="E8843" s="23" t="s">
        <v>60</v>
      </c>
      <c r="F8843" s="23" t="s">
        <v>61</v>
      </c>
      <c r="G8843" t="s">
        <v>62</v>
      </c>
      <c r="H8843" t="s">
        <v>63</v>
      </c>
    </row>
    <row r="8844" spans="1:8" x14ac:dyDescent="0.3">
      <c r="A8844" s="22" t="s">
        <v>64</v>
      </c>
      <c r="B8844" t="s">
        <v>67</v>
      </c>
      <c r="C8844" s="23">
        <v>6.90796036823903E-2</v>
      </c>
      <c r="D8844" s="23">
        <v>6.1224489795918401E-2</v>
      </c>
      <c r="E8844" s="23">
        <v>3.7037037037037E-2</v>
      </c>
      <c r="F8844" s="23">
        <v>0.16304347826087001</v>
      </c>
      <c r="G8844">
        <v>12</v>
      </c>
      <c r="H8844">
        <v>13</v>
      </c>
    </row>
    <row r="8845" spans="1:8" x14ac:dyDescent="0.3">
      <c r="A8845" s="22" t="s">
        <v>64</v>
      </c>
      <c r="B8845" t="s">
        <v>68</v>
      </c>
      <c r="C8845" s="23">
        <v>9.8619329388560203E-2</v>
      </c>
      <c r="D8845" s="23">
        <v>9.8619329388560203E-2</v>
      </c>
      <c r="E8845" s="23">
        <v>9.8619329388560203E-2</v>
      </c>
      <c r="F8845" s="23">
        <v>9.8619329388560203E-2</v>
      </c>
      <c r="G8845">
        <v>1</v>
      </c>
      <c r="H8845">
        <v>13</v>
      </c>
    </row>
    <row r="8846" spans="1:8" x14ac:dyDescent="0.3">
      <c r="C8846" s="23"/>
      <c r="D8846" s="23"/>
      <c r="E8846" s="23"/>
      <c r="F8846" s="23"/>
    </row>
    <row r="8847" spans="1:8" ht="86.4" x14ac:dyDescent="0.3">
      <c r="A8847" s="22" t="s">
        <v>1908</v>
      </c>
      <c r="C8847" s="23"/>
      <c r="D8847" s="23"/>
      <c r="E8847" s="23"/>
      <c r="F8847" s="23"/>
    </row>
    <row r="8848" spans="1:8" x14ac:dyDescent="0.3">
      <c r="A8848" s="22" t="s">
        <v>57</v>
      </c>
      <c r="B8848" t="s">
        <v>66</v>
      </c>
      <c r="C8848" s="23" t="s">
        <v>58</v>
      </c>
      <c r="D8848" s="23" t="s">
        <v>59</v>
      </c>
      <c r="E8848" s="23" t="s">
        <v>60</v>
      </c>
      <c r="F8848" s="23" t="s">
        <v>61</v>
      </c>
      <c r="G8848" t="s">
        <v>62</v>
      </c>
      <c r="H8848" t="s">
        <v>63</v>
      </c>
    </row>
    <row r="8849" spans="1:8" x14ac:dyDescent="0.3">
      <c r="A8849" s="22" t="s">
        <v>64</v>
      </c>
      <c r="B8849" t="s">
        <v>67</v>
      </c>
      <c r="C8849" s="23">
        <v>7.1351890275172608E-2</v>
      </c>
      <c r="D8849" s="23">
        <v>6.2350119904076698E-2</v>
      </c>
      <c r="E8849" s="23">
        <v>3.7037037037037E-2</v>
      </c>
      <c r="F8849" s="23">
        <v>0.16304347826087001</v>
      </c>
      <c r="G8849">
        <v>13</v>
      </c>
      <c r="H8849">
        <v>13</v>
      </c>
    </row>
    <row r="8850" spans="1:8" x14ac:dyDescent="0.3">
      <c r="C8850" s="23"/>
      <c r="D8850" s="23"/>
      <c r="E8850" s="23"/>
      <c r="F8850" s="23"/>
    </row>
    <row r="8851" spans="1:8" ht="72" x14ac:dyDescent="0.3">
      <c r="A8851" s="22" t="s">
        <v>1909</v>
      </c>
      <c r="C8851" s="23"/>
      <c r="D8851" s="23"/>
      <c r="E8851" s="23"/>
      <c r="F8851" s="23"/>
    </row>
    <row r="8852" spans="1:8" x14ac:dyDescent="0.3">
      <c r="A8852" s="22" t="s">
        <v>57</v>
      </c>
      <c r="B8852" t="s">
        <v>66</v>
      </c>
      <c r="C8852" s="23" t="s">
        <v>58</v>
      </c>
      <c r="D8852" s="23" t="s">
        <v>59</v>
      </c>
      <c r="E8852" s="23" t="s">
        <v>60</v>
      </c>
      <c r="F8852" s="23" t="s">
        <v>61</v>
      </c>
      <c r="G8852" t="s">
        <v>62</v>
      </c>
      <c r="H8852" t="s">
        <v>63</v>
      </c>
    </row>
    <row r="8853" spans="1:8" x14ac:dyDescent="0.3">
      <c r="A8853" s="22" t="s">
        <v>64</v>
      </c>
      <c r="B8853" t="s">
        <v>67</v>
      </c>
      <c r="C8853" s="23">
        <v>6.4775025138614009E-2</v>
      </c>
      <c r="D8853" s="23">
        <v>6.2350119904076698E-2</v>
      </c>
      <c r="E8853" s="23">
        <v>4.3478260869565202E-2</v>
      </c>
      <c r="F8853" s="23">
        <v>9.5846645367412095E-2</v>
      </c>
      <c r="G8853">
        <v>5</v>
      </c>
      <c r="H8853">
        <v>13</v>
      </c>
    </row>
    <row r="8854" spans="1:8" x14ac:dyDescent="0.3">
      <c r="A8854" s="22" t="s">
        <v>64</v>
      </c>
      <c r="B8854" t="s">
        <v>68</v>
      </c>
      <c r="C8854" s="23">
        <v>7.5462430985521731E-2</v>
      </c>
      <c r="D8854" s="23">
        <v>6.13496932515337E-2</v>
      </c>
      <c r="E8854" s="23">
        <v>3.7037037037037E-2</v>
      </c>
      <c r="F8854" s="23">
        <v>0.16304347826087001</v>
      </c>
      <c r="G8854">
        <v>8</v>
      </c>
      <c r="H8854">
        <v>13</v>
      </c>
    </row>
    <row r="8855" spans="1:8" x14ac:dyDescent="0.3">
      <c r="C8855" s="23"/>
      <c r="D8855" s="23"/>
      <c r="E8855" s="23"/>
      <c r="F8855" s="23"/>
    </row>
    <row r="8856" spans="1:8" ht="86.4" x14ac:dyDescent="0.3">
      <c r="A8856" s="22" t="s">
        <v>1910</v>
      </c>
      <c r="C8856" s="23"/>
      <c r="D8856" s="23"/>
      <c r="E8856" s="23"/>
      <c r="F8856" s="23"/>
    </row>
    <row r="8857" spans="1:8" x14ac:dyDescent="0.3">
      <c r="A8857" s="22" t="s">
        <v>57</v>
      </c>
      <c r="B8857" t="s">
        <v>66</v>
      </c>
      <c r="C8857" s="23" t="s">
        <v>58</v>
      </c>
      <c r="D8857" s="23" t="s">
        <v>59</v>
      </c>
      <c r="E8857" s="23" t="s">
        <v>60</v>
      </c>
      <c r="F8857" s="23" t="s">
        <v>61</v>
      </c>
      <c r="G8857" t="s">
        <v>62</v>
      </c>
      <c r="H8857" t="s">
        <v>63</v>
      </c>
    </row>
    <row r="8858" spans="1:8" x14ac:dyDescent="0.3">
      <c r="A8858" s="22" t="s">
        <v>64</v>
      </c>
      <c r="B8858" t="s">
        <v>67</v>
      </c>
      <c r="C8858" s="23">
        <v>7.3674692725639881E-2</v>
      </c>
      <c r="D8858" s="23">
        <v>6.13496932515337E-2</v>
      </c>
      <c r="E8858" s="23">
        <v>3.7037037037037E-2</v>
      </c>
      <c r="F8858" s="23">
        <v>0.16304347826087001</v>
      </c>
      <c r="G8858">
        <v>12</v>
      </c>
      <c r="H8858">
        <v>13</v>
      </c>
    </row>
    <row r="8859" spans="1:8" x14ac:dyDescent="0.3">
      <c r="A8859" s="22" t="s">
        <v>64</v>
      </c>
      <c r="B8859" t="s">
        <v>68</v>
      </c>
      <c r="C8859" s="23">
        <v>4.3478260869565202E-2</v>
      </c>
      <c r="D8859" s="23">
        <v>4.3478260869565202E-2</v>
      </c>
      <c r="E8859" s="23">
        <v>4.3478260869565202E-2</v>
      </c>
      <c r="F8859" s="23">
        <v>4.3478260869565202E-2</v>
      </c>
      <c r="G8859">
        <v>1</v>
      </c>
      <c r="H8859">
        <v>13</v>
      </c>
    </row>
    <row r="8860" spans="1:8" x14ac:dyDescent="0.3">
      <c r="C8860" s="23"/>
      <c r="D8860" s="23"/>
      <c r="E8860" s="23"/>
      <c r="F8860" s="23"/>
    </row>
    <row r="8861" spans="1:8" ht="72" x14ac:dyDescent="0.3">
      <c r="A8861" s="22" t="s">
        <v>1911</v>
      </c>
      <c r="C8861" s="23"/>
      <c r="D8861" s="23"/>
      <c r="E8861" s="23"/>
      <c r="F8861" s="23"/>
    </row>
    <row r="8862" spans="1:8" x14ac:dyDescent="0.3">
      <c r="A8862" s="22" t="s">
        <v>57</v>
      </c>
      <c r="B8862" t="s">
        <v>66</v>
      </c>
      <c r="C8862" s="23" t="s">
        <v>58</v>
      </c>
      <c r="D8862" s="23" t="s">
        <v>59</v>
      </c>
      <c r="E8862" s="23" t="s">
        <v>60</v>
      </c>
      <c r="F8862" s="23" t="s">
        <v>61</v>
      </c>
      <c r="G8862" t="s">
        <v>62</v>
      </c>
      <c r="H8862" t="s">
        <v>63</v>
      </c>
    </row>
    <row r="8863" spans="1:8" x14ac:dyDescent="0.3">
      <c r="A8863" s="22" t="s">
        <v>64</v>
      </c>
      <c r="B8863" t="s">
        <v>81</v>
      </c>
      <c r="C8863" s="23">
        <v>6.1843014901485582E-2</v>
      </c>
      <c r="D8863" s="23">
        <v>6.2350119904076698E-2</v>
      </c>
      <c r="E8863" s="23">
        <v>3.7037037037037E-2</v>
      </c>
      <c r="F8863" s="23">
        <v>9.5846645367412095E-2</v>
      </c>
      <c r="G8863">
        <v>5</v>
      </c>
      <c r="H8863">
        <v>13</v>
      </c>
    </row>
    <row r="8864" spans="1:8" x14ac:dyDescent="0.3">
      <c r="A8864" s="22" t="s">
        <v>64</v>
      </c>
      <c r="B8864" t="s">
        <v>82</v>
      </c>
      <c r="C8864" s="23">
        <v>5.9533448031575752E-2</v>
      </c>
      <c r="D8864" s="23">
        <v>5.8091286307053902E-2</v>
      </c>
      <c r="E8864" s="23">
        <v>5.8091286307053902E-2</v>
      </c>
      <c r="F8864" s="23">
        <v>6.0975609756097601E-2</v>
      </c>
      <c r="G8864">
        <v>2</v>
      </c>
      <c r="H8864">
        <v>13</v>
      </c>
    </row>
    <row r="8865" spans="1:8" x14ac:dyDescent="0.3">
      <c r="A8865" s="22" t="s">
        <v>64</v>
      </c>
      <c r="B8865" t="s">
        <v>83</v>
      </c>
      <c r="C8865" s="23">
        <v>6.7249824949158876E-2</v>
      </c>
      <c r="D8865" s="23">
        <v>6.7567567567567599E-2</v>
      </c>
      <c r="E8865" s="23">
        <v>4.3478260869565202E-2</v>
      </c>
      <c r="F8865" s="23">
        <v>9.8619329388560203E-2</v>
      </c>
      <c r="G8865">
        <v>5</v>
      </c>
      <c r="H8865">
        <v>13</v>
      </c>
    </row>
    <row r="8866" spans="1:8" x14ac:dyDescent="0.3">
      <c r="A8866" s="22" t="s">
        <v>64</v>
      </c>
      <c r="B8866" t="s">
        <v>84</v>
      </c>
      <c r="C8866" s="23">
        <v>0.16304347826087001</v>
      </c>
      <c r="D8866" s="23">
        <v>0.16304347826087001</v>
      </c>
      <c r="E8866" s="23">
        <v>0.16304347826087001</v>
      </c>
      <c r="F8866" s="23">
        <v>0.16304347826087001</v>
      </c>
      <c r="G8866">
        <v>1</v>
      </c>
      <c r="H8866">
        <v>13</v>
      </c>
    </row>
    <row r="8867" spans="1:8" x14ac:dyDescent="0.3">
      <c r="C8867" s="23"/>
      <c r="D8867" s="23"/>
      <c r="E8867" s="23"/>
      <c r="F8867" s="23"/>
    </row>
    <row r="8868" spans="1:8" ht="57.6" x14ac:dyDescent="0.3">
      <c r="A8868" s="22" t="s">
        <v>1912</v>
      </c>
    </row>
    <row r="8869" spans="1:8" x14ac:dyDescent="0.3">
      <c r="A8869" s="22" t="s">
        <v>57</v>
      </c>
      <c r="B8869" t="s">
        <v>58</v>
      </c>
      <c r="C8869" t="s">
        <v>59</v>
      </c>
      <c r="D8869" t="s">
        <v>60</v>
      </c>
      <c r="E8869" t="s">
        <v>61</v>
      </c>
      <c r="F8869" t="s">
        <v>62</v>
      </c>
      <c r="G8869" t="s">
        <v>63</v>
      </c>
    </row>
    <row r="8870" spans="1:8" x14ac:dyDescent="0.3">
      <c r="A8870" s="22" t="s">
        <v>64</v>
      </c>
      <c r="B8870" s="23">
        <v>0.20673924051732689</v>
      </c>
      <c r="C8870" s="23">
        <v>0.16666666666666699</v>
      </c>
      <c r="D8870" s="23">
        <v>2.7100271002710001E-2</v>
      </c>
      <c r="E8870" s="23">
        <v>0.71428571428571397</v>
      </c>
      <c r="F8870">
        <v>25</v>
      </c>
      <c r="G8870">
        <v>25</v>
      </c>
    </row>
    <row r="8872" spans="1:8" ht="72" x14ac:dyDescent="0.3">
      <c r="A8872" s="22" t="s">
        <v>1913</v>
      </c>
    </row>
    <row r="8873" spans="1:8" x14ac:dyDescent="0.3">
      <c r="A8873" s="22" t="s">
        <v>57</v>
      </c>
      <c r="B8873" t="s">
        <v>66</v>
      </c>
      <c r="C8873" t="s">
        <v>58</v>
      </c>
      <c r="D8873" t="s">
        <v>59</v>
      </c>
      <c r="E8873" t="s">
        <v>60</v>
      </c>
      <c r="F8873" t="s">
        <v>61</v>
      </c>
      <c r="G8873" t="s">
        <v>62</v>
      </c>
      <c r="H8873" t="s">
        <v>63</v>
      </c>
    </row>
    <row r="8874" spans="1:8" x14ac:dyDescent="0.3">
      <c r="A8874" s="22" t="s">
        <v>64</v>
      </c>
      <c r="B8874" t="s">
        <v>67</v>
      </c>
      <c r="C8874" s="23">
        <v>0.20574520700387081</v>
      </c>
      <c r="D8874" s="23">
        <v>0.14792899408283999</v>
      </c>
      <c r="E8874" s="23">
        <v>2.93470286133529E-2</v>
      </c>
      <c r="F8874" s="23">
        <v>0.71428571428571397</v>
      </c>
      <c r="G8874">
        <v>22</v>
      </c>
      <c r="H8874">
        <v>25</v>
      </c>
    </row>
    <row r="8875" spans="1:8" x14ac:dyDescent="0.3">
      <c r="A8875" s="22" t="s">
        <v>64</v>
      </c>
      <c r="B8875" t="s">
        <v>68</v>
      </c>
      <c r="C8875" s="23">
        <v>0.21402881961600459</v>
      </c>
      <c r="D8875" s="23">
        <v>0.55248618784530401</v>
      </c>
      <c r="E8875" s="23">
        <v>2.7100271002710001E-2</v>
      </c>
      <c r="F8875" s="23">
        <v>0.55248618784530401</v>
      </c>
      <c r="G8875">
        <v>3</v>
      </c>
      <c r="H8875">
        <v>25</v>
      </c>
    </row>
    <row r="8876" spans="1:8" x14ac:dyDescent="0.3">
      <c r="C8876" s="23"/>
      <c r="D8876" s="23"/>
      <c r="E8876" s="23"/>
      <c r="F8876" s="23"/>
    </row>
    <row r="8877" spans="1:8" x14ac:dyDescent="0.3">
      <c r="A8877"/>
      <c r="C8877" s="23"/>
      <c r="D8877" s="23"/>
      <c r="E8877" s="23"/>
      <c r="F8877" s="23"/>
    </row>
    <row r="8878" spans="1:8" x14ac:dyDescent="0.3">
      <c r="A8878"/>
      <c r="C8878" s="23"/>
      <c r="D8878" s="23"/>
      <c r="E8878" s="23"/>
      <c r="F8878" s="23"/>
    </row>
    <row r="8879" spans="1:8" x14ac:dyDescent="0.3">
      <c r="A8879"/>
      <c r="C8879" s="23"/>
      <c r="D8879" s="23"/>
      <c r="E8879" s="23"/>
      <c r="F8879" s="23"/>
    </row>
    <row r="8880" spans="1:8" x14ac:dyDescent="0.3">
      <c r="C8880" s="23"/>
      <c r="D8880" s="23"/>
      <c r="E8880" s="23"/>
      <c r="F8880" s="23"/>
    </row>
    <row r="8881" spans="1:8" ht="72" x14ac:dyDescent="0.3">
      <c r="A8881" s="22" t="s">
        <v>1914</v>
      </c>
      <c r="C8881" s="23"/>
      <c r="D8881" s="23"/>
      <c r="E8881" s="23"/>
      <c r="F8881" s="23"/>
    </row>
    <row r="8882" spans="1:8" x14ac:dyDescent="0.3">
      <c r="A8882" s="22" t="s">
        <v>57</v>
      </c>
      <c r="B8882" t="s">
        <v>66</v>
      </c>
      <c r="C8882" s="23" t="s">
        <v>58</v>
      </c>
      <c r="D8882" s="23" t="s">
        <v>59</v>
      </c>
      <c r="E8882" s="23" t="s">
        <v>60</v>
      </c>
      <c r="F8882" s="23" t="s">
        <v>61</v>
      </c>
      <c r="G8882" t="s">
        <v>62</v>
      </c>
      <c r="H8882" t="s">
        <v>63</v>
      </c>
    </row>
    <row r="8883" spans="1:8" x14ac:dyDescent="0.3">
      <c r="A8883" s="22" t="s">
        <v>64</v>
      </c>
      <c r="B8883" t="s">
        <v>67</v>
      </c>
      <c r="C8883" s="23">
        <v>0.20905386194043571</v>
      </c>
      <c r="D8883" s="23">
        <v>0.16666666666666699</v>
      </c>
      <c r="E8883" s="23">
        <v>2.7100271002710001E-2</v>
      </c>
      <c r="F8883" s="23">
        <v>0.71428571428571397</v>
      </c>
      <c r="G8883">
        <v>21</v>
      </c>
      <c r="H8883">
        <v>25</v>
      </c>
    </row>
    <row r="8884" spans="1:8" x14ac:dyDescent="0.3">
      <c r="A8884" s="22" t="s">
        <v>64</v>
      </c>
      <c r="B8884" t="s">
        <v>68</v>
      </c>
      <c r="C8884" s="23">
        <v>0.19458747804600551</v>
      </c>
      <c r="D8884" s="23">
        <v>9.6153846153846201E-2</v>
      </c>
      <c r="E8884" s="23">
        <v>3.83693045563549E-2</v>
      </c>
      <c r="F8884" s="23">
        <v>0.33613445378151302</v>
      </c>
      <c r="G8884">
        <v>4</v>
      </c>
      <c r="H8884">
        <v>25</v>
      </c>
    </row>
    <row r="8885" spans="1:8" x14ac:dyDescent="0.3">
      <c r="C8885" s="23"/>
      <c r="D8885" s="23"/>
      <c r="E8885" s="23"/>
      <c r="F8885" s="23"/>
    </row>
    <row r="8886" spans="1:8" ht="72" x14ac:dyDescent="0.3">
      <c r="A8886" s="22" t="s">
        <v>1915</v>
      </c>
      <c r="C8886" s="23"/>
      <c r="D8886" s="23"/>
      <c r="E8886" s="23"/>
      <c r="F8886" s="23"/>
    </row>
    <row r="8887" spans="1:8" x14ac:dyDescent="0.3">
      <c r="A8887" s="22" t="s">
        <v>57</v>
      </c>
      <c r="B8887" t="s">
        <v>66</v>
      </c>
      <c r="C8887" s="23" t="s">
        <v>58</v>
      </c>
      <c r="D8887" s="23" t="s">
        <v>59</v>
      </c>
      <c r="E8887" s="23" t="s">
        <v>60</v>
      </c>
      <c r="F8887" s="23" t="s">
        <v>61</v>
      </c>
      <c r="G8887" t="s">
        <v>62</v>
      </c>
      <c r="H8887" t="s">
        <v>63</v>
      </c>
    </row>
    <row r="8888" spans="1:8" x14ac:dyDescent="0.3">
      <c r="A8888" s="22" t="s">
        <v>64</v>
      </c>
      <c r="B8888" t="s">
        <v>67</v>
      </c>
      <c r="C8888" s="23">
        <v>0.20673924051732689</v>
      </c>
      <c r="D8888" s="23">
        <v>0.16666666666666699</v>
      </c>
      <c r="E8888" s="23">
        <v>2.7100271002710001E-2</v>
      </c>
      <c r="F8888" s="23">
        <v>0.71428571428571397</v>
      </c>
      <c r="G8888">
        <v>25</v>
      </c>
      <c r="H8888">
        <v>25</v>
      </c>
    </row>
    <row r="8889" spans="1:8" x14ac:dyDescent="0.3">
      <c r="C8889" s="23"/>
      <c r="D8889" s="23"/>
      <c r="E8889" s="23"/>
      <c r="F8889" s="23"/>
    </row>
    <row r="8890" spans="1:8" ht="72" x14ac:dyDescent="0.3">
      <c r="A8890" s="22" t="s">
        <v>1916</v>
      </c>
      <c r="C8890" s="23"/>
      <c r="D8890" s="23"/>
      <c r="E8890" s="23"/>
      <c r="F8890" s="23"/>
    </row>
    <row r="8891" spans="1:8" x14ac:dyDescent="0.3">
      <c r="A8891" s="22" t="s">
        <v>57</v>
      </c>
      <c r="B8891" t="s">
        <v>66</v>
      </c>
      <c r="C8891" s="23" t="s">
        <v>58</v>
      </c>
      <c r="D8891" s="23" t="s">
        <v>59</v>
      </c>
      <c r="E8891" s="23" t="s">
        <v>60</v>
      </c>
      <c r="F8891" s="23" t="s">
        <v>61</v>
      </c>
      <c r="G8891" t="s">
        <v>62</v>
      </c>
      <c r="H8891" t="s">
        <v>63</v>
      </c>
    </row>
    <row r="8892" spans="1:8" x14ac:dyDescent="0.3">
      <c r="A8892" s="22" t="s">
        <v>64</v>
      </c>
      <c r="B8892" t="s">
        <v>67</v>
      </c>
      <c r="C8892" s="23">
        <v>0.2091957400709018</v>
      </c>
      <c r="D8892" s="23">
        <v>0.14792899408283999</v>
      </c>
      <c r="E8892" s="23">
        <v>2.7100271002710001E-2</v>
      </c>
      <c r="F8892" s="23">
        <v>0.71428571428571397</v>
      </c>
      <c r="G8892">
        <v>24</v>
      </c>
      <c r="H8892">
        <v>25</v>
      </c>
    </row>
    <row r="8893" spans="1:8" x14ac:dyDescent="0.3">
      <c r="A8893" s="22" t="s">
        <v>64</v>
      </c>
      <c r="B8893" t="s">
        <v>68</v>
      </c>
      <c r="C8893" s="23">
        <v>0.147783251231527</v>
      </c>
      <c r="D8893" s="23">
        <v>0.147783251231527</v>
      </c>
      <c r="E8893" s="23">
        <v>0.147783251231527</v>
      </c>
      <c r="F8893" s="23">
        <v>0.147783251231527</v>
      </c>
      <c r="G8893">
        <v>1</v>
      </c>
      <c r="H8893">
        <v>25</v>
      </c>
    </row>
    <row r="8894" spans="1:8" x14ac:dyDescent="0.3">
      <c r="C8894" s="23"/>
      <c r="D8894" s="23"/>
      <c r="E8894" s="23"/>
      <c r="F8894" s="23"/>
    </row>
    <row r="8895" spans="1:8" ht="72" x14ac:dyDescent="0.3">
      <c r="A8895" s="22" t="s">
        <v>1917</v>
      </c>
      <c r="C8895" s="23"/>
      <c r="D8895" s="23"/>
      <c r="E8895" s="23"/>
      <c r="F8895" s="23"/>
    </row>
    <row r="8896" spans="1:8" x14ac:dyDescent="0.3">
      <c r="A8896" s="22" t="s">
        <v>57</v>
      </c>
      <c r="B8896" t="s">
        <v>66</v>
      </c>
      <c r="C8896" s="23" t="s">
        <v>58</v>
      </c>
      <c r="D8896" s="23" t="s">
        <v>59</v>
      </c>
      <c r="E8896" s="23" t="s">
        <v>60</v>
      </c>
      <c r="F8896" s="23" t="s">
        <v>61</v>
      </c>
      <c r="G8896" t="s">
        <v>62</v>
      </c>
      <c r="H8896" t="s">
        <v>63</v>
      </c>
    </row>
    <row r="8897" spans="1:8" x14ac:dyDescent="0.3">
      <c r="A8897" s="22" t="s">
        <v>64</v>
      </c>
      <c r="B8897" t="s">
        <v>67</v>
      </c>
      <c r="C8897" s="23">
        <v>0.36151388547554703</v>
      </c>
      <c r="D8897" s="23">
        <v>0.30769230769230799</v>
      </c>
      <c r="E8897" s="23">
        <v>0.30769230769230799</v>
      </c>
      <c r="F8897" s="23">
        <v>0.41533546325878601</v>
      </c>
      <c r="G8897">
        <v>2</v>
      </c>
      <c r="H8897">
        <v>25</v>
      </c>
    </row>
    <row r="8898" spans="1:8" x14ac:dyDescent="0.3">
      <c r="A8898" s="22" t="s">
        <v>64</v>
      </c>
      <c r="B8898" t="s">
        <v>68</v>
      </c>
      <c r="C8898" s="23">
        <v>0.1932805757383512</v>
      </c>
      <c r="D8898" s="23">
        <v>0.14792899408283999</v>
      </c>
      <c r="E8898" s="23">
        <v>2.7100271002710001E-2</v>
      </c>
      <c r="F8898" s="23">
        <v>0.71428571428571397</v>
      </c>
      <c r="G8898">
        <v>23</v>
      </c>
      <c r="H8898">
        <v>25</v>
      </c>
    </row>
    <row r="8899" spans="1:8" x14ac:dyDescent="0.3">
      <c r="C8899" s="23"/>
      <c r="D8899" s="23"/>
      <c r="E8899" s="23"/>
      <c r="F8899" s="23"/>
    </row>
    <row r="8900" spans="1:8" ht="72" x14ac:dyDescent="0.3">
      <c r="A8900" s="22" t="s">
        <v>1918</v>
      </c>
      <c r="C8900" s="23"/>
      <c r="D8900" s="23"/>
      <c r="E8900" s="23"/>
      <c r="F8900" s="23"/>
    </row>
    <row r="8901" spans="1:8" x14ac:dyDescent="0.3">
      <c r="A8901" s="22" t="s">
        <v>57</v>
      </c>
      <c r="B8901" t="s">
        <v>66</v>
      </c>
      <c r="C8901" s="23" t="s">
        <v>58</v>
      </c>
      <c r="D8901" s="23" t="s">
        <v>59</v>
      </c>
      <c r="E8901" s="23" t="s">
        <v>60</v>
      </c>
      <c r="F8901" s="23" t="s">
        <v>61</v>
      </c>
      <c r="G8901" t="s">
        <v>62</v>
      </c>
      <c r="H8901" t="s">
        <v>63</v>
      </c>
    </row>
    <row r="8902" spans="1:8" x14ac:dyDescent="0.3">
      <c r="A8902" s="22" t="s">
        <v>64</v>
      </c>
      <c r="B8902" t="s">
        <v>67</v>
      </c>
      <c r="C8902" s="23">
        <v>0.18998402008898091</v>
      </c>
      <c r="D8902" s="23">
        <v>0.13953488372093001</v>
      </c>
      <c r="E8902" s="23">
        <v>2.7100271002710001E-2</v>
      </c>
      <c r="F8902" s="23">
        <v>0.71428571428571397</v>
      </c>
      <c r="G8902">
        <v>20</v>
      </c>
      <c r="H8902">
        <v>25</v>
      </c>
    </row>
    <row r="8903" spans="1:8" x14ac:dyDescent="0.3">
      <c r="A8903" s="22" t="s">
        <v>64</v>
      </c>
      <c r="B8903" t="s">
        <v>68</v>
      </c>
      <c r="C8903" s="23">
        <v>0.27376012223071061</v>
      </c>
      <c r="D8903" s="23">
        <v>0.35064935064935099</v>
      </c>
      <c r="E8903" s="23">
        <v>0.14285714285714299</v>
      </c>
      <c r="F8903" s="23">
        <v>0.4</v>
      </c>
      <c r="G8903">
        <v>5</v>
      </c>
      <c r="H8903">
        <v>25</v>
      </c>
    </row>
    <row r="8904" spans="1:8" x14ac:dyDescent="0.3">
      <c r="C8904" s="23"/>
      <c r="D8904" s="23"/>
      <c r="E8904" s="23"/>
      <c r="F8904" s="23"/>
    </row>
    <row r="8905" spans="1:8" ht="72" x14ac:dyDescent="0.3">
      <c r="A8905" s="22" t="s">
        <v>1919</v>
      </c>
      <c r="C8905" s="23"/>
      <c r="D8905" s="23"/>
      <c r="E8905" s="23"/>
      <c r="F8905" s="23"/>
    </row>
    <row r="8906" spans="1:8" x14ac:dyDescent="0.3">
      <c r="A8906" s="22" t="s">
        <v>57</v>
      </c>
      <c r="B8906" t="s">
        <v>66</v>
      </c>
      <c r="C8906" s="23" t="s">
        <v>58</v>
      </c>
      <c r="D8906" s="23" t="s">
        <v>59</v>
      </c>
      <c r="E8906" s="23" t="s">
        <v>60</v>
      </c>
      <c r="F8906" s="23" t="s">
        <v>61</v>
      </c>
      <c r="G8906" t="s">
        <v>62</v>
      </c>
      <c r="H8906" t="s">
        <v>63</v>
      </c>
    </row>
    <row r="8907" spans="1:8" x14ac:dyDescent="0.3">
      <c r="A8907" s="22" t="s">
        <v>64</v>
      </c>
      <c r="B8907" t="s">
        <v>67</v>
      </c>
      <c r="C8907" s="23">
        <v>0.17412300570071881</v>
      </c>
      <c r="D8907" s="23">
        <v>0.14285714285714299</v>
      </c>
      <c r="E8907" s="23">
        <v>3.83693045563549E-2</v>
      </c>
      <c r="F8907" s="23">
        <v>0.4</v>
      </c>
      <c r="G8907">
        <v>18</v>
      </c>
      <c r="H8907">
        <v>25</v>
      </c>
    </row>
    <row r="8908" spans="1:8" x14ac:dyDescent="0.3">
      <c r="A8908" s="22" t="s">
        <v>64</v>
      </c>
      <c r="B8908" t="s">
        <v>68</v>
      </c>
      <c r="C8908" s="23">
        <v>0.2906095586171763</v>
      </c>
      <c r="D8908" s="23">
        <v>0.41533546325878601</v>
      </c>
      <c r="E8908" s="23">
        <v>2.7100271002710001E-2</v>
      </c>
      <c r="F8908" s="23">
        <v>0.71428571428571397</v>
      </c>
      <c r="G8908">
        <v>7</v>
      </c>
      <c r="H8908">
        <v>25</v>
      </c>
    </row>
    <row r="8909" spans="1:8" x14ac:dyDescent="0.3">
      <c r="C8909" s="23"/>
      <c r="D8909" s="23"/>
      <c r="E8909" s="23"/>
      <c r="F8909" s="23"/>
    </row>
    <row r="8910" spans="1:8" ht="72" x14ac:dyDescent="0.3">
      <c r="A8910" s="22" t="s">
        <v>1920</v>
      </c>
      <c r="C8910" s="23"/>
      <c r="D8910" s="23"/>
      <c r="E8910" s="23"/>
      <c r="F8910" s="23"/>
    </row>
    <row r="8911" spans="1:8" x14ac:dyDescent="0.3">
      <c r="A8911" s="22" t="s">
        <v>57</v>
      </c>
      <c r="B8911" t="s">
        <v>66</v>
      </c>
      <c r="C8911" s="23" t="s">
        <v>58</v>
      </c>
      <c r="D8911" s="23" t="s">
        <v>59</v>
      </c>
      <c r="E8911" s="23" t="s">
        <v>60</v>
      </c>
      <c r="F8911" s="23" t="s">
        <v>61</v>
      </c>
      <c r="G8911" t="s">
        <v>62</v>
      </c>
      <c r="H8911" t="s">
        <v>63</v>
      </c>
    </row>
    <row r="8912" spans="1:8" x14ac:dyDescent="0.3">
      <c r="A8912" s="22" t="s">
        <v>64</v>
      </c>
      <c r="B8912" t="s">
        <v>67</v>
      </c>
      <c r="C8912" s="23">
        <v>0.19125719481082379</v>
      </c>
      <c r="D8912" s="23">
        <v>0.14285714285714299</v>
      </c>
      <c r="E8912" s="23">
        <v>2.7100271002710001E-2</v>
      </c>
      <c r="F8912" s="23">
        <v>0.71428571428571397</v>
      </c>
      <c r="G8912">
        <v>20</v>
      </c>
      <c r="H8912">
        <v>25</v>
      </c>
    </row>
    <row r="8913" spans="1:8" x14ac:dyDescent="0.3">
      <c r="A8913" s="22" t="s">
        <v>64</v>
      </c>
      <c r="B8913" t="s">
        <v>68</v>
      </c>
      <c r="C8913" s="23">
        <v>0.26866742334333932</v>
      </c>
      <c r="D8913" s="23">
        <v>0.41533546325878601</v>
      </c>
      <c r="E8913" s="23">
        <v>4.08163265306122E-2</v>
      </c>
      <c r="F8913" s="23">
        <v>0.55248618784530401</v>
      </c>
      <c r="G8913">
        <v>5</v>
      </c>
      <c r="H8913">
        <v>25</v>
      </c>
    </row>
    <row r="8914" spans="1:8" x14ac:dyDescent="0.3">
      <c r="C8914" s="23"/>
      <c r="D8914" s="23"/>
      <c r="E8914" s="23"/>
      <c r="F8914" s="23"/>
    </row>
    <row r="8915" spans="1:8" ht="86.4" x14ac:dyDescent="0.3">
      <c r="A8915" s="22" t="s">
        <v>1921</v>
      </c>
      <c r="C8915" s="23"/>
      <c r="D8915" s="23"/>
      <c r="E8915" s="23"/>
      <c r="F8915" s="23"/>
    </row>
    <row r="8916" spans="1:8" x14ac:dyDescent="0.3">
      <c r="A8916" s="22" t="s">
        <v>57</v>
      </c>
      <c r="B8916" t="s">
        <v>66</v>
      </c>
      <c r="C8916" s="23" t="s">
        <v>58</v>
      </c>
      <c r="D8916" s="23" t="s">
        <v>59</v>
      </c>
      <c r="E8916" s="23" t="s">
        <v>60</v>
      </c>
      <c r="F8916" s="23" t="s">
        <v>61</v>
      </c>
      <c r="G8916" t="s">
        <v>62</v>
      </c>
      <c r="H8916" t="s">
        <v>63</v>
      </c>
    </row>
    <row r="8917" spans="1:8" x14ac:dyDescent="0.3">
      <c r="A8917" s="22" t="s">
        <v>64</v>
      </c>
      <c r="B8917" t="s">
        <v>67</v>
      </c>
      <c r="C8917" s="23">
        <v>0.21475960598996741</v>
      </c>
      <c r="D8917" s="23">
        <v>0.168918918918919</v>
      </c>
      <c r="E8917" s="23">
        <v>2.7100271002710001E-2</v>
      </c>
      <c r="F8917" s="23">
        <v>0.71428571428571397</v>
      </c>
      <c r="G8917">
        <v>23</v>
      </c>
      <c r="H8917">
        <v>25</v>
      </c>
    </row>
    <row r="8918" spans="1:8" x14ac:dyDescent="0.3">
      <c r="A8918" s="22" t="s">
        <v>64</v>
      </c>
      <c r="B8918" t="s">
        <v>68</v>
      </c>
      <c r="C8918" s="23">
        <v>0.1145050375819605</v>
      </c>
      <c r="D8918" s="23">
        <v>8.1081081081081099E-2</v>
      </c>
      <c r="E8918" s="23">
        <v>8.1081081081081099E-2</v>
      </c>
      <c r="F8918" s="23">
        <v>0.14792899408283999</v>
      </c>
      <c r="G8918">
        <v>2</v>
      </c>
      <c r="H8918">
        <v>25</v>
      </c>
    </row>
    <row r="8919" spans="1:8" x14ac:dyDescent="0.3">
      <c r="C8919" s="23"/>
      <c r="D8919" s="23"/>
      <c r="E8919" s="23"/>
      <c r="F8919" s="23"/>
    </row>
    <row r="8920" spans="1:8" ht="86.4" x14ac:dyDescent="0.3">
      <c r="A8920" s="22" t="s">
        <v>1922</v>
      </c>
      <c r="C8920" s="23"/>
      <c r="D8920" s="23"/>
      <c r="E8920" s="23"/>
      <c r="F8920" s="23"/>
    </row>
    <row r="8921" spans="1:8" x14ac:dyDescent="0.3">
      <c r="A8921" s="22" t="s">
        <v>57</v>
      </c>
      <c r="B8921" t="s">
        <v>66</v>
      </c>
      <c r="C8921" s="23" t="s">
        <v>58</v>
      </c>
      <c r="D8921" s="23" t="s">
        <v>59</v>
      </c>
      <c r="E8921" s="23" t="s">
        <v>60</v>
      </c>
      <c r="F8921" s="23" t="s">
        <v>61</v>
      </c>
      <c r="G8921" t="s">
        <v>62</v>
      </c>
      <c r="H8921" t="s">
        <v>63</v>
      </c>
    </row>
    <row r="8922" spans="1:8" x14ac:dyDescent="0.3">
      <c r="A8922" s="22" t="s">
        <v>64</v>
      </c>
      <c r="B8922" t="s">
        <v>67</v>
      </c>
      <c r="C8922" s="23">
        <v>0.20673924051732689</v>
      </c>
      <c r="D8922" s="23">
        <v>0.16666666666666699</v>
      </c>
      <c r="E8922" s="23">
        <v>2.7100271002710001E-2</v>
      </c>
      <c r="F8922" s="23">
        <v>0.71428571428571397</v>
      </c>
      <c r="G8922">
        <v>25</v>
      </c>
      <c r="H8922">
        <v>25</v>
      </c>
    </row>
    <row r="8923" spans="1:8" x14ac:dyDescent="0.3">
      <c r="C8923" s="23"/>
      <c r="D8923" s="23"/>
      <c r="E8923" s="23"/>
      <c r="F8923" s="23"/>
    </row>
    <row r="8924" spans="1:8" ht="72" x14ac:dyDescent="0.3">
      <c r="A8924" s="22" t="s">
        <v>1923</v>
      </c>
      <c r="C8924" s="23"/>
      <c r="D8924" s="23"/>
      <c r="E8924" s="23"/>
      <c r="F8924" s="23"/>
    </row>
    <row r="8925" spans="1:8" x14ac:dyDescent="0.3">
      <c r="A8925" s="22" t="s">
        <v>57</v>
      </c>
      <c r="B8925" t="s">
        <v>66</v>
      </c>
      <c r="C8925" s="23" t="s">
        <v>58</v>
      </c>
      <c r="D8925" s="23" t="s">
        <v>59</v>
      </c>
      <c r="E8925" s="23" t="s">
        <v>60</v>
      </c>
      <c r="F8925" s="23" t="s">
        <v>61</v>
      </c>
      <c r="G8925" t="s">
        <v>62</v>
      </c>
      <c r="H8925" t="s">
        <v>63</v>
      </c>
    </row>
    <row r="8926" spans="1:8" x14ac:dyDescent="0.3">
      <c r="A8926" s="22" t="s">
        <v>64</v>
      </c>
      <c r="B8926" t="s">
        <v>67</v>
      </c>
      <c r="C8926" s="23">
        <v>0.22955087555005441</v>
      </c>
      <c r="D8926" s="23">
        <v>0.147783251231527</v>
      </c>
      <c r="E8926" s="23">
        <v>2.7100271002710001E-2</v>
      </c>
      <c r="F8926" s="23">
        <v>0.71428571428571397</v>
      </c>
      <c r="G8926">
        <v>16</v>
      </c>
      <c r="H8926">
        <v>25</v>
      </c>
    </row>
    <row r="8927" spans="1:8" x14ac:dyDescent="0.3">
      <c r="A8927" s="22" t="s">
        <v>64</v>
      </c>
      <c r="B8927" t="s">
        <v>68</v>
      </c>
      <c r="C8927" s="23">
        <v>0.16618522268136679</v>
      </c>
      <c r="D8927" s="23">
        <v>0.168918918918919</v>
      </c>
      <c r="E8927" s="23">
        <v>6.25E-2</v>
      </c>
      <c r="F8927" s="23">
        <v>0.4</v>
      </c>
      <c r="G8927">
        <v>9</v>
      </c>
      <c r="H8927">
        <v>25</v>
      </c>
    </row>
    <row r="8928" spans="1:8" x14ac:dyDescent="0.3">
      <c r="C8928" s="23"/>
      <c r="D8928" s="23"/>
      <c r="E8928" s="23"/>
      <c r="F8928" s="23"/>
    </row>
    <row r="8929" spans="1:8" ht="86.4" x14ac:dyDescent="0.3">
      <c r="A8929" s="22" t="s">
        <v>1924</v>
      </c>
      <c r="C8929" s="23"/>
      <c r="D8929" s="23"/>
      <c r="E8929" s="23"/>
      <c r="F8929" s="23"/>
    </row>
    <row r="8930" spans="1:8" x14ac:dyDescent="0.3">
      <c r="A8930" s="22" t="s">
        <v>57</v>
      </c>
      <c r="B8930" t="s">
        <v>66</v>
      </c>
      <c r="C8930" s="23" t="s">
        <v>58</v>
      </c>
      <c r="D8930" s="23" t="s">
        <v>59</v>
      </c>
      <c r="E8930" s="23" t="s">
        <v>60</v>
      </c>
      <c r="F8930" s="23" t="s">
        <v>61</v>
      </c>
      <c r="G8930" t="s">
        <v>62</v>
      </c>
      <c r="H8930" t="s">
        <v>63</v>
      </c>
    </row>
    <row r="8931" spans="1:8" x14ac:dyDescent="0.3">
      <c r="A8931" s="22" t="s">
        <v>64</v>
      </c>
      <c r="B8931" t="s">
        <v>67</v>
      </c>
      <c r="C8931" s="23">
        <v>0.20405160414287449</v>
      </c>
      <c r="D8931" s="23">
        <v>0.14792899408283999</v>
      </c>
      <c r="E8931" s="23">
        <v>2.7100271002710001E-2</v>
      </c>
      <c r="F8931" s="23">
        <v>0.71428571428571397</v>
      </c>
      <c r="G8931">
        <v>23</v>
      </c>
      <c r="H8931">
        <v>25</v>
      </c>
    </row>
    <row r="8932" spans="1:8" x14ac:dyDescent="0.3">
      <c r="A8932" s="22" t="s">
        <v>64</v>
      </c>
      <c r="B8932" t="s">
        <v>68</v>
      </c>
      <c r="C8932" s="23">
        <v>0.23764705882352949</v>
      </c>
      <c r="D8932" s="23">
        <v>0.23529411764705899</v>
      </c>
      <c r="E8932" s="23">
        <v>0.23529411764705899</v>
      </c>
      <c r="F8932" s="23">
        <v>0.24</v>
      </c>
      <c r="G8932">
        <v>2</v>
      </c>
      <c r="H8932">
        <v>25</v>
      </c>
    </row>
    <row r="8933" spans="1:8" x14ac:dyDescent="0.3">
      <c r="C8933" s="23"/>
      <c r="D8933" s="23"/>
      <c r="E8933" s="23"/>
      <c r="F8933" s="23"/>
    </row>
    <row r="8934" spans="1:8" ht="72" x14ac:dyDescent="0.3">
      <c r="A8934" s="22" t="s">
        <v>1925</v>
      </c>
      <c r="C8934" s="23"/>
      <c r="D8934" s="23"/>
      <c r="E8934" s="23"/>
      <c r="F8934" s="23"/>
    </row>
    <row r="8935" spans="1:8" x14ac:dyDescent="0.3">
      <c r="A8935" s="22" t="s">
        <v>57</v>
      </c>
      <c r="B8935" t="s">
        <v>66</v>
      </c>
      <c r="C8935" s="23" t="s">
        <v>58</v>
      </c>
      <c r="D8935" s="23" t="s">
        <v>59</v>
      </c>
      <c r="E8935" s="23" t="s">
        <v>60</v>
      </c>
      <c r="F8935" s="23" t="s">
        <v>61</v>
      </c>
      <c r="G8935" t="s">
        <v>62</v>
      </c>
      <c r="H8935" t="s">
        <v>63</v>
      </c>
    </row>
    <row r="8936" spans="1:8" x14ac:dyDescent="0.3">
      <c r="A8936" s="22" t="s">
        <v>64</v>
      </c>
      <c r="B8936" t="s">
        <v>81</v>
      </c>
      <c r="C8936" s="23">
        <v>0.19600092099966299</v>
      </c>
      <c r="D8936" s="23">
        <v>0.23529411764705899</v>
      </c>
      <c r="E8936" s="23">
        <v>2.7100271002710001E-2</v>
      </c>
      <c r="F8936" s="23">
        <v>0.55248618784530401</v>
      </c>
      <c r="G8936">
        <v>7</v>
      </c>
      <c r="H8936">
        <v>25</v>
      </c>
    </row>
    <row r="8937" spans="1:8" x14ac:dyDescent="0.3">
      <c r="A8937" s="22" t="s">
        <v>64</v>
      </c>
      <c r="B8937" t="s">
        <v>82</v>
      </c>
      <c r="C8937" s="23">
        <v>0.26044185067098902</v>
      </c>
      <c r="D8937" s="23">
        <v>0.24</v>
      </c>
      <c r="E8937" s="23">
        <v>0.13953488372093001</v>
      </c>
      <c r="F8937" s="23">
        <v>0.4</v>
      </c>
      <c r="G8937">
        <v>8</v>
      </c>
      <c r="H8937">
        <v>25</v>
      </c>
    </row>
    <row r="8938" spans="1:8" x14ac:dyDescent="0.3">
      <c r="A8938" s="22" t="s">
        <v>64</v>
      </c>
      <c r="B8938" t="s">
        <v>83</v>
      </c>
      <c r="C8938" s="23">
        <v>0.2081974801755021</v>
      </c>
      <c r="D8938" s="23">
        <v>9.6153846153846201E-2</v>
      </c>
      <c r="E8938" s="23">
        <v>4.08163265306122E-2</v>
      </c>
      <c r="F8938" s="23">
        <v>0.71428571428571397</v>
      </c>
      <c r="G8938">
        <v>6</v>
      </c>
      <c r="H8938">
        <v>25</v>
      </c>
    </row>
    <row r="8939" spans="1:8" x14ac:dyDescent="0.3">
      <c r="A8939" s="22" t="s">
        <v>64</v>
      </c>
      <c r="B8939" t="s">
        <v>84</v>
      </c>
      <c r="C8939" s="23">
        <v>0.11593871987865161</v>
      </c>
      <c r="D8939" s="23">
        <v>6.6555740432612295E-2</v>
      </c>
      <c r="E8939" s="23">
        <v>6.25E-2</v>
      </c>
      <c r="F8939" s="23">
        <v>0.18691588785046701</v>
      </c>
      <c r="G8939">
        <v>4</v>
      </c>
      <c r="H8939">
        <v>25</v>
      </c>
    </row>
    <row r="8940" spans="1:8" x14ac:dyDescent="0.3">
      <c r="C8940" s="23"/>
      <c r="D8940" s="23"/>
      <c r="E8940" s="23"/>
      <c r="F8940" s="23"/>
    </row>
    <row r="8941" spans="1:8" ht="57.6" x14ac:dyDescent="0.3">
      <c r="A8941" s="22" t="s">
        <v>1926</v>
      </c>
      <c r="C8941" s="23"/>
      <c r="D8941" s="23"/>
      <c r="E8941" s="23"/>
      <c r="F8941" s="23"/>
    </row>
    <row r="8942" spans="1:8" x14ac:dyDescent="0.3">
      <c r="A8942" s="22" t="s">
        <v>57</v>
      </c>
      <c r="B8942" t="s">
        <v>58</v>
      </c>
      <c r="C8942" t="s">
        <v>59</v>
      </c>
      <c r="D8942" t="s">
        <v>60</v>
      </c>
      <c r="E8942" t="s">
        <v>61</v>
      </c>
      <c r="F8942" t="s">
        <v>62</v>
      </c>
      <c r="G8942" t="s">
        <v>63</v>
      </c>
    </row>
    <row r="8943" spans="1:8" x14ac:dyDescent="0.3">
      <c r="A8943" s="22" t="s">
        <v>64</v>
      </c>
      <c r="B8943" s="23">
        <v>0.27890284630021611</v>
      </c>
      <c r="C8943" s="23">
        <v>0.22556390977443599</v>
      </c>
      <c r="D8943" s="23">
        <v>0</v>
      </c>
      <c r="E8943" s="23">
        <v>0.88235294117647101</v>
      </c>
      <c r="F8943">
        <v>53</v>
      </c>
      <c r="G8943">
        <v>53</v>
      </c>
    </row>
    <row r="8945" spans="1:8" ht="72" x14ac:dyDescent="0.3">
      <c r="A8945" s="22" t="s">
        <v>1927</v>
      </c>
    </row>
    <row r="8946" spans="1:8" x14ac:dyDescent="0.3">
      <c r="A8946" s="22" t="s">
        <v>57</v>
      </c>
      <c r="B8946" t="s">
        <v>66</v>
      </c>
      <c r="C8946" s="23" t="s">
        <v>58</v>
      </c>
      <c r="D8946" s="23" t="s">
        <v>59</v>
      </c>
      <c r="E8946" s="23" t="s">
        <v>60</v>
      </c>
      <c r="F8946" s="23" t="s">
        <v>61</v>
      </c>
      <c r="G8946" t="s">
        <v>62</v>
      </c>
      <c r="H8946" t="s">
        <v>63</v>
      </c>
    </row>
    <row r="8947" spans="1:8" x14ac:dyDescent="0.3">
      <c r="A8947" s="22" t="s">
        <v>64</v>
      </c>
      <c r="B8947" t="s">
        <v>67</v>
      </c>
      <c r="C8947" s="23">
        <v>0.27137435291312589</v>
      </c>
      <c r="D8947" s="23">
        <v>0.21145374449339199</v>
      </c>
      <c r="E8947" s="23">
        <v>0</v>
      </c>
      <c r="F8947" s="23">
        <v>0.88235294117647101</v>
      </c>
      <c r="G8947">
        <v>50</v>
      </c>
      <c r="H8947">
        <v>53</v>
      </c>
    </row>
    <row r="8948" spans="1:8" x14ac:dyDescent="0.3">
      <c r="A8948" s="22" t="s">
        <v>64</v>
      </c>
      <c r="B8948" t="s">
        <v>68</v>
      </c>
      <c r="C8948" s="23">
        <v>0.40437773608505301</v>
      </c>
      <c r="D8948" s="23">
        <v>0.76923076923076905</v>
      </c>
      <c r="E8948" s="23">
        <v>0.2</v>
      </c>
      <c r="F8948" s="23">
        <v>0.76923076923076905</v>
      </c>
      <c r="G8948">
        <v>3</v>
      </c>
      <c r="H8948">
        <v>53</v>
      </c>
    </row>
    <row r="8949" spans="1:8" x14ac:dyDescent="0.3">
      <c r="C8949" s="23"/>
      <c r="D8949" s="23"/>
      <c r="E8949" s="23"/>
      <c r="F8949" s="23"/>
    </row>
    <row r="8950" spans="1:8" x14ac:dyDescent="0.3">
      <c r="A8950"/>
      <c r="C8950" s="23"/>
      <c r="D8950" s="23"/>
      <c r="E8950" s="23"/>
      <c r="F8950" s="23"/>
    </row>
    <row r="8951" spans="1:8" x14ac:dyDescent="0.3">
      <c r="A8951"/>
      <c r="C8951" s="23"/>
      <c r="D8951" s="23"/>
      <c r="E8951" s="23"/>
      <c r="F8951" s="23"/>
    </row>
    <row r="8952" spans="1:8" x14ac:dyDescent="0.3">
      <c r="A8952"/>
      <c r="C8952" s="23"/>
      <c r="D8952" s="23"/>
      <c r="E8952" s="23"/>
      <c r="F8952" s="23"/>
    </row>
    <row r="8953" spans="1:8" x14ac:dyDescent="0.3">
      <c r="C8953" s="23"/>
      <c r="D8953" s="23"/>
      <c r="E8953" s="23"/>
      <c r="F8953" s="23"/>
    </row>
    <row r="8954" spans="1:8" ht="72" x14ac:dyDescent="0.3">
      <c r="A8954" s="22" t="s">
        <v>1928</v>
      </c>
      <c r="C8954" s="23"/>
      <c r="D8954" s="23"/>
      <c r="E8954" s="23"/>
      <c r="F8954" s="23"/>
    </row>
    <row r="8955" spans="1:8" x14ac:dyDescent="0.3">
      <c r="A8955" s="22" t="s">
        <v>57</v>
      </c>
      <c r="B8955" t="s">
        <v>66</v>
      </c>
      <c r="C8955" s="23" t="s">
        <v>58</v>
      </c>
      <c r="D8955" s="23" t="s">
        <v>59</v>
      </c>
      <c r="E8955" s="23" t="s">
        <v>60</v>
      </c>
      <c r="F8955" s="23" t="s">
        <v>61</v>
      </c>
      <c r="G8955" t="s">
        <v>62</v>
      </c>
      <c r="H8955" t="s">
        <v>63</v>
      </c>
    </row>
    <row r="8956" spans="1:8" x14ac:dyDescent="0.3">
      <c r="A8956" s="22" t="s">
        <v>64</v>
      </c>
      <c r="B8956" t="s">
        <v>67</v>
      </c>
      <c r="C8956" s="23">
        <v>0.27692960937801558</v>
      </c>
      <c r="D8956" s="23">
        <v>0.217391304347826</v>
      </c>
      <c r="E8956" s="23">
        <v>0</v>
      </c>
      <c r="F8956" s="23">
        <v>0.88235294117647101</v>
      </c>
      <c r="G8956">
        <v>50</v>
      </c>
      <c r="H8956">
        <v>53</v>
      </c>
    </row>
    <row r="8957" spans="1:8" x14ac:dyDescent="0.3">
      <c r="A8957" s="22" t="s">
        <v>64</v>
      </c>
      <c r="B8957" t="s">
        <v>68</v>
      </c>
      <c r="C8957" s="23">
        <v>0.31179012833689068</v>
      </c>
      <c r="D8957" s="23">
        <v>0.71428571428571397</v>
      </c>
      <c r="E8957" s="23">
        <v>2.8776978417266199E-2</v>
      </c>
      <c r="F8957" s="23">
        <v>0.71428571428571397</v>
      </c>
      <c r="G8957">
        <v>3</v>
      </c>
      <c r="H8957">
        <v>53</v>
      </c>
    </row>
    <row r="8958" spans="1:8" x14ac:dyDescent="0.3">
      <c r="C8958" s="23"/>
      <c r="D8958" s="23"/>
      <c r="E8958" s="23"/>
      <c r="F8958" s="23"/>
    </row>
    <row r="8959" spans="1:8" ht="72" x14ac:dyDescent="0.3">
      <c r="A8959" s="22" t="s">
        <v>1929</v>
      </c>
      <c r="C8959" s="23"/>
      <c r="D8959" s="23"/>
      <c r="E8959" s="23"/>
      <c r="F8959" s="23"/>
    </row>
    <row r="8960" spans="1:8" x14ac:dyDescent="0.3">
      <c r="A8960" s="22" t="s">
        <v>57</v>
      </c>
      <c r="B8960" t="s">
        <v>66</v>
      </c>
      <c r="C8960" s="23" t="s">
        <v>58</v>
      </c>
      <c r="D8960" s="23" t="s">
        <v>59</v>
      </c>
      <c r="E8960" s="23" t="s">
        <v>60</v>
      </c>
      <c r="F8960" s="23" t="s">
        <v>61</v>
      </c>
      <c r="G8960" t="s">
        <v>62</v>
      </c>
      <c r="H8960" t="s">
        <v>63</v>
      </c>
    </row>
    <row r="8961" spans="1:8" x14ac:dyDescent="0.3">
      <c r="A8961" s="22" t="s">
        <v>64</v>
      </c>
      <c r="B8961" t="s">
        <v>67</v>
      </c>
      <c r="C8961" s="23">
        <v>0.28019994441188578</v>
      </c>
      <c r="D8961" s="23">
        <v>0.217391304347826</v>
      </c>
      <c r="E8961" s="23">
        <v>0</v>
      </c>
      <c r="F8961" s="23">
        <v>0.88235294117647101</v>
      </c>
      <c r="G8961">
        <v>52</v>
      </c>
      <c r="H8961">
        <v>53</v>
      </c>
    </row>
    <row r="8962" spans="1:8" x14ac:dyDescent="0.3">
      <c r="A8962" s="22" t="s">
        <v>64</v>
      </c>
      <c r="B8962" t="s">
        <v>68</v>
      </c>
      <c r="C8962" s="23">
        <v>0.21145374449339199</v>
      </c>
      <c r="D8962" s="23">
        <v>0.21145374449339199</v>
      </c>
      <c r="E8962" s="23">
        <v>0.21145374449339199</v>
      </c>
      <c r="F8962" s="23">
        <v>0.21145374449339199</v>
      </c>
      <c r="G8962">
        <v>1</v>
      </c>
      <c r="H8962">
        <v>53</v>
      </c>
    </row>
    <row r="8963" spans="1:8" x14ac:dyDescent="0.3">
      <c r="C8963" s="23"/>
      <c r="D8963" s="23"/>
      <c r="E8963" s="23"/>
      <c r="F8963" s="23"/>
    </row>
    <row r="8964" spans="1:8" ht="72" x14ac:dyDescent="0.3">
      <c r="A8964" s="22" t="s">
        <v>1930</v>
      </c>
      <c r="C8964" s="23"/>
      <c r="D8964" s="23"/>
      <c r="E8964" s="23"/>
      <c r="F8964" s="23"/>
    </row>
    <row r="8965" spans="1:8" x14ac:dyDescent="0.3">
      <c r="A8965" s="22" t="s">
        <v>57</v>
      </c>
      <c r="B8965" t="s">
        <v>66</v>
      </c>
      <c r="C8965" s="23" t="s">
        <v>58</v>
      </c>
      <c r="D8965" s="23" t="s">
        <v>59</v>
      </c>
      <c r="E8965" s="23" t="s">
        <v>60</v>
      </c>
      <c r="F8965" s="23" t="s">
        <v>61</v>
      </c>
      <c r="G8965" t="s">
        <v>62</v>
      </c>
      <c r="H8965" t="s">
        <v>63</v>
      </c>
    </row>
    <row r="8966" spans="1:8" x14ac:dyDescent="0.3">
      <c r="A8966" s="22" t="s">
        <v>64</v>
      </c>
      <c r="B8966" t="s">
        <v>67</v>
      </c>
      <c r="C8966" s="23">
        <v>0.27984086707909023</v>
      </c>
      <c r="D8966" s="23">
        <v>0.22556390977443599</v>
      </c>
      <c r="E8966" s="23">
        <v>0</v>
      </c>
      <c r="F8966" s="23">
        <v>0.88235294117647101</v>
      </c>
      <c r="G8966">
        <v>49</v>
      </c>
      <c r="H8966">
        <v>53</v>
      </c>
    </row>
    <row r="8967" spans="1:8" x14ac:dyDescent="0.3">
      <c r="A8967" s="22" t="s">
        <v>64</v>
      </c>
      <c r="B8967" t="s">
        <v>68</v>
      </c>
      <c r="C8967" s="23">
        <v>0.26741209175900932</v>
      </c>
      <c r="D8967" s="23">
        <v>0.2</v>
      </c>
      <c r="E8967" s="23">
        <v>0.147783251231527</v>
      </c>
      <c r="F8967" s="23">
        <v>0.413223140495868</v>
      </c>
      <c r="G8967">
        <v>4</v>
      </c>
      <c r="H8967">
        <v>53</v>
      </c>
    </row>
    <row r="8968" spans="1:8" x14ac:dyDescent="0.3">
      <c r="C8968" s="23"/>
      <c r="D8968" s="23"/>
      <c r="E8968" s="23"/>
      <c r="F8968" s="23"/>
    </row>
    <row r="8969" spans="1:8" ht="72" x14ac:dyDescent="0.3">
      <c r="A8969" s="22" t="s">
        <v>1931</v>
      </c>
      <c r="C8969" s="23"/>
      <c r="D8969" s="23"/>
      <c r="E8969" s="23"/>
      <c r="F8969" s="23"/>
    </row>
    <row r="8970" spans="1:8" x14ac:dyDescent="0.3">
      <c r="A8970" s="22" t="s">
        <v>57</v>
      </c>
      <c r="B8970" t="s">
        <v>66</v>
      </c>
      <c r="C8970" s="23" t="s">
        <v>58</v>
      </c>
      <c r="D8970" s="23" t="s">
        <v>59</v>
      </c>
      <c r="E8970" s="23" t="s">
        <v>60</v>
      </c>
      <c r="F8970" s="23" t="s">
        <v>61</v>
      </c>
      <c r="G8970" t="s">
        <v>62</v>
      </c>
      <c r="H8970" t="s">
        <v>63</v>
      </c>
    </row>
    <row r="8971" spans="1:8" x14ac:dyDescent="0.3">
      <c r="A8971" s="22" t="s">
        <v>64</v>
      </c>
      <c r="B8971" t="s">
        <v>67</v>
      </c>
      <c r="C8971" s="23">
        <v>0.71289821289821309</v>
      </c>
      <c r="D8971" s="23">
        <v>0.65656565656565702</v>
      </c>
      <c r="E8971" s="23">
        <v>0.65656565656565702</v>
      </c>
      <c r="F8971" s="23">
        <v>0.76923076923076905</v>
      </c>
      <c r="G8971">
        <v>2</v>
      </c>
      <c r="H8971">
        <v>53</v>
      </c>
    </row>
    <row r="8972" spans="1:8" x14ac:dyDescent="0.3">
      <c r="A8972" s="22" t="s">
        <v>64</v>
      </c>
      <c r="B8972" t="s">
        <v>68</v>
      </c>
      <c r="C8972" s="23">
        <v>0.2618834201591182</v>
      </c>
      <c r="D8972" s="23">
        <v>0.217391304347826</v>
      </c>
      <c r="E8972" s="23">
        <v>0</v>
      </c>
      <c r="F8972" s="23">
        <v>0.88235294117647101</v>
      </c>
      <c r="G8972">
        <v>51</v>
      </c>
      <c r="H8972">
        <v>53</v>
      </c>
    </row>
    <row r="8973" spans="1:8" x14ac:dyDescent="0.3">
      <c r="C8973" s="23"/>
      <c r="D8973" s="23"/>
      <c r="E8973" s="23"/>
      <c r="F8973" s="23"/>
    </row>
    <row r="8974" spans="1:8" ht="72" x14ac:dyDescent="0.3">
      <c r="A8974" s="22" t="s">
        <v>1932</v>
      </c>
      <c r="C8974" s="23"/>
      <c r="D8974" s="23"/>
      <c r="E8974" s="23"/>
      <c r="F8974" s="23"/>
    </row>
    <row r="8975" spans="1:8" x14ac:dyDescent="0.3">
      <c r="A8975" s="22" t="s">
        <v>57</v>
      </c>
      <c r="B8975" t="s">
        <v>66</v>
      </c>
      <c r="C8975" s="23" t="s">
        <v>58</v>
      </c>
      <c r="D8975" s="23" t="s">
        <v>59</v>
      </c>
      <c r="E8975" s="23" t="s">
        <v>60</v>
      </c>
      <c r="F8975" s="23" t="s">
        <v>61</v>
      </c>
      <c r="G8975" t="s">
        <v>62</v>
      </c>
      <c r="H8975" t="s">
        <v>63</v>
      </c>
    </row>
    <row r="8976" spans="1:8" x14ac:dyDescent="0.3">
      <c r="A8976" s="22" t="s">
        <v>64</v>
      </c>
      <c r="B8976" t="s">
        <v>67</v>
      </c>
      <c r="C8976" s="23">
        <v>0.25988560504168079</v>
      </c>
      <c r="D8976" s="23">
        <v>0.2</v>
      </c>
      <c r="E8976" s="23">
        <v>0</v>
      </c>
      <c r="F8976" s="23">
        <v>0.88235294117647101</v>
      </c>
      <c r="G8976">
        <v>40</v>
      </c>
      <c r="H8976">
        <v>53</v>
      </c>
    </row>
    <row r="8977" spans="1:8" x14ac:dyDescent="0.3">
      <c r="A8977" s="22" t="s">
        <v>64</v>
      </c>
      <c r="B8977" t="s">
        <v>68</v>
      </c>
      <c r="C8977" s="23">
        <v>0.33741743478801711</v>
      </c>
      <c r="D8977" s="23">
        <v>0.35555555555555601</v>
      </c>
      <c r="E8977" s="23">
        <v>0</v>
      </c>
      <c r="F8977" s="23">
        <v>0.76660988074957404</v>
      </c>
      <c r="G8977">
        <v>13</v>
      </c>
      <c r="H8977">
        <v>53</v>
      </c>
    </row>
    <row r="8978" spans="1:8" x14ac:dyDescent="0.3">
      <c r="C8978" s="23"/>
      <c r="D8978" s="23"/>
      <c r="E8978" s="23"/>
      <c r="F8978" s="23"/>
    </row>
    <row r="8979" spans="1:8" ht="72" x14ac:dyDescent="0.3">
      <c r="A8979" s="22" t="s">
        <v>1933</v>
      </c>
      <c r="C8979" s="23"/>
      <c r="D8979" s="23"/>
      <c r="E8979" s="23"/>
      <c r="F8979" s="23"/>
    </row>
    <row r="8980" spans="1:8" x14ac:dyDescent="0.3">
      <c r="A8980" s="22" t="s">
        <v>57</v>
      </c>
      <c r="B8980" t="s">
        <v>66</v>
      </c>
      <c r="C8980" s="23" t="s">
        <v>58</v>
      </c>
      <c r="D8980" s="23" t="s">
        <v>59</v>
      </c>
      <c r="E8980" s="23" t="s">
        <v>60</v>
      </c>
      <c r="F8980" s="23" t="s">
        <v>61</v>
      </c>
      <c r="G8980" t="s">
        <v>62</v>
      </c>
      <c r="H8980" t="s">
        <v>63</v>
      </c>
    </row>
    <row r="8981" spans="1:8" x14ac:dyDescent="0.3">
      <c r="A8981" s="22" t="s">
        <v>64</v>
      </c>
      <c r="B8981" t="s">
        <v>67</v>
      </c>
      <c r="C8981" s="23">
        <v>0.28055373591581911</v>
      </c>
      <c r="D8981" s="23">
        <v>0.22556390977443599</v>
      </c>
      <c r="E8981" s="23">
        <v>0</v>
      </c>
      <c r="F8981" s="23">
        <v>0.88235294117647101</v>
      </c>
      <c r="G8981">
        <v>41</v>
      </c>
      <c r="H8981">
        <v>53</v>
      </c>
    </row>
    <row r="8982" spans="1:8" x14ac:dyDescent="0.3">
      <c r="A8982" s="22" t="s">
        <v>64</v>
      </c>
      <c r="B8982" t="s">
        <v>68</v>
      </c>
      <c r="C8982" s="23">
        <v>0.27326230678023927</v>
      </c>
      <c r="D8982" s="23">
        <v>0.2</v>
      </c>
      <c r="E8982" s="23">
        <v>4.4378698224852103E-2</v>
      </c>
      <c r="F8982" s="23">
        <v>0.65656565656565702</v>
      </c>
      <c r="G8982">
        <v>12</v>
      </c>
      <c r="H8982">
        <v>53</v>
      </c>
    </row>
    <row r="8983" spans="1:8" x14ac:dyDescent="0.3">
      <c r="C8983" s="23"/>
      <c r="D8983" s="23"/>
      <c r="E8983" s="23"/>
      <c r="F8983" s="23"/>
    </row>
    <row r="8984" spans="1:8" ht="72" x14ac:dyDescent="0.3">
      <c r="A8984" s="22" t="s">
        <v>1934</v>
      </c>
      <c r="C8984" s="23"/>
      <c r="D8984" s="23"/>
      <c r="E8984" s="23"/>
      <c r="F8984" s="23"/>
    </row>
    <row r="8985" spans="1:8" x14ac:dyDescent="0.3">
      <c r="A8985" s="22" t="s">
        <v>57</v>
      </c>
      <c r="B8985" t="s">
        <v>66</v>
      </c>
      <c r="C8985" s="23" t="s">
        <v>58</v>
      </c>
      <c r="D8985" s="23" t="s">
        <v>59</v>
      </c>
      <c r="E8985" s="23" t="s">
        <v>60</v>
      </c>
      <c r="F8985" s="23" t="s">
        <v>61</v>
      </c>
      <c r="G8985" t="s">
        <v>62</v>
      </c>
      <c r="H8985" t="s">
        <v>63</v>
      </c>
    </row>
    <row r="8986" spans="1:8" x14ac:dyDescent="0.3">
      <c r="A8986" s="22" t="s">
        <v>64</v>
      </c>
      <c r="B8986" t="s">
        <v>67</v>
      </c>
      <c r="C8986" s="23">
        <v>0.28519598625518627</v>
      </c>
      <c r="D8986" s="23">
        <v>0.217391304347826</v>
      </c>
      <c r="E8986" s="23">
        <v>0</v>
      </c>
      <c r="F8986" s="23">
        <v>0.88235294117647101</v>
      </c>
      <c r="G8986">
        <v>40</v>
      </c>
      <c r="H8986">
        <v>53</v>
      </c>
    </row>
    <row r="8987" spans="1:8" x14ac:dyDescent="0.3">
      <c r="A8987" s="22" t="s">
        <v>64</v>
      </c>
      <c r="B8987" t="s">
        <v>68</v>
      </c>
      <c r="C8987" s="23">
        <v>0.25953933874646179</v>
      </c>
      <c r="D8987" s="23">
        <v>0.22556390977443599</v>
      </c>
      <c r="E8987" s="23">
        <v>7.5471698113207503E-2</v>
      </c>
      <c r="F8987" s="23">
        <v>0.65656565656565702</v>
      </c>
      <c r="G8987">
        <v>13</v>
      </c>
      <c r="H8987">
        <v>53</v>
      </c>
    </row>
    <row r="8988" spans="1:8" x14ac:dyDescent="0.3">
      <c r="C8988" s="23"/>
      <c r="D8988" s="23"/>
      <c r="E8988" s="23"/>
      <c r="F8988" s="23"/>
    </row>
    <row r="8989" spans="1:8" ht="86.4" x14ac:dyDescent="0.3">
      <c r="A8989" s="22" t="s">
        <v>1935</v>
      </c>
      <c r="C8989" s="23"/>
      <c r="D8989" s="23"/>
      <c r="E8989" s="23"/>
      <c r="F8989" s="23"/>
    </row>
    <row r="8990" spans="1:8" x14ac:dyDescent="0.3">
      <c r="A8990" s="22" t="s">
        <v>57</v>
      </c>
      <c r="B8990" t="s">
        <v>66</v>
      </c>
      <c r="C8990" s="23" t="s">
        <v>58</v>
      </c>
      <c r="D8990" s="23" t="s">
        <v>59</v>
      </c>
      <c r="E8990" s="23" t="s">
        <v>60</v>
      </c>
      <c r="F8990" s="23" t="s">
        <v>61</v>
      </c>
      <c r="G8990" t="s">
        <v>62</v>
      </c>
      <c r="H8990" t="s">
        <v>63</v>
      </c>
    </row>
    <row r="8991" spans="1:8" x14ac:dyDescent="0.3">
      <c r="A8991" s="22" t="s">
        <v>64</v>
      </c>
      <c r="B8991" t="s">
        <v>67</v>
      </c>
      <c r="C8991" s="23">
        <v>0.26890899172969468</v>
      </c>
      <c r="D8991" s="23">
        <v>0.22556390977443599</v>
      </c>
      <c r="E8991" s="23">
        <v>0</v>
      </c>
      <c r="F8991" s="23">
        <v>0.88235294117647101</v>
      </c>
      <c r="G8991">
        <v>49</v>
      </c>
      <c r="H8991">
        <v>53</v>
      </c>
    </row>
    <row r="8992" spans="1:8" x14ac:dyDescent="0.3">
      <c r="A8992" s="22" t="s">
        <v>64</v>
      </c>
      <c r="B8992" t="s">
        <v>68</v>
      </c>
      <c r="C8992" s="23">
        <v>0.40132756478910331</v>
      </c>
      <c r="D8992" s="23">
        <v>0.135135135135135</v>
      </c>
      <c r="E8992" s="23">
        <v>4.4378698224852103E-2</v>
      </c>
      <c r="F8992" s="23">
        <v>0.76923076923076905</v>
      </c>
      <c r="G8992">
        <v>4</v>
      </c>
      <c r="H8992">
        <v>53</v>
      </c>
    </row>
    <row r="8993" spans="1:8" x14ac:dyDescent="0.3">
      <c r="C8993" s="23"/>
      <c r="D8993" s="23"/>
      <c r="E8993" s="23"/>
      <c r="F8993" s="23"/>
    </row>
    <row r="8994" spans="1:8" ht="86.4" x14ac:dyDescent="0.3">
      <c r="A8994" s="22" t="s">
        <v>1936</v>
      </c>
      <c r="C8994" s="23"/>
      <c r="D8994" s="23"/>
      <c r="E8994" s="23"/>
      <c r="F8994" s="23"/>
    </row>
    <row r="8995" spans="1:8" x14ac:dyDescent="0.3">
      <c r="A8995" s="22" t="s">
        <v>57</v>
      </c>
      <c r="B8995" t="s">
        <v>66</v>
      </c>
      <c r="C8995" s="23" t="s">
        <v>58</v>
      </c>
      <c r="D8995" s="23" t="s">
        <v>59</v>
      </c>
      <c r="E8995" s="23" t="s">
        <v>60</v>
      </c>
      <c r="F8995" s="23" t="s">
        <v>61</v>
      </c>
      <c r="G8995" t="s">
        <v>62</v>
      </c>
      <c r="H8995" t="s">
        <v>63</v>
      </c>
    </row>
    <row r="8996" spans="1:8" x14ac:dyDescent="0.3">
      <c r="A8996" s="22" t="s">
        <v>64</v>
      </c>
      <c r="B8996" t="s">
        <v>67</v>
      </c>
      <c r="C8996" s="23">
        <v>0.27890284630021611</v>
      </c>
      <c r="D8996" s="23">
        <v>0.22556390977443599</v>
      </c>
      <c r="E8996" s="23">
        <v>0</v>
      </c>
      <c r="F8996" s="23">
        <v>0.88235294117647101</v>
      </c>
      <c r="G8996">
        <v>53</v>
      </c>
      <c r="H8996">
        <v>53</v>
      </c>
    </row>
    <row r="8997" spans="1:8" x14ac:dyDescent="0.3">
      <c r="C8997" s="23"/>
      <c r="D8997" s="23"/>
      <c r="E8997" s="23"/>
      <c r="F8997" s="23"/>
    </row>
    <row r="8998" spans="1:8" ht="72" x14ac:dyDescent="0.3">
      <c r="A8998" s="22" t="s">
        <v>1937</v>
      </c>
      <c r="C8998" s="23"/>
      <c r="D8998" s="23"/>
      <c r="E8998" s="23"/>
      <c r="F8998" s="23"/>
    </row>
    <row r="8999" spans="1:8" x14ac:dyDescent="0.3">
      <c r="A8999" s="22" t="s">
        <v>57</v>
      </c>
      <c r="B8999" t="s">
        <v>66</v>
      </c>
      <c r="C8999" s="23" t="s">
        <v>58</v>
      </c>
      <c r="D8999" s="23" t="s">
        <v>59</v>
      </c>
      <c r="E8999" s="23" t="s">
        <v>60</v>
      </c>
      <c r="F8999" s="23" t="s">
        <v>61</v>
      </c>
      <c r="G8999" t="s">
        <v>62</v>
      </c>
      <c r="H8999" t="s">
        <v>63</v>
      </c>
    </row>
    <row r="9000" spans="1:8" x14ac:dyDescent="0.3">
      <c r="A9000" s="22" t="s">
        <v>64</v>
      </c>
      <c r="B9000" t="s">
        <v>67</v>
      </c>
      <c r="C9000" s="23">
        <v>0.29921864919018459</v>
      </c>
      <c r="D9000" s="23">
        <v>0.24390243902438999</v>
      </c>
      <c r="E9000" s="23">
        <v>0</v>
      </c>
      <c r="F9000" s="23">
        <v>0.88235294117647101</v>
      </c>
      <c r="G9000">
        <v>25</v>
      </c>
      <c r="H9000">
        <v>53</v>
      </c>
    </row>
    <row r="9001" spans="1:8" x14ac:dyDescent="0.3">
      <c r="A9001" s="22" t="s">
        <v>64</v>
      </c>
      <c r="B9001" t="s">
        <v>68</v>
      </c>
      <c r="C9001" s="23">
        <v>0.26076373657702989</v>
      </c>
      <c r="D9001" s="23">
        <v>0.193798449612403</v>
      </c>
      <c r="E9001" s="23">
        <v>0</v>
      </c>
      <c r="F9001" s="23">
        <v>0.76923076923076905</v>
      </c>
      <c r="G9001">
        <v>28</v>
      </c>
      <c r="H9001">
        <v>53</v>
      </c>
    </row>
    <row r="9002" spans="1:8" x14ac:dyDescent="0.3">
      <c r="C9002" s="23"/>
      <c r="D9002" s="23"/>
      <c r="E9002" s="23"/>
      <c r="F9002" s="23"/>
    </row>
    <row r="9003" spans="1:8" ht="72" x14ac:dyDescent="0.3">
      <c r="A9003" s="22" t="s">
        <v>1938</v>
      </c>
      <c r="C9003" s="23"/>
      <c r="D9003" s="23"/>
      <c r="E9003" s="23"/>
      <c r="F9003" s="23"/>
    </row>
    <row r="9004" spans="1:8" x14ac:dyDescent="0.3">
      <c r="A9004" s="22" t="s">
        <v>57</v>
      </c>
      <c r="B9004" t="s">
        <v>66</v>
      </c>
      <c r="C9004" s="23" t="s">
        <v>58</v>
      </c>
      <c r="D9004" s="23" t="s">
        <v>59</v>
      </c>
      <c r="E9004" s="23" t="s">
        <v>60</v>
      </c>
      <c r="F9004" s="23" t="s">
        <v>61</v>
      </c>
      <c r="G9004" t="s">
        <v>62</v>
      </c>
      <c r="H9004" t="s">
        <v>63</v>
      </c>
    </row>
    <row r="9005" spans="1:8" x14ac:dyDescent="0.3">
      <c r="A9005" s="22" t="s">
        <v>64</v>
      </c>
      <c r="B9005" t="s">
        <v>67</v>
      </c>
      <c r="C9005" s="23">
        <v>0.27607574457336981</v>
      </c>
      <c r="D9005" s="23">
        <v>0.217391304347826</v>
      </c>
      <c r="E9005" s="23">
        <v>0</v>
      </c>
      <c r="F9005" s="23">
        <v>0.88235294117647101</v>
      </c>
      <c r="G9005">
        <v>50</v>
      </c>
      <c r="H9005">
        <v>53</v>
      </c>
    </row>
    <row r="9006" spans="1:8" x14ac:dyDescent="0.3">
      <c r="A9006" s="22" t="s">
        <v>64</v>
      </c>
      <c r="B9006" t="s">
        <v>68</v>
      </c>
      <c r="C9006" s="23">
        <v>0.32602120841432197</v>
      </c>
      <c r="D9006" s="23">
        <v>0.76660988074957404</v>
      </c>
      <c r="E9006" s="23">
        <v>0</v>
      </c>
      <c r="F9006" s="23">
        <v>0.76660988074957404</v>
      </c>
      <c r="G9006">
        <v>3</v>
      </c>
      <c r="H9006">
        <v>53</v>
      </c>
    </row>
    <row r="9007" spans="1:8" x14ac:dyDescent="0.3">
      <c r="C9007" s="23"/>
      <c r="D9007" s="23"/>
      <c r="E9007" s="23"/>
      <c r="F9007" s="23"/>
    </row>
    <row r="9008" spans="1:8" ht="57.6" x14ac:dyDescent="0.3">
      <c r="A9008" s="22" t="s">
        <v>1939</v>
      </c>
      <c r="C9008" s="23"/>
      <c r="D9008" s="23"/>
      <c r="E9008" s="23"/>
      <c r="F9008" s="23"/>
    </row>
    <row r="9009" spans="1:8" x14ac:dyDescent="0.3">
      <c r="A9009" s="22" t="s">
        <v>57</v>
      </c>
      <c r="B9009" t="s">
        <v>66</v>
      </c>
      <c r="C9009" s="23" t="s">
        <v>58</v>
      </c>
      <c r="D9009" s="23" t="s">
        <v>59</v>
      </c>
      <c r="E9009" s="23" t="s">
        <v>60</v>
      </c>
      <c r="F9009" s="23" t="s">
        <v>61</v>
      </c>
      <c r="G9009" t="s">
        <v>62</v>
      </c>
      <c r="H9009" t="s">
        <v>63</v>
      </c>
    </row>
    <row r="9010" spans="1:8" x14ac:dyDescent="0.3">
      <c r="A9010" s="22" t="s">
        <v>64</v>
      </c>
      <c r="B9010" t="s">
        <v>81</v>
      </c>
      <c r="C9010" s="23">
        <v>0.27461973211335688</v>
      </c>
      <c r="D9010" s="23">
        <v>0.284810126582278</v>
      </c>
      <c r="E9010" s="23">
        <v>2.8776978417266199E-2</v>
      </c>
      <c r="F9010" s="23">
        <v>0.50590219224283295</v>
      </c>
      <c r="G9010">
        <v>15</v>
      </c>
      <c r="H9010">
        <v>53</v>
      </c>
    </row>
    <row r="9011" spans="1:8" x14ac:dyDescent="0.3">
      <c r="A9011" s="22" t="s">
        <v>64</v>
      </c>
      <c r="B9011" t="s">
        <v>82</v>
      </c>
      <c r="C9011" s="23">
        <v>0.29263053396333227</v>
      </c>
      <c r="D9011" s="23">
        <v>0.193798449612403</v>
      </c>
      <c r="E9011" s="23">
        <v>0</v>
      </c>
      <c r="F9011" s="23">
        <v>0.88235294117647101</v>
      </c>
      <c r="G9011">
        <v>12</v>
      </c>
      <c r="H9011">
        <v>53</v>
      </c>
    </row>
    <row r="9012" spans="1:8" x14ac:dyDescent="0.3">
      <c r="A9012" s="22" t="s">
        <v>64</v>
      </c>
      <c r="B9012" t="s">
        <v>83</v>
      </c>
      <c r="C9012" s="23">
        <v>0.30256245687677868</v>
      </c>
      <c r="D9012" s="23">
        <v>0.2</v>
      </c>
      <c r="E9012" s="23">
        <v>4.4378698224852103E-2</v>
      </c>
      <c r="F9012" s="23">
        <v>0.76923076923076905</v>
      </c>
      <c r="G9012">
        <v>16</v>
      </c>
      <c r="H9012">
        <v>53</v>
      </c>
    </row>
    <row r="9013" spans="1:8" x14ac:dyDescent="0.3">
      <c r="A9013" s="22" t="s">
        <v>64</v>
      </c>
      <c r="B9013" t="s">
        <v>84</v>
      </c>
      <c r="C9013" s="23">
        <v>0.2309989154622652</v>
      </c>
      <c r="D9013" s="23">
        <v>0.19230769230769201</v>
      </c>
      <c r="E9013" s="23">
        <v>0</v>
      </c>
      <c r="F9013" s="23">
        <v>0.5</v>
      </c>
      <c r="G9013">
        <v>10</v>
      </c>
      <c r="H9013">
        <v>53</v>
      </c>
    </row>
    <row r="9014" spans="1:8" x14ac:dyDescent="0.3">
      <c r="C9014" s="23"/>
      <c r="D9014" s="23"/>
      <c r="E9014" s="23"/>
      <c r="F9014" s="23"/>
    </row>
    <row r="9015" spans="1:8" ht="57.6" x14ac:dyDescent="0.3">
      <c r="A9015" s="22" t="s">
        <v>1940</v>
      </c>
      <c r="C9015" s="23"/>
      <c r="D9015" s="23"/>
      <c r="E9015" s="23"/>
      <c r="F9015" s="23"/>
    </row>
    <row r="9016" spans="1:8" x14ac:dyDescent="0.3">
      <c r="A9016" s="22" t="s">
        <v>57</v>
      </c>
      <c r="B9016" t="s">
        <v>58</v>
      </c>
      <c r="C9016" t="s">
        <v>59</v>
      </c>
      <c r="D9016" t="s">
        <v>60</v>
      </c>
      <c r="E9016" t="s">
        <v>61</v>
      </c>
      <c r="F9016" t="s">
        <v>62</v>
      </c>
      <c r="G9016" t="s">
        <v>63</v>
      </c>
    </row>
    <row r="9017" spans="1:8" x14ac:dyDescent="0.3">
      <c r="A9017" s="22" t="s">
        <v>64</v>
      </c>
      <c r="B9017" s="23">
        <v>3.72482114818289E-2</v>
      </c>
      <c r="C9017" s="23">
        <v>2.39520958083832E-2</v>
      </c>
      <c r="D9017" s="23">
        <v>1.92678227360308E-3</v>
      </c>
      <c r="E9017" s="23">
        <v>0.19553072625698301</v>
      </c>
      <c r="F9017">
        <v>16</v>
      </c>
      <c r="G9017">
        <v>16</v>
      </c>
    </row>
    <row r="9019" spans="1:8" ht="72" x14ac:dyDescent="0.3">
      <c r="A9019" s="22" t="s">
        <v>1941</v>
      </c>
    </row>
    <row r="9020" spans="1:8" x14ac:dyDescent="0.3">
      <c r="A9020" s="22" t="s">
        <v>57</v>
      </c>
      <c r="B9020" t="s">
        <v>66</v>
      </c>
      <c r="C9020" t="s">
        <v>58</v>
      </c>
      <c r="D9020" t="s">
        <v>59</v>
      </c>
      <c r="E9020" t="s">
        <v>60</v>
      </c>
      <c r="F9020" t="s">
        <v>61</v>
      </c>
      <c r="G9020" t="s">
        <v>62</v>
      </c>
      <c r="H9020" t="s">
        <v>63</v>
      </c>
    </row>
    <row r="9021" spans="1:8" x14ac:dyDescent="0.3">
      <c r="A9021" s="22" t="s">
        <v>64</v>
      </c>
      <c r="B9021" t="s">
        <v>67</v>
      </c>
      <c r="C9021" s="23">
        <v>3.4311371380075478E-2</v>
      </c>
      <c r="D9021" s="23">
        <v>2.4691358024691398E-2</v>
      </c>
      <c r="E9021" s="23">
        <v>1.92678227360308E-3</v>
      </c>
      <c r="F9021" s="23">
        <v>0.19553072625698301</v>
      </c>
      <c r="G9021">
        <v>15</v>
      </c>
      <c r="H9021">
        <v>16</v>
      </c>
    </row>
    <row r="9022" spans="1:8" x14ac:dyDescent="0.3">
      <c r="A9022" s="22" t="s">
        <v>64</v>
      </c>
      <c r="B9022" t="s">
        <v>68</v>
      </c>
      <c r="C9022" s="23">
        <v>8.1300813008130093E-2</v>
      </c>
      <c r="D9022" s="23">
        <v>8.1300813008130093E-2</v>
      </c>
      <c r="E9022" s="23">
        <v>8.1300813008130093E-2</v>
      </c>
      <c r="F9022" s="23">
        <v>8.1300813008130093E-2</v>
      </c>
      <c r="G9022">
        <v>1</v>
      </c>
      <c r="H9022">
        <v>16</v>
      </c>
    </row>
    <row r="9023" spans="1:8" x14ac:dyDescent="0.3">
      <c r="C9023" s="23"/>
      <c r="D9023" s="23"/>
      <c r="E9023" s="23"/>
      <c r="F9023" s="23"/>
    </row>
    <row r="9024" spans="1:8" x14ac:dyDescent="0.3">
      <c r="A9024"/>
      <c r="C9024" s="23"/>
      <c r="D9024" s="23"/>
      <c r="E9024" s="23"/>
      <c r="F9024" s="23"/>
    </row>
    <row r="9025" spans="1:8" x14ac:dyDescent="0.3">
      <c r="A9025"/>
      <c r="C9025" s="23"/>
      <c r="D9025" s="23"/>
      <c r="E9025" s="23"/>
      <c r="F9025" s="23"/>
    </row>
    <row r="9026" spans="1:8" x14ac:dyDescent="0.3">
      <c r="A9026"/>
      <c r="C9026" s="23"/>
      <c r="D9026" s="23"/>
      <c r="E9026" s="23"/>
      <c r="F9026" s="23"/>
    </row>
    <row r="9027" spans="1:8" x14ac:dyDescent="0.3">
      <c r="C9027" s="23"/>
      <c r="D9027" s="23"/>
      <c r="E9027" s="23"/>
      <c r="F9027" s="23"/>
    </row>
    <row r="9028" spans="1:8" ht="72" x14ac:dyDescent="0.3">
      <c r="A9028" s="22" t="s">
        <v>1942</v>
      </c>
      <c r="C9028" s="23"/>
      <c r="D9028" s="23"/>
      <c r="E9028" s="23"/>
      <c r="F9028" s="23"/>
    </row>
    <row r="9029" spans="1:8" x14ac:dyDescent="0.3">
      <c r="A9029" s="22" t="s">
        <v>57</v>
      </c>
      <c r="B9029" t="s">
        <v>66</v>
      </c>
      <c r="C9029" s="23" t="s">
        <v>58</v>
      </c>
      <c r="D9029" s="23" t="s">
        <v>59</v>
      </c>
      <c r="E9029" s="23" t="s">
        <v>60</v>
      </c>
      <c r="F9029" s="23" t="s">
        <v>61</v>
      </c>
      <c r="G9029" t="s">
        <v>62</v>
      </c>
      <c r="H9029" t="s">
        <v>63</v>
      </c>
    </row>
    <row r="9030" spans="1:8" x14ac:dyDescent="0.3">
      <c r="A9030" s="22" t="s">
        <v>64</v>
      </c>
      <c r="B9030" t="s">
        <v>67</v>
      </c>
      <c r="C9030" s="23">
        <v>3.9304075153267073E-2</v>
      </c>
      <c r="D9030" s="23">
        <v>2.8169014084507001E-2</v>
      </c>
      <c r="E9030" s="23">
        <v>1.92678227360308E-3</v>
      </c>
      <c r="F9030" s="23">
        <v>0.19553072625698301</v>
      </c>
      <c r="G9030">
        <v>15</v>
      </c>
      <c r="H9030">
        <v>16</v>
      </c>
    </row>
    <row r="9031" spans="1:8" x14ac:dyDescent="0.3">
      <c r="A9031" s="22" t="s">
        <v>64</v>
      </c>
      <c r="B9031" t="s">
        <v>68</v>
      </c>
      <c r="C9031" s="23">
        <v>6.41025641025641E-3</v>
      </c>
      <c r="D9031" s="23">
        <v>6.41025641025641E-3</v>
      </c>
      <c r="E9031" s="23">
        <v>6.41025641025641E-3</v>
      </c>
      <c r="F9031" s="23">
        <v>6.41025641025641E-3</v>
      </c>
      <c r="G9031">
        <v>1</v>
      </c>
      <c r="H9031">
        <v>16</v>
      </c>
    </row>
    <row r="9032" spans="1:8" x14ac:dyDescent="0.3">
      <c r="C9032" s="23"/>
      <c r="D9032" s="23"/>
      <c r="E9032" s="23"/>
      <c r="F9032" s="23"/>
    </row>
    <row r="9033" spans="1:8" ht="72" x14ac:dyDescent="0.3">
      <c r="A9033" s="22" t="s">
        <v>1943</v>
      </c>
      <c r="C9033" s="23"/>
      <c r="D9033" s="23"/>
      <c r="E9033" s="23"/>
      <c r="F9033" s="23"/>
    </row>
    <row r="9034" spans="1:8" x14ac:dyDescent="0.3">
      <c r="A9034" s="22" t="s">
        <v>57</v>
      </c>
      <c r="B9034" t="s">
        <v>66</v>
      </c>
      <c r="C9034" s="23" t="s">
        <v>58</v>
      </c>
      <c r="D9034" s="23" t="s">
        <v>59</v>
      </c>
      <c r="E9034" s="23" t="s">
        <v>60</v>
      </c>
      <c r="F9034" s="23" t="s">
        <v>61</v>
      </c>
      <c r="G9034" t="s">
        <v>62</v>
      </c>
      <c r="H9034" t="s">
        <v>63</v>
      </c>
    </row>
    <row r="9035" spans="1:8" x14ac:dyDescent="0.3">
      <c r="A9035" s="22" t="s">
        <v>64</v>
      </c>
      <c r="B9035" t="s">
        <v>67</v>
      </c>
      <c r="C9035" s="23">
        <v>3.72482114818289E-2</v>
      </c>
      <c r="D9035" s="23">
        <v>2.39520958083832E-2</v>
      </c>
      <c r="E9035" s="23">
        <v>1.92678227360308E-3</v>
      </c>
      <c r="F9035" s="23">
        <v>0.19553072625698301</v>
      </c>
      <c r="G9035">
        <v>16</v>
      </c>
      <c r="H9035">
        <v>16</v>
      </c>
    </row>
    <row r="9036" spans="1:8" x14ac:dyDescent="0.3">
      <c r="C9036" s="23"/>
      <c r="D9036" s="23"/>
      <c r="E9036" s="23"/>
      <c r="F9036" s="23"/>
    </row>
    <row r="9037" spans="1:8" ht="72" x14ac:dyDescent="0.3">
      <c r="A9037" s="22" t="s">
        <v>1944</v>
      </c>
      <c r="C9037" s="23"/>
      <c r="D9037" s="23"/>
      <c r="E9037" s="23"/>
      <c r="F9037" s="23"/>
    </row>
    <row r="9038" spans="1:8" x14ac:dyDescent="0.3">
      <c r="A9038" s="22" t="s">
        <v>57</v>
      </c>
      <c r="B9038" t="s">
        <v>66</v>
      </c>
      <c r="C9038" s="23" t="s">
        <v>58</v>
      </c>
      <c r="D9038" s="23" t="s">
        <v>59</v>
      </c>
      <c r="E9038" s="23" t="s">
        <v>60</v>
      </c>
      <c r="F9038" s="23" t="s">
        <v>61</v>
      </c>
      <c r="G9038" t="s">
        <v>62</v>
      </c>
      <c r="H9038" t="s">
        <v>63</v>
      </c>
    </row>
    <row r="9039" spans="1:8" x14ac:dyDescent="0.3">
      <c r="A9039" s="22" t="s">
        <v>64</v>
      </c>
      <c r="B9039" t="s">
        <v>67</v>
      </c>
      <c r="C9039" s="23">
        <v>3.8085335045638068E-2</v>
      </c>
      <c r="D9039" s="23">
        <v>2.8169014084507001E-2</v>
      </c>
      <c r="E9039" s="23">
        <v>1.92678227360308E-3</v>
      </c>
      <c r="F9039" s="23">
        <v>0.19553072625698301</v>
      </c>
      <c r="G9039">
        <v>15</v>
      </c>
      <c r="H9039">
        <v>16</v>
      </c>
    </row>
    <row r="9040" spans="1:8" x14ac:dyDescent="0.3">
      <c r="A9040" s="22" t="s">
        <v>64</v>
      </c>
      <c r="B9040" t="s">
        <v>68</v>
      </c>
      <c r="C9040" s="23">
        <v>2.4691358024691398E-2</v>
      </c>
      <c r="D9040" s="23">
        <v>2.4691358024691398E-2</v>
      </c>
      <c r="E9040" s="23">
        <v>2.4691358024691398E-2</v>
      </c>
      <c r="F9040" s="23">
        <v>2.4691358024691398E-2</v>
      </c>
      <c r="G9040">
        <v>1</v>
      </c>
      <c r="H9040">
        <v>16</v>
      </c>
    </row>
    <row r="9041" spans="1:8" x14ac:dyDescent="0.3">
      <c r="C9041" s="23"/>
      <c r="D9041" s="23"/>
      <c r="E9041" s="23"/>
      <c r="F9041" s="23"/>
    </row>
    <row r="9042" spans="1:8" ht="72" x14ac:dyDescent="0.3">
      <c r="A9042" s="22" t="s">
        <v>1945</v>
      </c>
      <c r="C9042" s="23"/>
      <c r="D9042" s="23"/>
      <c r="E9042" s="23"/>
      <c r="F9042" s="23"/>
    </row>
    <row r="9043" spans="1:8" x14ac:dyDescent="0.3">
      <c r="A9043" s="22" t="s">
        <v>57</v>
      </c>
      <c r="B9043" t="s">
        <v>66</v>
      </c>
      <c r="C9043" s="23" t="s">
        <v>58</v>
      </c>
      <c r="D9043" s="23" t="s">
        <v>59</v>
      </c>
      <c r="E9043" s="23" t="s">
        <v>60</v>
      </c>
      <c r="F9043" s="23" t="s">
        <v>61</v>
      </c>
      <c r="G9043" t="s">
        <v>62</v>
      </c>
      <c r="H9043" t="s">
        <v>63</v>
      </c>
    </row>
    <row r="9044" spans="1:8" x14ac:dyDescent="0.3">
      <c r="A9044" s="22" t="s">
        <v>64</v>
      </c>
      <c r="B9044" t="s">
        <v>68</v>
      </c>
      <c r="C9044" s="23">
        <v>3.72482114818289E-2</v>
      </c>
      <c r="D9044" s="23">
        <v>2.39520958083832E-2</v>
      </c>
      <c r="E9044" s="23">
        <v>1.92678227360308E-3</v>
      </c>
      <c r="F9044" s="23">
        <v>0.19553072625698301</v>
      </c>
      <c r="G9044">
        <v>16</v>
      </c>
      <c r="H9044">
        <v>16</v>
      </c>
    </row>
    <row r="9045" spans="1:8" x14ac:dyDescent="0.3">
      <c r="C9045" s="23"/>
      <c r="D9045" s="23"/>
      <c r="E9045" s="23"/>
      <c r="F9045" s="23"/>
    </row>
    <row r="9046" spans="1:8" ht="72" x14ac:dyDescent="0.3">
      <c r="A9046" s="22" t="s">
        <v>1946</v>
      </c>
      <c r="C9046" s="23"/>
      <c r="D9046" s="23"/>
      <c r="E9046" s="23"/>
      <c r="F9046" s="23"/>
    </row>
    <row r="9047" spans="1:8" x14ac:dyDescent="0.3">
      <c r="A9047" s="22" t="s">
        <v>57</v>
      </c>
      <c r="B9047" t="s">
        <v>66</v>
      </c>
      <c r="C9047" s="23" t="s">
        <v>58</v>
      </c>
      <c r="D9047" s="23" t="s">
        <v>59</v>
      </c>
      <c r="E9047" s="23" t="s">
        <v>60</v>
      </c>
      <c r="F9047" s="23" t="s">
        <v>61</v>
      </c>
      <c r="G9047" t="s">
        <v>62</v>
      </c>
      <c r="H9047" t="s">
        <v>63</v>
      </c>
    </row>
    <row r="9048" spans="1:8" x14ac:dyDescent="0.3">
      <c r="A9048" s="22" t="s">
        <v>64</v>
      </c>
      <c r="B9048" t="s">
        <v>67</v>
      </c>
      <c r="C9048" s="23">
        <v>4.282673427874812E-2</v>
      </c>
      <c r="D9048" s="23">
        <v>2.39520958083832E-2</v>
      </c>
      <c r="E9048" s="23">
        <v>1.92678227360308E-3</v>
      </c>
      <c r="F9048" s="23">
        <v>0.19553072625698301</v>
      </c>
      <c r="G9048">
        <v>12</v>
      </c>
      <c r="H9048">
        <v>16</v>
      </c>
    </row>
    <row r="9049" spans="1:8" x14ac:dyDescent="0.3">
      <c r="A9049" s="22" t="s">
        <v>64</v>
      </c>
      <c r="B9049" t="s">
        <v>68</v>
      </c>
      <c r="C9049" s="23">
        <v>2.0512643091071231E-2</v>
      </c>
      <c r="D9049" s="23">
        <v>1.2448132780083001E-2</v>
      </c>
      <c r="E9049" s="23">
        <v>1.12219451371571E-2</v>
      </c>
      <c r="F9049" s="23">
        <v>3.0211480362537801E-2</v>
      </c>
      <c r="G9049">
        <v>4</v>
      </c>
      <c r="H9049">
        <v>16</v>
      </c>
    </row>
    <row r="9050" spans="1:8" x14ac:dyDescent="0.3">
      <c r="C9050" s="23"/>
      <c r="D9050" s="23"/>
      <c r="E9050" s="23"/>
      <c r="F9050" s="23"/>
    </row>
    <row r="9051" spans="1:8" ht="72" x14ac:dyDescent="0.3">
      <c r="A9051" s="22" t="s">
        <v>1947</v>
      </c>
      <c r="C9051" s="23"/>
      <c r="D9051" s="23"/>
      <c r="E9051" s="23"/>
      <c r="F9051" s="23"/>
    </row>
    <row r="9052" spans="1:8" x14ac:dyDescent="0.3">
      <c r="A9052" s="22" t="s">
        <v>57</v>
      </c>
      <c r="B9052" t="s">
        <v>66</v>
      </c>
      <c r="C9052" s="23" t="s">
        <v>58</v>
      </c>
      <c r="D9052" s="23" t="s">
        <v>59</v>
      </c>
      <c r="E9052" s="23" t="s">
        <v>60</v>
      </c>
      <c r="F9052" s="23" t="s">
        <v>61</v>
      </c>
      <c r="G9052" t="s">
        <v>62</v>
      </c>
      <c r="H9052" t="s">
        <v>63</v>
      </c>
    </row>
    <row r="9053" spans="1:8" x14ac:dyDescent="0.3">
      <c r="A9053" s="22" t="s">
        <v>64</v>
      </c>
      <c r="B9053" t="s">
        <v>67</v>
      </c>
      <c r="C9053" s="23">
        <v>3.6946628783981313E-2</v>
      </c>
      <c r="D9053" s="23">
        <v>2.0270270270270299E-2</v>
      </c>
      <c r="E9053" s="23">
        <v>1.92678227360308E-3</v>
      </c>
      <c r="F9053" s="23">
        <v>0.19553072625698301</v>
      </c>
      <c r="G9053">
        <v>9</v>
      </c>
      <c r="H9053">
        <v>16</v>
      </c>
    </row>
    <row r="9054" spans="1:8" x14ac:dyDescent="0.3">
      <c r="A9054" s="22" t="s">
        <v>64</v>
      </c>
      <c r="B9054" t="s">
        <v>68</v>
      </c>
      <c r="C9054" s="23">
        <v>3.76359606647758E-2</v>
      </c>
      <c r="D9054" s="23">
        <v>3.5087719298245598E-2</v>
      </c>
      <c r="E9054" s="23">
        <v>2.07100591715976E-2</v>
      </c>
      <c r="F9054" s="23">
        <v>8.1300813008130093E-2</v>
      </c>
      <c r="G9054">
        <v>7</v>
      </c>
      <c r="H9054">
        <v>16</v>
      </c>
    </row>
    <row r="9055" spans="1:8" x14ac:dyDescent="0.3">
      <c r="C9055" s="23"/>
      <c r="D9055" s="23"/>
      <c r="E9055" s="23"/>
      <c r="F9055" s="23"/>
    </row>
    <row r="9056" spans="1:8" ht="72" x14ac:dyDescent="0.3">
      <c r="A9056" s="22" t="s">
        <v>1948</v>
      </c>
      <c r="C9056" s="23"/>
      <c r="D9056" s="23"/>
      <c r="E9056" s="23"/>
      <c r="F9056" s="23"/>
    </row>
    <row r="9057" spans="1:8" x14ac:dyDescent="0.3">
      <c r="A9057" s="22" t="s">
        <v>57</v>
      </c>
      <c r="B9057" t="s">
        <v>66</v>
      </c>
      <c r="C9057" s="23" t="s">
        <v>58</v>
      </c>
      <c r="D9057" s="23" t="s">
        <v>59</v>
      </c>
      <c r="E9057" s="23" t="s">
        <v>60</v>
      </c>
      <c r="F9057" s="23" t="s">
        <v>61</v>
      </c>
      <c r="G9057" t="s">
        <v>62</v>
      </c>
      <c r="H9057" t="s">
        <v>63</v>
      </c>
    </row>
    <row r="9058" spans="1:8" x14ac:dyDescent="0.3">
      <c r="A9058" s="22" t="s">
        <v>64</v>
      </c>
      <c r="B9058" t="s">
        <v>67</v>
      </c>
      <c r="C9058" s="23">
        <v>2.665269335582553E-2</v>
      </c>
      <c r="D9058" s="23">
        <v>2.4691358024691398E-2</v>
      </c>
      <c r="E9058" s="23">
        <v>1.92678227360308E-3</v>
      </c>
      <c r="F9058" s="23">
        <v>8.1300813008130093E-2</v>
      </c>
      <c r="G9058">
        <v>13</v>
      </c>
      <c r="H9058">
        <v>16</v>
      </c>
    </row>
    <row r="9059" spans="1:8" x14ac:dyDescent="0.3">
      <c r="A9059" s="22" t="s">
        <v>64</v>
      </c>
      <c r="B9059" t="s">
        <v>68</v>
      </c>
      <c r="C9059" s="23">
        <v>8.3162123361176843E-2</v>
      </c>
      <c r="D9059" s="23">
        <v>0.19553072625698301</v>
      </c>
      <c r="E9059" s="23">
        <v>1.88679245283019E-2</v>
      </c>
      <c r="F9059" s="23">
        <v>0.19553072625698301</v>
      </c>
      <c r="G9059">
        <v>3</v>
      </c>
      <c r="H9059">
        <v>16</v>
      </c>
    </row>
    <row r="9060" spans="1:8" x14ac:dyDescent="0.3">
      <c r="C9060" s="23"/>
      <c r="D9060" s="23"/>
      <c r="E9060" s="23"/>
      <c r="F9060" s="23"/>
    </row>
    <row r="9061" spans="1:8" ht="86.4" x14ac:dyDescent="0.3">
      <c r="A9061" s="22" t="s">
        <v>1949</v>
      </c>
      <c r="C9061" s="23"/>
      <c r="D9061" s="23"/>
      <c r="E9061" s="23"/>
      <c r="F9061" s="23"/>
    </row>
    <row r="9062" spans="1:8" x14ac:dyDescent="0.3">
      <c r="A9062" s="22" t="s">
        <v>57</v>
      </c>
      <c r="B9062" t="s">
        <v>66</v>
      </c>
      <c r="C9062" s="23" t="s">
        <v>58</v>
      </c>
      <c r="D9062" s="23" t="s">
        <v>59</v>
      </c>
      <c r="E9062" s="23" t="s">
        <v>60</v>
      </c>
      <c r="F9062" s="23" t="s">
        <v>61</v>
      </c>
      <c r="G9062" t="s">
        <v>62</v>
      </c>
      <c r="H9062" t="s">
        <v>63</v>
      </c>
    </row>
    <row r="9063" spans="1:8" x14ac:dyDescent="0.3">
      <c r="A9063" s="22" t="s">
        <v>64</v>
      </c>
      <c r="B9063" t="s">
        <v>67</v>
      </c>
      <c r="C9063" s="23">
        <v>3.8350754969177649E-2</v>
      </c>
      <c r="D9063" s="23">
        <v>2.8169014084507001E-2</v>
      </c>
      <c r="E9063" s="23">
        <v>1.92678227360308E-3</v>
      </c>
      <c r="F9063" s="23">
        <v>0.19553072625698301</v>
      </c>
      <c r="G9063">
        <v>15</v>
      </c>
      <c r="H9063">
        <v>16</v>
      </c>
    </row>
    <row r="9064" spans="1:8" x14ac:dyDescent="0.3">
      <c r="A9064" s="22" t="s">
        <v>64</v>
      </c>
      <c r="B9064" t="s">
        <v>68</v>
      </c>
      <c r="C9064" s="23">
        <v>2.07100591715976E-2</v>
      </c>
      <c r="D9064" s="23">
        <v>2.07100591715976E-2</v>
      </c>
      <c r="E9064" s="23">
        <v>2.07100591715976E-2</v>
      </c>
      <c r="F9064" s="23">
        <v>2.07100591715976E-2</v>
      </c>
      <c r="G9064">
        <v>1</v>
      </c>
      <c r="H9064">
        <v>16</v>
      </c>
    </row>
    <row r="9065" spans="1:8" x14ac:dyDescent="0.3">
      <c r="C9065" s="23"/>
      <c r="D9065" s="23"/>
      <c r="E9065" s="23"/>
      <c r="F9065" s="23"/>
    </row>
    <row r="9066" spans="1:8" ht="86.4" x14ac:dyDescent="0.3">
      <c r="A9066" s="22" t="s">
        <v>1950</v>
      </c>
      <c r="C9066" s="23"/>
      <c r="D9066" s="23"/>
      <c r="E9066" s="23"/>
      <c r="F9066" s="23"/>
    </row>
    <row r="9067" spans="1:8" x14ac:dyDescent="0.3">
      <c r="A9067" s="22" t="s">
        <v>57</v>
      </c>
      <c r="B9067" t="s">
        <v>66</v>
      </c>
      <c r="C9067" s="23" t="s">
        <v>58</v>
      </c>
      <c r="D9067" s="23" t="s">
        <v>59</v>
      </c>
      <c r="E9067" s="23" t="s">
        <v>60</v>
      </c>
      <c r="F9067" s="23" t="s">
        <v>61</v>
      </c>
      <c r="G9067" t="s">
        <v>62</v>
      </c>
      <c r="H9067" t="s">
        <v>63</v>
      </c>
    </row>
    <row r="9068" spans="1:8" x14ac:dyDescent="0.3">
      <c r="A9068" s="22" t="s">
        <v>64</v>
      </c>
      <c r="B9068" t="s">
        <v>67</v>
      </c>
      <c r="C9068" s="23">
        <v>3.72482114818289E-2</v>
      </c>
      <c r="D9068" s="23">
        <v>2.39520958083832E-2</v>
      </c>
      <c r="E9068" s="23">
        <v>1.92678227360308E-3</v>
      </c>
      <c r="F9068" s="23">
        <v>0.19553072625698301</v>
      </c>
      <c r="G9068">
        <v>16</v>
      </c>
      <c r="H9068">
        <v>16</v>
      </c>
    </row>
    <row r="9069" spans="1:8" x14ac:dyDescent="0.3">
      <c r="C9069" s="23"/>
      <c r="D9069" s="23"/>
      <c r="E9069" s="23"/>
      <c r="F9069" s="23"/>
    </row>
    <row r="9070" spans="1:8" ht="72" x14ac:dyDescent="0.3">
      <c r="A9070" s="22" t="s">
        <v>1951</v>
      </c>
      <c r="C9070" s="23"/>
      <c r="D9070" s="23"/>
      <c r="E9070" s="23"/>
      <c r="F9070" s="23"/>
    </row>
    <row r="9071" spans="1:8" x14ac:dyDescent="0.3">
      <c r="A9071" s="22" t="s">
        <v>57</v>
      </c>
      <c r="B9071" t="s">
        <v>66</v>
      </c>
      <c r="C9071" s="23" t="s">
        <v>58</v>
      </c>
      <c r="D9071" s="23" t="s">
        <v>59</v>
      </c>
      <c r="E9071" s="23" t="s">
        <v>60</v>
      </c>
      <c r="F9071" s="23" t="s">
        <v>61</v>
      </c>
      <c r="G9071" t="s">
        <v>62</v>
      </c>
      <c r="H9071" t="s">
        <v>63</v>
      </c>
    </row>
    <row r="9072" spans="1:8" x14ac:dyDescent="0.3">
      <c r="A9072" s="22" t="s">
        <v>64</v>
      </c>
      <c r="B9072" t="s">
        <v>67</v>
      </c>
      <c r="C9072" s="23">
        <v>5.5707877618153892E-2</v>
      </c>
      <c r="D9072" s="23">
        <v>3.0211480362537801E-2</v>
      </c>
      <c r="E9072" s="23">
        <v>6.41025641025641E-3</v>
      </c>
      <c r="F9072" s="23">
        <v>0.19553072625698301</v>
      </c>
      <c r="G9072">
        <v>8</v>
      </c>
      <c r="H9072">
        <v>16</v>
      </c>
    </row>
    <row r="9073" spans="1:8" x14ac:dyDescent="0.3">
      <c r="A9073" s="22" t="s">
        <v>64</v>
      </c>
      <c r="B9073" t="s">
        <v>68</v>
      </c>
      <c r="C9073" s="23">
        <v>1.878854534550391E-2</v>
      </c>
      <c r="D9073" s="23">
        <v>2.0270270270270299E-2</v>
      </c>
      <c r="E9073" s="23">
        <v>1.92678227360308E-3</v>
      </c>
      <c r="F9073" s="23">
        <v>3.5087719298245598E-2</v>
      </c>
      <c r="G9073">
        <v>8</v>
      </c>
      <c r="H9073">
        <v>16</v>
      </c>
    </row>
    <row r="9074" spans="1:8" x14ac:dyDescent="0.3">
      <c r="C9074" s="23"/>
      <c r="D9074" s="23"/>
      <c r="E9074" s="23"/>
      <c r="F9074" s="23"/>
    </row>
    <row r="9075" spans="1:8" ht="72" x14ac:dyDescent="0.3">
      <c r="A9075" s="22" t="s">
        <v>1952</v>
      </c>
      <c r="C9075" s="23"/>
      <c r="D9075" s="23"/>
      <c r="E9075" s="23"/>
      <c r="F9075" s="23"/>
    </row>
    <row r="9076" spans="1:8" x14ac:dyDescent="0.3">
      <c r="A9076" s="22" t="s">
        <v>57</v>
      </c>
      <c r="B9076" t="s">
        <v>66</v>
      </c>
      <c r="C9076" s="23" t="s">
        <v>58</v>
      </c>
      <c r="D9076" s="23" t="s">
        <v>59</v>
      </c>
      <c r="E9076" s="23" t="s">
        <v>60</v>
      </c>
      <c r="F9076" s="23" t="s">
        <v>61</v>
      </c>
      <c r="G9076" t="s">
        <v>62</v>
      </c>
      <c r="H9076" t="s">
        <v>63</v>
      </c>
    </row>
    <row r="9077" spans="1:8" x14ac:dyDescent="0.3">
      <c r="A9077" s="22" t="s">
        <v>64</v>
      </c>
      <c r="B9077" t="s">
        <v>67</v>
      </c>
      <c r="C9077" s="23">
        <v>2.7801336593937302E-2</v>
      </c>
      <c r="D9077" s="23">
        <v>2.39520958083832E-2</v>
      </c>
      <c r="E9077" s="23">
        <v>1.92678227360308E-3</v>
      </c>
      <c r="F9077" s="23">
        <v>8.1300813008130093E-2</v>
      </c>
      <c r="G9077">
        <v>14</v>
      </c>
      <c r="H9077">
        <v>16</v>
      </c>
    </row>
    <row r="9078" spans="1:8" x14ac:dyDescent="0.3">
      <c r="A9078" s="22" t="s">
        <v>64</v>
      </c>
      <c r="B9078" t="s">
        <v>68</v>
      </c>
      <c r="C9078" s="23">
        <v>0.1033763356970701</v>
      </c>
      <c r="D9078" s="23">
        <v>1.12219451371571E-2</v>
      </c>
      <c r="E9078" s="23">
        <v>1.12219451371571E-2</v>
      </c>
      <c r="F9078" s="23">
        <v>0.19553072625698301</v>
      </c>
      <c r="G9078">
        <v>2</v>
      </c>
      <c r="H9078">
        <v>16</v>
      </c>
    </row>
    <row r="9079" spans="1:8" x14ac:dyDescent="0.3">
      <c r="C9079" s="23"/>
      <c r="D9079" s="23"/>
      <c r="E9079" s="23"/>
      <c r="F9079" s="23"/>
    </row>
    <row r="9080" spans="1:8" ht="57.6" x14ac:dyDescent="0.3">
      <c r="A9080" s="22" t="s">
        <v>1953</v>
      </c>
      <c r="C9080" s="23"/>
      <c r="D9080" s="23"/>
      <c r="E9080" s="23"/>
      <c r="F9080" s="23"/>
    </row>
    <row r="9081" spans="1:8" x14ac:dyDescent="0.3">
      <c r="A9081" s="22" t="s">
        <v>57</v>
      </c>
      <c r="B9081" t="s">
        <v>66</v>
      </c>
      <c r="C9081" s="23" t="s">
        <v>58</v>
      </c>
      <c r="D9081" s="23" t="s">
        <v>59</v>
      </c>
      <c r="E9081" s="23" t="s">
        <v>60</v>
      </c>
      <c r="F9081" s="23" t="s">
        <v>61</v>
      </c>
      <c r="G9081" t="s">
        <v>62</v>
      </c>
      <c r="H9081" t="s">
        <v>63</v>
      </c>
    </row>
    <row r="9082" spans="1:8" x14ac:dyDescent="0.3">
      <c r="A9082" s="22" t="s">
        <v>64</v>
      </c>
      <c r="B9082" t="s">
        <v>81</v>
      </c>
      <c r="C9082" s="23">
        <v>4.0513954980701219E-2</v>
      </c>
      <c r="D9082" s="23">
        <v>4.4020542920029299E-2</v>
      </c>
      <c r="E9082" s="23">
        <v>1.88679245283019E-2</v>
      </c>
      <c r="F9082" s="23">
        <v>8.1300813008130093E-2</v>
      </c>
      <c r="G9082">
        <v>5</v>
      </c>
      <c r="H9082">
        <v>16</v>
      </c>
    </row>
    <row r="9083" spans="1:8" x14ac:dyDescent="0.3">
      <c r="A9083" s="22" t="s">
        <v>64</v>
      </c>
      <c r="B9083" t="s">
        <v>82</v>
      </c>
      <c r="C9083" s="23">
        <v>7.7556739020585796E-2</v>
      </c>
      <c r="D9083" s="23">
        <v>0.19553072625698301</v>
      </c>
      <c r="E9083" s="23">
        <v>1.2448132780083001E-2</v>
      </c>
      <c r="F9083" s="23">
        <v>0.19553072625698301</v>
      </c>
      <c r="G9083">
        <v>3</v>
      </c>
      <c r="H9083">
        <v>16</v>
      </c>
    </row>
    <row r="9084" spans="1:8" x14ac:dyDescent="0.3">
      <c r="A9084" s="22" t="s">
        <v>64</v>
      </c>
      <c r="B9084" t="s">
        <v>83</v>
      </c>
      <c r="C9084" s="23">
        <v>2.135849237240597E-2</v>
      </c>
      <c r="D9084" s="23">
        <v>2.39520958083832E-2</v>
      </c>
      <c r="E9084" s="23">
        <v>1.92678227360308E-3</v>
      </c>
      <c r="F9084" s="23">
        <v>4.1152263374485597E-2</v>
      </c>
      <c r="G9084">
        <v>7</v>
      </c>
      <c r="H9084">
        <v>16</v>
      </c>
    </row>
    <row r="9085" spans="1:8" x14ac:dyDescent="0.3">
      <c r="A9085" s="22" t="s">
        <v>64</v>
      </c>
      <c r="B9085" t="s">
        <v>84</v>
      </c>
      <c r="C9085" s="23">
        <v>1.12219451371571E-2</v>
      </c>
      <c r="D9085" s="23">
        <v>1.12219451371571E-2</v>
      </c>
      <c r="E9085" s="23">
        <v>1.12219451371571E-2</v>
      </c>
      <c r="F9085" s="23">
        <v>1.12219451371571E-2</v>
      </c>
      <c r="G9085">
        <v>1</v>
      </c>
      <c r="H9085">
        <v>16</v>
      </c>
    </row>
    <row r="9086" spans="1:8" x14ac:dyDescent="0.3">
      <c r="C9086" s="23"/>
      <c r="D9086" s="23"/>
      <c r="E9086" s="23"/>
      <c r="F9086" s="23"/>
    </row>
    <row r="9087" spans="1:8" ht="57.6" x14ac:dyDescent="0.3">
      <c r="A9087" s="22" t="s">
        <v>1954</v>
      </c>
      <c r="C9087" s="23"/>
      <c r="D9087" s="23"/>
      <c r="E9087" s="23"/>
      <c r="F9087" s="23"/>
    </row>
    <row r="9088" spans="1:8" x14ac:dyDescent="0.3">
      <c r="A9088" s="22" t="s">
        <v>57</v>
      </c>
      <c r="B9088" t="s">
        <v>58</v>
      </c>
      <c r="C9088" t="s">
        <v>59</v>
      </c>
      <c r="D9088" t="s">
        <v>60</v>
      </c>
      <c r="E9088" t="s">
        <v>61</v>
      </c>
      <c r="F9088" t="s">
        <v>62</v>
      </c>
      <c r="G9088" t="s">
        <v>63</v>
      </c>
    </row>
    <row r="9089" spans="1:8" x14ac:dyDescent="0.3">
      <c r="A9089" s="22" t="s">
        <v>64</v>
      </c>
      <c r="B9089" s="23">
        <v>0.20178137338505289</v>
      </c>
      <c r="C9089" s="23">
        <v>0.15094339622641501</v>
      </c>
      <c r="D9089" s="23">
        <v>2.4E-2</v>
      </c>
      <c r="E9089" s="23">
        <v>0.71005917159763299</v>
      </c>
      <c r="F9089">
        <v>109</v>
      </c>
      <c r="G9089">
        <v>109</v>
      </c>
    </row>
    <row r="9091" spans="1:8" ht="72" x14ac:dyDescent="0.3">
      <c r="A9091" s="22" t="s">
        <v>1955</v>
      </c>
      <c r="C9091" s="23"/>
      <c r="D9091" s="23"/>
      <c r="E9091" s="23"/>
      <c r="F9091" s="23"/>
    </row>
    <row r="9092" spans="1:8" x14ac:dyDescent="0.3">
      <c r="A9092" s="22" t="s">
        <v>57</v>
      </c>
      <c r="B9092" t="s">
        <v>66</v>
      </c>
      <c r="C9092" s="23" t="s">
        <v>58</v>
      </c>
      <c r="D9092" s="23" t="s">
        <v>59</v>
      </c>
      <c r="E9092" s="23" t="s">
        <v>60</v>
      </c>
      <c r="F9092" s="23" t="s">
        <v>61</v>
      </c>
      <c r="G9092" t="s">
        <v>62</v>
      </c>
      <c r="H9092" t="s">
        <v>63</v>
      </c>
    </row>
    <row r="9093" spans="1:8" x14ac:dyDescent="0.3">
      <c r="A9093" s="22" t="s">
        <v>64</v>
      </c>
      <c r="B9093" t="s">
        <v>67</v>
      </c>
      <c r="C9093" s="23">
        <v>0.20689953365477379</v>
      </c>
      <c r="D9093" s="23">
        <v>0.15094339622641501</v>
      </c>
      <c r="E9093" s="23">
        <v>2.4E-2</v>
      </c>
      <c r="F9093" s="23">
        <v>0.71005917159763299</v>
      </c>
      <c r="G9093">
        <v>104</v>
      </c>
      <c r="H9093">
        <v>109</v>
      </c>
    </row>
    <row r="9094" spans="1:8" x14ac:dyDescent="0.3">
      <c r="A9094" s="22" t="s">
        <v>64</v>
      </c>
      <c r="B9094" t="s">
        <v>68</v>
      </c>
      <c r="C9094" s="23">
        <v>9.5323639774859359E-2</v>
      </c>
      <c r="D9094" s="23">
        <v>8.8888888888888906E-2</v>
      </c>
      <c r="E9094" s="23">
        <v>6.7750677506775103E-2</v>
      </c>
      <c r="F9094" s="23">
        <v>0.16666666666666699</v>
      </c>
      <c r="G9094">
        <v>5</v>
      </c>
      <c r="H9094">
        <v>109</v>
      </c>
    </row>
    <row r="9095" spans="1:8" x14ac:dyDescent="0.3">
      <c r="C9095" s="23"/>
      <c r="D9095" s="23"/>
      <c r="E9095" s="23"/>
      <c r="F9095" s="23"/>
    </row>
    <row r="9096" spans="1:8" x14ac:dyDescent="0.3">
      <c r="A9096"/>
      <c r="C9096" s="23"/>
      <c r="D9096" s="23"/>
      <c r="E9096" s="23"/>
      <c r="F9096" s="23"/>
    </row>
    <row r="9097" spans="1:8" x14ac:dyDescent="0.3">
      <c r="A9097"/>
      <c r="C9097" s="23"/>
      <c r="D9097" s="23"/>
      <c r="E9097" s="23"/>
      <c r="F9097" s="23"/>
    </row>
    <row r="9098" spans="1:8" x14ac:dyDescent="0.3">
      <c r="A9098"/>
      <c r="C9098" s="23"/>
      <c r="D9098" s="23"/>
      <c r="E9098" s="23"/>
      <c r="F9098" s="23"/>
    </row>
    <row r="9099" spans="1:8" x14ac:dyDescent="0.3">
      <c r="C9099" s="23"/>
      <c r="D9099" s="23"/>
      <c r="E9099" s="23"/>
      <c r="F9099" s="23"/>
    </row>
    <row r="9100" spans="1:8" ht="72" x14ac:dyDescent="0.3">
      <c r="A9100" s="22" t="s">
        <v>1956</v>
      </c>
      <c r="C9100" s="23"/>
      <c r="D9100" s="23"/>
      <c r="E9100" s="23"/>
      <c r="F9100" s="23"/>
    </row>
    <row r="9101" spans="1:8" x14ac:dyDescent="0.3">
      <c r="A9101" s="22" t="s">
        <v>57</v>
      </c>
      <c r="B9101" t="s">
        <v>66</v>
      </c>
      <c r="C9101" s="23" t="s">
        <v>58</v>
      </c>
      <c r="D9101" s="23" t="s">
        <v>59</v>
      </c>
      <c r="E9101" s="23" t="s">
        <v>60</v>
      </c>
      <c r="F9101" s="23" t="s">
        <v>61</v>
      </c>
      <c r="G9101" t="s">
        <v>62</v>
      </c>
      <c r="H9101" t="s">
        <v>63</v>
      </c>
    </row>
    <row r="9102" spans="1:8" x14ac:dyDescent="0.3">
      <c r="A9102" s="22" t="s">
        <v>64</v>
      </c>
      <c r="B9102" t="s">
        <v>67</v>
      </c>
      <c r="C9102" s="23">
        <v>0.20526579398412109</v>
      </c>
      <c r="D9102" s="23">
        <v>0.15094339622641501</v>
      </c>
      <c r="E9102" s="23">
        <v>2.4E-2</v>
      </c>
      <c r="F9102" s="23">
        <v>0.71005917159763299</v>
      </c>
      <c r="G9102">
        <v>103</v>
      </c>
      <c r="H9102">
        <v>109</v>
      </c>
    </row>
    <row r="9103" spans="1:8" x14ac:dyDescent="0.3">
      <c r="A9103" s="22" t="s">
        <v>64</v>
      </c>
      <c r="B9103" t="s">
        <v>68</v>
      </c>
      <c r="C9103" s="23">
        <v>0.14196548643438209</v>
      </c>
      <c r="D9103" s="23">
        <v>0.140056022408964</v>
      </c>
      <c r="E9103" s="23">
        <v>4.3165467625899297E-2</v>
      </c>
      <c r="F9103" s="23">
        <v>0.24</v>
      </c>
      <c r="G9103">
        <v>6</v>
      </c>
      <c r="H9103">
        <v>109</v>
      </c>
    </row>
    <row r="9104" spans="1:8" x14ac:dyDescent="0.3">
      <c r="C9104" s="23"/>
      <c r="D9104" s="23"/>
      <c r="E9104" s="23"/>
      <c r="F9104" s="23"/>
    </row>
    <row r="9105" spans="1:8" ht="72" x14ac:dyDescent="0.3">
      <c r="A9105" s="22" t="s">
        <v>1957</v>
      </c>
      <c r="C9105" s="23"/>
      <c r="D9105" s="23"/>
      <c r="E9105" s="23"/>
      <c r="F9105" s="23"/>
    </row>
    <row r="9106" spans="1:8" x14ac:dyDescent="0.3">
      <c r="A9106" s="22" t="s">
        <v>57</v>
      </c>
      <c r="B9106" t="s">
        <v>66</v>
      </c>
      <c r="C9106" s="23" t="s">
        <v>58</v>
      </c>
      <c r="D9106" s="23" t="s">
        <v>59</v>
      </c>
      <c r="E9106" s="23" t="s">
        <v>60</v>
      </c>
      <c r="F9106" s="23" t="s">
        <v>61</v>
      </c>
      <c r="G9106" t="s">
        <v>62</v>
      </c>
      <c r="H9106" t="s">
        <v>63</v>
      </c>
    </row>
    <row r="9107" spans="1:8" x14ac:dyDescent="0.3">
      <c r="A9107" s="22" t="s">
        <v>64</v>
      </c>
      <c r="B9107" t="s">
        <v>67</v>
      </c>
      <c r="C9107" s="23">
        <v>0.2021812906537104</v>
      </c>
      <c r="D9107" s="23">
        <v>0.146341463414634</v>
      </c>
      <c r="E9107" s="23">
        <v>2.4E-2</v>
      </c>
      <c r="F9107" s="23">
        <v>0.71005917159763299</v>
      </c>
      <c r="G9107">
        <v>108</v>
      </c>
      <c r="H9107">
        <v>109</v>
      </c>
    </row>
    <row r="9108" spans="1:8" x14ac:dyDescent="0.3">
      <c r="A9108" s="22" t="s">
        <v>64</v>
      </c>
      <c r="B9108" t="s">
        <v>68</v>
      </c>
      <c r="C9108" s="23">
        <v>0.15859030837004401</v>
      </c>
      <c r="D9108" s="23">
        <v>0.15859030837004401</v>
      </c>
      <c r="E9108" s="23">
        <v>0.15859030837004401</v>
      </c>
      <c r="F9108" s="23">
        <v>0.15859030837004401</v>
      </c>
      <c r="G9108">
        <v>1</v>
      </c>
      <c r="H9108">
        <v>109</v>
      </c>
    </row>
    <row r="9109" spans="1:8" x14ac:dyDescent="0.3">
      <c r="C9109" s="23"/>
      <c r="D9109" s="23"/>
      <c r="E9109" s="23"/>
      <c r="F9109" s="23"/>
    </row>
    <row r="9110" spans="1:8" ht="72" x14ac:dyDescent="0.3">
      <c r="A9110" s="22" t="s">
        <v>1958</v>
      </c>
      <c r="C9110" s="23"/>
      <c r="D9110" s="23"/>
      <c r="E9110" s="23"/>
      <c r="F9110" s="23"/>
    </row>
    <row r="9111" spans="1:8" x14ac:dyDescent="0.3">
      <c r="A9111" s="22" t="s">
        <v>57</v>
      </c>
      <c r="B9111" t="s">
        <v>66</v>
      </c>
      <c r="C9111" s="23" t="s">
        <v>58</v>
      </c>
      <c r="D9111" s="23" t="s">
        <v>59</v>
      </c>
      <c r="E9111" s="23" t="s">
        <v>60</v>
      </c>
      <c r="F9111" s="23" t="s">
        <v>61</v>
      </c>
      <c r="G9111" t="s">
        <v>62</v>
      </c>
      <c r="H9111" t="s">
        <v>63</v>
      </c>
    </row>
    <row r="9112" spans="1:8" x14ac:dyDescent="0.3">
      <c r="A9112" s="22" t="s">
        <v>64</v>
      </c>
      <c r="B9112" t="s">
        <v>67</v>
      </c>
      <c r="C9112" s="23">
        <v>0.20083499214090769</v>
      </c>
      <c r="D9112" s="23">
        <v>0.146341463414634</v>
      </c>
      <c r="E9112" s="23">
        <v>2.4E-2</v>
      </c>
      <c r="F9112" s="23">
        <v>0.71005917159763299</v>
      </c>
      <c r="G9112">
        <v>102</v>
      </c>
      <c r="H9112">
        <v>109</v>
      </c>
    </row>
    <row r="9113" spans="1:8" x14ac:dyDescent="0.3">
      <c r="A9113" s="22" t="s">
        <v>64</v>
      </c>
      <c r="B9113" t="s">
        <v>68</v>
      </c>
      <c r="C9113" s="23">
        <v>0.215571500085455</v>
      </c>
      <c r="D9113" s="23">
        <v>0.30434782608695699</v>
      </c>
      <c r="E9113" s="23">
        <v>4.9382716049382699E-2</v>
      </c>
      <c r="F9113" s="23">
        <v>0.413223140495868</v>
      </c>
      <c r="G9113">
        <v>7</v>
      </c>
      <c r="H9113">
        <v>109</v>
      </c>
    </row>
    <row r="9114" spans="1:8" x14ac:dyDescent="0.3">
      <c r="C9114" s="23"/>
      <c r="D9114" s="23"/>
      <c r="E9114" s="23"/>
      <c r="F9114" s="23"/>
    </row>
    <row r="9115" spans="1:8" ht="72" x14ac:dyDescent="0.3">
      <c r="A9115" s="22" t="s">
        <v>1959</v>
      </c>
      <c r="C9115" s="23"/>
      <c r="D9115" s="23"/>
      <c r="E9115" s="23"/>
      <c r="F9115" s="23"/>
    </row>
    <row r="9116" spans="1:8" x14ac:dyDescent="0.3">
      <c r="A9116" s="22" t="s">
        <v>57</v>
      </c>
      <c r="B9116" t="s">
        <v>66</v>
      </c>
      <c r="C9116" s="23" t="s">
        <v>58</v>
      </c>
      <c r="D9116" s="23" t="s">
        <v>59</v>
      </c>
      <c r="E9116" s="23" t="s">
        <v>60</v>
      </c>
      <c r="F9116" s="23" t="s">
        <v>61</v>
      </c>
      <c r="G9116" t="s">
        <v>62</v>
      </c>
      <c r="H9116" t="s">
        <v>63</v>
      </c>
    </row>
    <row r="9117" spans="1:8" x14ac:dyDescent="0.3">
      <c r="A9117" s="22" t="s">
        <v>64</v>
      </c>
      <c r="B9117" t="s">
        <v>67</v>
      </c>
      <c r="C9117" s="23">
        <v>9.5903095839198205E-2</v>
      </c>
      <c r="D9117" s="23">
        <v>0.15151515151515199</v>
      </c>
      <c r="E9117" s="23">
        <v>3.3333333333333298E-2</v>
      </c>
      <c r="F9117" s="23">
        <v>0.15384615384615399</v>
      </c>
      <c r="G9117">
        <v>5</v>
      </c>
      <c r="H9117">
        <v>109</v>
      </c>
    </row>
    <row r="9118" spans="1:8" x14ac:dyDescent="0.3">
      <c r="A9118" s="22" t="s">
        <v>64</v>
      </c>
      <c r="B9118" t="s">
        <v>68</v>
      </c>
      <c r="C9118" s="23">
        <v>0.2068716751901421</v>
      </c>
      <c r="D9118" s="23">
        <v>0.15</v>
      </c>
      <c r="E9118" s="23">
        <v>2.4E-2</v>
      </c>
      <c r="F9118" s="23">
        <v>0.71005917159763299</v>
      </c>
      <c r="G9118">
        <v>104</v>
      </c>
      <c r="H9118">
        <v>109</v>
      </c>
    </row>
    <row r="9119" spans="1:8" x14ac:dyDescent="0.3">
      <c r="C9119" s="23"/>
      <c r="D9119" s="23"/>
      <c r="E9119" s="23"/>
      <c r="F9119" s="23"/>
    </row>
    <row r="9120" spans="1:8" ht="72" x14ac:dyDescent="0.3">
      <c r="A9120" s="22" t="s">
        <v>1960</v>
      </c>
      <c r="C9120" s="23"/>
      <c r="D9120" s="23"/>
      <c r="E9120" s="23"/>
      <c r="F9120" s="23"/>
    </row>
    <row r="9121" spans="1:8" x14ac:dyDescent="0.3">
      <c r="A9121" s="22" t="s">
        <v>57</v>
      </c>
      <c r="B9121" t="s">
        <v>66</v>
      </c>
      <c r="C9121" s="23" t="s">
        <v>58</v>
      </c>
      <c r="D9121" s="23" t="s">
        <v>59</v>
      </c>
      <c r="E9121" s="23" t="s">
        <v>60</v>
      </c>
      <c r="F9121" s="23" t="s">
        <v>61</v>
      </c>
      <c r="G9121" t="s">
        <v>62</v>
      </c>
      <c r="H9121" t="s">
        <v>63</v>
      </c>
    </row>
    <row r="9122" spans="1:8" x14ac:dyDescent="0.3">
      <c r="A9122" s="22" t="s">
        <v>64</v>
      </c>
      <c r="B9122" t="s">
        <v>67</v>
      </c>
      <c r="C9122" s="23">
        <v>0.2132074230674097</v>
      </c>
      <c r="D9122" s="23">
        <v>0.16666666666666699</v>
      </c>
      <c r="E9122" s="23">
        <v>3.3333333333333298E-2</v>
      </c>
      <c r="F9122" s="23">
        <v>0.71005917159763299</v>
      </c>
      <c r="G9122">
        <v>87</v>
      </c>
      <c r="H9122">
        <v>109</v>
      </c>
    </row>
    <row r="9123" spans="1:8" x14ac:dyDescent="0.3">
      <c r="A9123" s="22" t="s">
        <v>64</v>
      </c>
      <c r="B9123" t="s">
        <v>68</v>
      </c>
      <c r="C9123" s="23">
        <v>0.15659654055027861</v>
      </c>
      <c r="D9123" s="23">
        <v>0.141078838174274</v>
      </c>
      <c r="E9123" s="23">
        <v>2.4E-2</v>
      </c>
      <c r="F9123" s="23">
        <v>0.38653366583541099</v>
      </c>
      <c r="G9123">
        <v>22</v>
      </c>
      <c r="H9123">
        <v>109</v>
      </c>
    </row>
    <row r="9124" spans="1:8" x14ac:dyDescent="0.3">
      <c r="C9124" s="23"/>
      <c r="D9124" s="23"/>
      <c r="E9124" s="23"/>
      <c r="F9124" s="23"/>
    </row>
    <row r="9125" spans="1:8" ht="72" x14ac:dyDescent="0.3">
      <c r="A9125" s="22" t="s">
        <v>1961</v>
      </c>
      <c r="C9125" s="23"/>
      <c r="D9125" s="23"/>
      <c r="E9125" s="23"/>
      <c r="F9125" s="23"/>
    </row>
    <row r="9126" spans="1:8" x14ac:dyDescent="0.3">
      <c r="A9126" s="22" t="s">
        <v>57</v>
      </c>
      <c r="B9126" t="s">
        <v>66</v>
      </c>
      <c r="C9126" s="23" t="s">
        <v>58</v>
      </c>
      <c r="D9126" s="23" t="s">
        <v>59</v>
      </c>
      <c r="E9126" s="23" t="s">
        <v>60</v>
      </c>
      <c r="F9126" s="23" t="s">
        <v>61</v>
      </c>
      <c r="G9126" t="s">
        <v>62</v>
      </c>
      <c r="H9126" t="s">
        <v>63</v>
      </c>
    </row>
    <row r="9127" spans="1:8" x14ac:dyDescent="0.3">
      <c r="A9127" s="22" t="s">
        <v>64</v>
      </c>
      <c r="B9127" t="s">
        <v>67</v>
      </c>
      <c r="C9127" s="23">
        <v>0.20404279110473181</v>
      </c>
      <c r="D9127" s="23">
        <v>0.15859030837004401</v>
      </c>
      <c r="E9127" s="23">
        <v>2.4E-2</v>
      </c>
      <c r="F9127" s="23">
        <v>0.71005917159763299</v>
      </c>
      <c r="G9127">
        <v>84</v>
      </c>
      <c r="H9127">
        <v>109</v>
      </c>
    </row>
    <row r="9128" spans="1:8" x14ac:dyDescent="0.3">
      <c r="A9128" s="22" t="s">
        <v>64</v>
      </c>
      <c r="B9128" t="s">
        <v>68</v>
      </c>
      <c r="C9128" s="23">
        <v>0.19418300984693171</v>
      </c>
      <c r="D9128" s="23">
        <v>0.14285714285714299</v>
      </c>
      <c r="E9128" s="23">
        <v>3.3333333333333298E-2</v>
      </c>
      <c r="F9128" s="23">
        <v>0.60975609756097604</v>
      </c>
      <c r="G9128">
        <v>25</v>
      </c>
      <c r="H9128">
        <v>109</v>
      </c>
    </row>
    <row r="9129" spans="1:8" x14ac:dyDescent="0.3">
      <c r="C9129" s="23"/>
      <c r="D9129" s="23"/>
      <c r="E9129" s="23"/>
      <c r="F9129" s="23"/>
    </row>
    <row r="9130" spans="1:8" ht="72" x14ac:dyDescent="0.3">
      <c r="A9130" s="22" t="s">
        <v>1962</v>
      </c>
      <c r="C9130" s="23"/>
      <c r="D9130" s="23"/>
      <c r="E9130" s="23"/>
      <c r="F9130" s="23"/>
    </row>
    <row r="9131" spans="1:8" x14ac:dyDescent="0.3">
      <c r="A9131" s="22" t="s">
        <v>57</v>
      </c>
      <c r="B9131" t="s">
        <v>66</v>
      </c>
      <c r="C9131" s="23" t="s">
        <v>58</v>
      </c>
      <c r="D9131" s="23" t="s">
        <v>59</v>
      </c>
      <c r="E9131" s="23" t="s">
        <v>60</v>
      </c>
      <c r="F9131" s="23" t="s">
        <v>61</v>
      </c>
      <c r="G9131" t="s">
        <v>62</v>
      </c>
      <c r="H9131" t="s">
        <v>63</v>
      </c>
    </row>
    <row r="9132" spans="1:8" x14ac:dyDescent="0.3">
      <c r="A9132" s="22" t="s">
        <v>64</v>
      </c>
      <c r="B9132" t="s">
        <v>67</v>
      </c>
      <c r="C9132" s="23">
        <v>0.20038765448314211</v>
      </c>
      <c r="D9132" s="23">
        <v>0.15384615384615399</v>
      </c>
      <c r="E9132" s="23">
        <v>2.4E-2</v>
      </c>
      <c r="F9132" s="23">
        <v>0.71005917159763299</v>
      </c>
      <c r="G9132">
        <v>84</v>
      </c>
      <c r="H9132">
        <v>109</v>
      </c>
    </row>
    <row r="9133" spans="1:8" x14ac:dyDescent="0.3">
      <c r="A9133" s="22" t="s">
        <v>64</v>
      </c>
      <c r="B9133" t="s">
        <v>68</v>
      </c>
      <c r="C9133" s="23">
        <v>0.2064642688954732</v>
      </c>
      <c r="D9133" s="23">
        <v>0.11764705882352899</v>
      </c>
      <c r="E9133" s="23">
        <v>3.3333333333333298E-2</v>
      </c>
      <c r="F9133" s="23">
        <v>0.60975609756097604</v>
      </c>
      <c r="G9133">
        <v>25</v>
      </c>
      <c r="H9133">
        <v>109</v>
      </c>
    </row>
    <row r="9134" spans="1:8" x14ac:dyDescent="0.3">
      <c r="C9134" s="23"/>
      <c r="D9134" s="23"/>
      <c r="E9134" s="23"/>
      <c r="F9134" s="23"/>
    </row>
    <row r="9135" spans="1:8" ht="86.4" x14ac:dyDescent="0.3">
      <c r="A9135" s="22" t="s">
        <v>1963</v>
      </c>
      <c r="C9135" s="23"/>
      <c r="D9135" s="23"/>
      <c r="E9135" s="23"/>
      <c r="F9135" s="23"/>
    </row>
    <row r="9136" spans="1:8" x14ac:dyDescent="0.3">
      <c r="A9136" s="22" t="s">
        <v>57</v>
      </c>
      <c r="B9136" t="s">
        <v>66</v>
      </c>
      <c r="C9136" s="23" t="s">
        <v>58</v>
      </c>
      <c r="D9136" s="23" t="s">
        <v>59</v>
      </c>
      <c r="E9136" s="23" t="s">
        <v>60</v>
      </c>
      <c r="F9136" s="23" t="s">
        <v>61</v>
      </c>
      <c r="G9136" t="s">
        <v>62</v>
      </c>
      <c r="H9136" t="s">
        <v>63</v>
      </c>
    </row>
    <row r="9137" spans="1:8" x14ac:dyDescent="0.3">
      <c r="A9137" s="22" t="s">
        <v>64</v>
      </c>
      <c r="B9137" t="s">
        <v>67</v>
      </c>
      <c r="C9137" s="23">
        <v>0.19858678871060831</v>
      </c>
      <c r="D9137" s="23">
        <v>0.14285714285714299</v>
      </c>
      <c r="E9137" s="23">
        <v>2.4E-2</v>
      </c>
      <c r="F9137" s="23">
        <v>0.71005917159763299</v>
      </c>
      <c r="G9137">
        <v>100</v>
      </c>
      <c r="H9137">
        <v>109</v>
      </c>
    </row>
    <row r="9138" spans="1:8" x14ac:dyDescent="0.3">
      <c r="A9138" s="22" t="s">
        <v>64</v>
      </c>
      <c r="B9138" t="s">
        <v>68</v>
      </c>
      <c r="C9138" s="23">
        <v>0.23727675865665951</v>
      </c>
      <c r="D9138" s="23">
        <v>0.214285714285714</v>
      </c>
      <c r="E9138" s="23">
        <v>5.7199211045364899E-2</v>
      </c>
      <c r="F9138" s="23">
        <v>0.60975609756097604</v>
      </c>
      <c r="G9138">
        <v>9</v>
      </c>
      <c r="H9138">
        <v>109</v>
      </c>
    </row>
    <row r="9139" spans="1:8" x14ac:dyDescent="0.3">
      <c r="C9139" s="23"/>
      <c r="D9139" s="23"/>
      <c r="E9139" s="23"/>
      <c r="F9139" s="23"/>
    </row>
    <row r="9140" spans="1:8" ht="86.4" x14ac:dyDescent="0.3">
      <c r="A9140" s="22" t="s">
        <v>1964</v>
      </c>
      <c r="C9140" s="23"/>
      <c r="D9140" s="23"/>
      <c r="E9140" s="23"/>
      <c r="F9140" s="23"/>
    </row>
    <row r="9141" spans="1:8" x14ac:dyDescent="0.3">
      <c r="A9141" s="22" t="s">
        <v>57</v>
      </c>
      <c r="B9141" t="s">
        <v>66</v>
      </c>
      <c r="C9141" s="23" t="s">
        <v>58</v>
      </c>
      <c r="D9141" s="23" t="s">
        <v>59</v>
      </c>
      <c r="E9141" s="23" t="s">
        <v>60</v>
      </c>
      <c r="F9141" s="23" t="s">
        <v>61</v>
      </c>
      <c r="G9141" t="s">
        <v>62</v>
      </c>
      <c r="H9141" t="s">
        <v>63</v>
      </c>
    </row>
    <row r="9142" spans="1:8" x14ac:dyDescent="0.3">
      <c r="A9142" s="22" t="s">
        <v>64</v>
      </c>
      <c r="B9142" t="s">
        <v>67</v>
      </c>
      <c r="C9142" s="23">
        <v>0.20178137338505289</v>
      </c>
      <c r="D9142" s="23">
        <v>0.15094339622641501</v>
      </c>
      <c r="E9142" s="23">
        <v>2.4E-2</v>
      </c>
      <c r="F9142" s="23">
        <v>0.71005917159763299</v>
      </c>
      <c r="G9142">
        <v>109</v>
      </c>
      <c r="H9142">
        <v>109</v>
      </c>
    </row>
    <row r="9143" spans="1:8" x14ac:dyDescent="0.3">
      <c r="C9143" s="23"/>
      <c r="D9143" s="23"/>
      <c r="E9143" s="23"/>
      <c r="F9143" s="23"/>
    </row>
    <row r="9144" spans="1:8" ht="72" x14ac:dyDescent="0.3">
      <c r="A9144" s="22" t="s">
        <v>1965</v>
      </c>
      <c r="C9144" s="23"/>
      <c r="D9144" s="23"/>
      <c r="E9144" s="23"/>
      <c r="F9144" s="23"/>
    </row>
    <row r="9145" spans="1:8" x14ac:dyDescent="0.3">
      <c r="A9145" s="22" t="s">
        <v>57</v>
      </c>
      <c r="B9145" t="s">
        <v>66</v>
      </c>
      <c r="C9145" s="23" t="s">
        <v>58</v>
      </c>
      <c r="D9145" s="23" t="s">
        <v>59</v>
      </c>
      <c r="E9145" s="23" t="s">
        <v>60</v>
      </c>
      <c r="F9145" s="23" t="s">
        <v>61</v>
      </c>
      <c r="G9145" t="s">
        <v>62</v>
      </c>
      <c r="H9145" t="s">
        <v>63</v>
      </c>
    </row>
    <row r="9146" spans="1:8" x14ac:dyDescent="0.3">
      <c r="A9146" s="22" t="s">
        <v>64</v>
      </c>
      <c r="B9146" t="s">
        <v>67</v>
      </c>
      <c r="C9146" s="23">
        <v>0.2016252664972728</v>
      </c>
      <c r="D9146" s="23">
        <v>0.14285714285714299</v>
      </c>
      <c r="E9146" s="23">
        <v>2.4E-2</v>
      </c>
      <c r="F9146" s="23">
        <v>0.71005917159763299</v>
      </c>
      <c r="G9146">
        <v>64</v>
      </c>
      <c r="H9146">
        <v>109</v>
      </c>
    </row>
    <row r="9147" spans="1:8" x14ac:dyDescent="0.3">
      <c r="A9147" s="22" t="s">
        <v>64</v>
      </c>
      <c r="B9147" t="s">
        <v>68</v>
      </c>
      <c r="C9147" s="23">
        <v>0.2020033920698957</v>
      </c>
      <c r="D9147" s="23">
        <v>0.15094339622641501</v>
      </c>
      <c r="E9147" s="23">
        <v>3.8535645472061703E-2</v>
      </c>
      <c r="F9147" s="23">
        <v>0.7</v>
      </c>
      <c r="G9147">
        <v>45</v>
      </c>
      <c r="H9147">
        <v>109</v>
      </c>
    </row>
    <row r="9148" spans="1:8" x14ac:dyDescent="0.3">
      <c r="C9148" s="23"/>
      <c r="D9148" s="23"/>
      <c r="E9148" s="23"/>
      <c r="F9148" s="23"/>
    </row>
    <row r="9149" spans="1:8" ht="72" x14ac:dyDescent="0.3">
      <c r="A9149" s="22" t="s">
        <v>1966</v>
      </c>
      <c r="C9149" s="23"/>
      <c r="D9149" s="23"/>
      <c r="E9149" s="23"/>
      <c r="F9149" s="23"/>
    </row>
    <row r="9150" spans="1:8" x14ac:dyDescent="0.3">
      <c r="A9150" s="22" t="s">
        <v>57</v>
      </c>
      <c r="B9150" t="s">
        <v>66</v>
      </c>
      <c r="C9150" s="23" t="s">
        <v>58</v>
      </c>
      <c r="D9150" s="23" t="s">
        <v>59</v>
      </c>
      <c r="E9150" s="23" t="s">
        <v>60</v>
      </c>
      <c r="F9150" s="23" t="s">
        <v>61</v>
      </c>
      <c r="G9150" t="s">
        <v>62</v>
      </c>
      <c r="H9150" t="s">
        <v>63</v>
      </c>
    </row>
    <row r="9151" spans="1:8" x14ac:dyDescent="0.3">
      <c r="A9151" s="22" t="s">
        <v>64</v>
      </c>
      <c r="B9151" t="s">
        <v>67</v>
      </c>
      <c r="C9151" s="23">
        <v>0.19302955828111201</v>
      </c>
      <c r="D9151" s="23">
        <v>0.14285714285714299</v>
      </c>
      <c r="E9151" s="23">
        <v>3.3333333333333298E-2</v>
      </c>
      <c r="F9151" s="23">
        <v>0.71005917159763299</v>
      </c>
      <c r="G9151">
        <v>96</v>
      </c>
      <c r="H9151">
        <v>109</v>
      </c>
    </row>
    <row r="9152" spans="1:8" x14ac:dyDescent="0.3">
      <c r="A9152" s="22" t="s">
        <v>64</v>
      </c>
      <c r="B9152" t="s">
        <v>68</v>
      </c>
      <c r="C9152" s="23">
        <v>0.26641016184492411</v>
      </c>
      <c r="D9152" s="23">
        <v>0.30463576158940397</v>
      </c>
      <c r="E9152" s="23">
        <v>2.4E-2</v>
      </c>
      <c r="F9152" s="23">
        <v>0.55865921787709505</v>
      </c>
      <c r="G9152">
        <v>13</v>
      </c>
      <c r="H9152">
        <v>109</v>
      </c>
    </row>
    <row r="9153" spans="1:8" x14ac:dyDescent="0.3">
      <c r="C9153" s="23"/>
      <c r="D9153" s="23"/>
      <c r="E9153" s="23"/>
      <c r="F9153" s="23"/>
    </row>
    <row r="9154" spans="1:8" ht="57.6" x14ac:dyDescent="0.3">
      <c r="A9154" s="22" t="s">
        <v>1967</v>
      </c>
      <c r="C9154" s="23"/>
      <c r="D9154" s="23"/>
      <c r="E9154" s="23"/>
      <c r="F9154" s="23"/>
    </row>
    <row r="9155" spans="1:8" x14ac:dyDescent="0.3">
      <c r="A9155" s="22" t="s">
        <v>57</v>
      </c>
      <c r="B9155" t="s">
        <v>66</v>
      </c>
      <c r="C9155" s="23" t="s">
        <v>58</v>
      </c>
      <c r="D9155" s="23" t="s">
        <v>59</v>
      </c>
      <c r="E9155" s="23" t="s">
        <v>60</v>
      </c>
      <c r="F9155" s="23" t="s">
        <v>61</v>
      </c>
      <c r="G9155" t="s">
        <v>62</v>
      </c>
      <c r="H9155" t="s">
        <v>63</v>
      </c>
    </row>
    <row r="9156" spans="1:8" x14ac:dyDescent="0.3">
      <c r="A9156" s="22" t="s">
        <v>64</v>
      </c>
      <c r="B9156" t="s">
        <v>81</v>
      </c>
      <c r="C9156" s="23">
        <v>0.1905361027738498</v>
      </c>
      <c r="D9156" s="23">
        <v>0.146341463414634</v>
      </c>
      <c r="E9156" s="23">
        <v>3.77358490566038E-2</v>
      </c>
      <c r="F9156" s="23">
        <v>0.53191489361702105</v>
      </c>
      <c r="G9156">
        <v>29</v>
      </c>
      <c r="H9156">
        <v>109</v>
      </c>
    </row>
    <row r="9157" spans="1:8" x14ac:dyDescent="0.3">
      <c r="A9157" s="22" t="s">
        <v>64</v>
      </c>
      <c r="B9157" t="s">
        <v>82</v>
      </c>
      <c r="C9157" s="23">
        <v>0.1692625028308255</v>
      </c>
      <c r="D9157" s="23">
        <v>0.14285714285714299</v>
      </c>
      <c r="E9157" s="23">
        <v>2.4E-2</v>
      </c>
      <c r="F9157" s="23">
        <v>0.55865921787709505</v>
      </c>
      <c r="G9157">
        <v>27</v>
      </c>
      <c r="H9157">
        <v>109</v>
      </c>
    </row>
    <row r="9158" spans="1:8" x14ac:dyDescent="0.3">
      <c r="A9158" s="22" t="s">
        <v>64</v>
      </c>
      <c r="B9158" t="s">
        <v>83</v>
      </c>
      <c r="C9158" s="23">
        <v>0.17353833068001531</v>
      </c>
      <c r="D9158" s="23">
        <v>0.114285714285714</v>
      </c>
      <c r="E9158" s="23">
        <v>3.8535645472061703E-2</v>
      </c>
      <c r="F9158" s="23">
        <v>0.71005917159763299</v>
      </c>
      <c r="G9158">
        <v>28</v>
      </c>
      <c r="H9158">
        <v>109</v>
      </c>
    </row>
    <row r="9159" spans="1:8" x14ac:dyDescent="0.3">
      <c r="A9159" s="22" t="s">
        <v>64</v>
      </c>
      <c r="B9159" t="s">
        <v>84</v>
      </c>
      <c r="C9159" s="23">
        <v>0.28157847532225622</v>
      </c>
      <c r="D9159" s="23">
        <v>0.230769230769231</v>
      </c>
      <c r="E9159" s="23">
        <v>6.5420560747663503E-2</v>
      </c>
      <c r="F9159" s="23">
        <v>0.7</v>
      </c>
      <c r="G9159">
        <v>25</v>
      </c>
      <c r="H9159">
        <v>109</v>
      </c>
    </row>
    <row r="9160" spans="1:8" x14ac:dyDescent="0.3">
      <c r="C9160" s="23"/>
      <c r="D9160" s="23"/>
      <c r="E9160" s="23"/>
      <c r="F9160" s="23"/>
    </row>
    <row r="9161" spans="1:8" ht="57.6" x14ac:dyDescent="0.3">
      <c r="A9161" s="22" t="s">
        <v>1968</v>
      </c>
      <c r="C9161" s="23"/>
      <c r="D9161" s="23"/>
      <c r="E9161" s="23"/>
      <c r="F9161" s="23"/>
    </row>
    <row r="9162" spans="1:8" x14ac:dyDescent="0.3">
      <c r="A9162" s="22" t="s">
        <v>57</v>
      </c>
      <c r="B9162" t="s">
        <v>58</v>
      </c>
      <c r="C9162" t="s">
        <v>59</v>
      </c>
      <c r="D9162" t="s">
        <v>60</v>
      </c>
      <c r="E9162" t="s">
        <v>61</v>
      </c>
      <c r="F9162" t="s">
        <v>62</v>
      </c>
      <c r="G9162" t="s">
        <v>63</v>
      </c>
    </row>
    <row r="9163" spans="1:8" x14ac:dyDescent="0.3">
      <c r="A9163" s="22" t="s">
        <v>64</v>
      </c>
      <c r="B9163" s="23">
        <v>4.4799760030814068E-2</v>
      </c>
      <c r="C9163" s="23">
        <v>2.6086956521739101E-2</v>
      </c>
      <c r="D9163" s="23">
        <v>3.7406483790523699E-3</v>
      </c>
      <c r="E9163" s="23">
        <v>0.223463687150838</v>
      </c>
      <c r="F9163">
        <v>19</v>
      </c>
      <c r="G9163">
        <v>19</v>
      </c>
    </row>
    <row r="9165" spans="1:8" ht="72" x14ac:dyDescent="0.3">
      <c r="A9165" s="22" t="s">
        <v>1969</v>
      </c>
      <c r="C9165" s="23"/>
      <c r="D9165" s="23"/>
      <c r="E9165" s="23"/>
      <c r="F9165" s="23"/>
    </row>
    <row r="9166" spans="1:8" x14ac:dyDescent="0.3">
      <c r="A9166" s="22" t="s">
        <v>57</v>
      </c>
      <c r="B9166" t="s">
        <v>66</v>
      </c>
      <c r="C9166" s="23" t="s">
        <v>58</v>
      </c>
      <c r="D9166" s="23" t="s">
        <v>59</v>
      </c>
      <c r="E9166" s="23" t="s">
        <v>60</v>
      </c>
      <c r="F9166" s="23" t="s">
        <v>61</v>
      </c>
      <c r="G9166" t="s">
        <v>62</v>
      </c>
      <c r="H9166" t="s">
        <v>63</v>
      </c>
    </row>
    <row r="9167" spans="1:8" x14ac:dyDescent="0.3">
      <c r="A9167" s="22" t="s">
        <v>64</v>
      </c>
      <c r="B9167" t="s">
        <v>67</v>
      </c>
      <c r="C9167" s="23">
        <v>4.3524709059927363E-2</v>
      </c>
      <c r="D9167" s="23">
        <v>2.33644859813084E-2</v>
      </c>
      <c r="E9167" s="23">
        <v>3.7406483790523699E-3</v>
      </c>
      <c r="F9167" s="23">
        <v>0.223463687150838</v>
      </c>
      <c r="G9167">
        <v>18</v>
      </c>
      <c r="H9167">
        <v>19</v>
      </c>
    </row>
    <row r="9168" spans="1:8" x14ac:dyDescent="0.3">
      <c r="A9168" s="22" t="s">
        <v>64</v>
      </c>
      <c r="B9168" t="s">
        <v>68</v>
      </c>
      <c r="C9168" s="23">
        <v>6.7750677506775103E-2</v>
      </c>
      <c r="D9168" s="23">
        <v>6.7750677506775103E-2</v>
      </c>
      <c r="E9168" s="23">
        <v>6.7750677506775103E-2</v>
      </c>
      <c r="F9168" s="23">
        <v>6.7750677506775103E-2</v>
      </c>
      <c r="G9168">
        <v>1</v>
      </c>
      <c r="H9168">
        <v>19</v>
      </c>
    </row>
    <row r="9169" spans="1:8" x14ac:dyDescent="0.3">
      <c r="C9169" s="23"/>
      <c r="D9169" s="23"/>
      <c r="E9169" s="23"/>
      <c r="F9169" s="23"/>
    </row>
    <row r="9170" spans="1:8" x14ac:dyDescent="0.3">
      <c r="A9170"/>
      <c r="C9170" s="23"/>
      <c r="D9170" s="23"/>
      <c r="E9170" s="23"/>
      <c r="F9170" s="23"/>
    </row>
    <row r="9171" spans="1:8" x14ac:dyDescent="0.3">
      <c r="A9171"/>
      <c r="C9171" s="23"/>
      <c r="D9171" s="23"/>
      <c r="E9171" s="23"/>
      <c r="F9171" s="23"/>
    </row>
    <row r="9172" spans="1:8" x14ac:dyDescent="0.3">
      <c r="A9172"/>
      <c r="C9172" s="23"/>
      <c r="D9172" s="23"/>
      <c r="E9172" s="23"/>
      <c r="F9172" s="23"/>
    </row>
    <row r="9173" spans="1:8" x14ac:dyDescent="0.3">
      <c r="C9173" s="23"/>
      <c r="D9173" s="23"/>
      <c r="E9173" s="23"/>
      <c r="F9173" s="23"/>
    </row>
    <row r="9174" spans="1:8" ht="72" x14ac:dyDescent="0.3">
      <c r="A9174" s="22" t="s">
        <v>1970</v>
      </c>
      <c r="C9174" s="23"/>
      <c r="D9174" s="23"/>
      <c r="E9174" s="23"/>
      <c r="F9174" s="23"/>
    </row>
    <row r="9175" spans="1:8" x14ac:dyDescent="0.3">
      <c r="A9175" s="22" t="s">
        <v>57</v>
      </c>
      <c r="B9175" t="s">
        <v>66</v>
      </c>
      <c r="C9175" s="23" t="s">
        <v>58</v>
      </c>
      <c r="D9175" s="23" t="s">
        <v>59</v>
      </c>
      <c r="E9175" s="23" t="s">
        <v>60</v>
      </c>
      <c r="F9175" s="23" t="s">
        <v>61</v>
      </c>
      <c r="G9175" t="s">
        <v>62</v>
      </c>
      <c r="H9175" t="s">
        <v>63</v>
      </c>
    </row>
    <row r="9176" spans="1:8" x14ac:dyDescent="0.3">
      <c r="A9176" s="22" t="s">
        <v>64</v>
      </c>
      <c r="B9176" t="s">
        <v>67</v>
      </c>
      <c r="C9176" s="23">
        <v>4.4799760030814068E-2</v>
      </c>
      <c r="D9176" s="23">
        <v>2.6086956521739101E-2</v>
      </c>
      <c r="E9176" s="23">
        <v>3.7406483790523699E-3</v>
      </c>
      <c r="F9176" s="23">
        <v>0.223463687150838</v>
      </c>
      <c r="G9176">
        <v>19</v>
      </c>
      <c r="H9176">
        <v>19</v>
      </c>
    </row>
    <row r="9177" spans="1:8" x14ac:dyDescent="0.3">
      <c r="C9177" s="23"/>
      <c r="D9177" s="23"/>
      <c r="E9177" s="23"/>
      <c r="F9177" s="23"/>
    </row>
    <row r="9178" spans="1:8" ht="72" x14ac:dyDescent="0.3">
      <c r="A9178" s="22" t="s">
        <v>1971</v>
      </c>
      <c r="C9178" s="23"/>
      <c r="D9178" s="23"/>
      <c r="E9178" s="23"/>
      <c r="F9178" s="23"/>
    </row>
    <row r="9179" spans="1:8" x14ac:dyDescent="0.3">
      <c r="A9179" s="22" t="s">
        <v>57</v>
      </c>
      <c r="B9179" t="s">
        <v>66</v>
      </c>
      <c r="C9179" s="23" t="s">
        <v>58</v>
      </c>
      <c r="D9179" s="23" t="s">
        <v>59</v>
      </c>
      <c r="E9179" s="23" t="s">
        <v>60</v>
      </c>
      <c r="F9179" s="23" t="s">
        <v>61</v>
      </c>
      <c r="G9179" t="s">
        <v>62</v>
      </c>
      <c r="H9179" t="s">
        <v>63</v>
      </c>
    </row>
    <row r="9180" spans="1:8" x14ac:dyDescent="0.3">
      <c r="A9180" s="22" t="s">
        <v>64</v>
      </c>
      <c r="B9180" t="s">
        <v>67</v>
      </c>
      <c r="C9180" s="23">
        <v>4.4799760030814068E-2</v>
      </c>
      <c r="D9180" s="23">
        <v>2.6086956521739101E-2</v>
      </c>
      <c r="E9180" s="23">
        <v>3.7406483790523699E-3</v>
      </c>
      <c r="F9180" s="23">
        <v>0.223463687150838</v>
      </c>
      <c r="G9180">
        <v>19</v>
      </c>
      <c r="H9180">
        <v>19</v>
      </c>
    </row>
    <row r="9181" spans="1:8" x14ac:dyDescent="0.3">
      <c r="C9181" s="23"/>
      <c r="D9181" s="23"/>
      <c r="E9181" s="23"/>
      <c r="F9181" s="23"/>
    </row>
    <row r="9182" spans="1:8" ht="72" x14ac:dyDescent="0.3">
      <c r="A9182" s="22" t="s">
        <v>1972</v>
      </c>
      <c r="C9182" s="23"/>
      <c r="D9182" s="23"/>
      <c r="E9182" s="23"/>
      <c r="F9182" s="23"/>
    </row>
    <row r="9183" spans="1:8" x14ac:dyDescent="0.3">
      <c r="A9183" s="22" t="s">
        <v>57</v>
      </c>
      <c r="B9183" t="s">
        <v>66</v>
      </c>
      <c r="C9183" s="23" t="s">
        <v>58</v>
      </c>
      <c r="D9183" s="23" t="s">
        <v>59</v>
      </c>
      <c r="E9183" s="23" t="s">
        <v>60</v>
      </c>
      <c r="F9183" s="23" t="s">
        <v>61</v>
      </c>
      <c r="G9183" t="s">
        <v>62</v>
      </c>
      <c r="H9183" t="s">
        <v>63</v>
      </c>
    </row>
    <row r="9184" spans="1:8" x14ac:dyDescent="0.3">
      <c r="A9184" s="22" t="s">
        <v>64</v>
      </c>
      <c r="B9184" t="s">
        <v>67</v>
      </c>
      <c r="C9184" s="23">
        <v>4.5916893475598672E-2</v>
      </c>
      <c r="D9184" s="23">
        <v>2.33644859813084E-2</v>
      </c>
      <c r="E9184" s="23">
        <v>3.7406483790523699E-3</v>
      </c>
      <c r="F9184" s="23">
        <v>0.223463687150838</v>
      </c>
      <c r="G9184">
        <v>18</v>
      </c>
      <c r="H9184">
        <v>19</v>
      </c>
    </row>
    <row r="9185" spans="1:8" x14ac:dyDescent="0.3">
      <c r="A9185" s="22" t="s">
        <v>64</v>
      </c>
      <c r="B9185" t="s">
        <v>68</v>
      </c>
      <c r="C9185" s="23">
        <v>2.4691358024691398E-2</v>
      </c>
      <c r="D9185" s="23">
        <v>2.4691358024691398E-2</v>
      </c>
      <c r="E9185" s="23">
        <v>2.4691358024691398E-2</v>
      </c>
      <c r="F9185" s="23">
        <v>2.4691358024691398E-2</v>
      </c>
      <c r="G9185">
        <v>1</v>
      </c>
      <c r="H9185">
        <v>19</v>
      </c>
    </row>
    <row r="9186" spans="1:8" x14ac:dyDescent="0.3">
      <c r="C9186" s="23"/>
      <c r="D9186" s="23"/>
      <c r="E9186" s="23"/>
      <c r="F9186" s="23"/>
    </row>
    <row r="9187" spans="1:8" ht="72" x14ac:dyDescent="0.3">
      <c r="A9187" s="22" t="s">
        <v>1973</v>
      </c>
      <c r="C9187" s="23"/>
      <c r="D9187" s="23"/>
      <c r="E9187" s="23"/>
      <c r="F9187" s="23"/>
    </row>
    <row r="9188" spans="1:8" x14ac:dyDescent="0.3">
      <c r="A9188" s="22" t="s">
        <v>57</v>
      </c>
      <c r="B9188" t="s">
        <v>66</v>
      </c>
      <c r="C9188" s="23" t="s">
        <v>58</v>
      </c>
      <c r="D9188" s="23" t="s">
        <v>59</v>
      </c>
      <c r="E9188" s="23" t="s">
        <v>60</v>
      </c>
      <c r="F9188" s="23" t="s">
        <v>61</v>
      </c>
      <c r="G9188" t="s">
        <v>62</v>
      </c>
      <c r="H9188" t="s">
        <v>63</v>
      </c>
    </row>
    <row r="9189" spans="1:8" x14ac:dyDescent="0.3">
      <c r="A9189" s="22" t="s">
        <v>64</v>
      </c>
      <c r="B9189" t="s">
        <v>68</v>
      </c>
      <c r="C9189" s="23">
        <v>4.4799760030814068E-2</v>
      </c>
      <c r="D9189" s="23">
        <v>2.6086956521739101E-2</v>
      </c>
      <c r="E9189" s="23">
        <v>3.7406483790523699E-3</v>
      </c>
      <c r="F9189" s="23">
        <v>0.223463687150838</v>
      </c>
      <c r="G9189">
        <v>19</v>
      </c>
      <c r="H9189">
        <v>19</v>
      </c>
    </row>
    <row r="9190" spans="1:8" x14ac:dyDescent="0.3">
      <c r="C9190" s="23"/>
      <c r="D9190" s="23"/>
      <c r="E9190" s="23"/>
      <c r="F9190" s="23"/>
    </row>
    <row r="9191" spans="1:8" ht="72" x14ac:dyDescent="0.3">
      <c r="A9191" s="22" t="s">
        <v>1974</v>
      </c>
      <c r="C9191" s="23"/>
      <c r="D9191" s="23"/>
      <c r="E9191" s="23"/>
      <c r="F9191" s="23"/>
    </row>
    <row r="9192" spans="1:8" x14ac:dyDescent="0.3">
      <c r="A9192" s="22" t="s">
        <v>57</v>
      </c>
      <c r="B9192" t="s">
        <v>66</v>
      </c>
      <c r="C9192" s="23" t="s">
        <v>58</v>
      </c>
      <c r="D9192" s="23" t="s">
        <v>59</v>
      </c>
      <c r="E9192" s="23" t="s">
        <v>60</v>
      </c>
      <c r="F9192" s="23" t="s">
        <v>61</v>
      </c>
      <c r="G9192" t="s">
        <v>62</v>
      </c>
      <c r="H9192" t="s">
        <v>63</v>
      </c>
    </row>
    <row r="9193" spans="1:8" x14ac:dyDescent="0.3">
      <c r="A9193" s="22" t="s">
        <v>64</v>
      </c>
      <c r="B9193" t="s">
        <v>67</v>
      </c>
      <c r="C9193" s="23">
        <v>5.5272873400405799E-2</v>
      </c>
      <c r="D9193" s="23">
        <v>4.0540540540540501E-2</v>
      </c>
      <c r="E9193" s="23">
        <v>5.8479532163742704E-3</v>
      </c>
      <c r="F9193" s="23">
        <v>0.223463687150838</v>
      </c>
      <c r="G9193">
        <v>13</v>
      </c>
      <c r="H9193">
        <v>19</v>
      </c>
    </row>
    <row r="9194" spans="1:8" x14ac:dyDescent="0.3">
      <c r="A9194" s="22" t="s">
        <v>64</v>
      </c>
      <c r="B9194" t="s">
        <v>68</v>
      </c>
      <c r="C9194" s="23">
        <v>2.210801439669868E-2</v>
      </c>
      <c r="D9194" s="23">
        <v>1.82829888712242E-2</v>
      </c>
      <c r="E9194" s="23">
        <v>3.7406483790523699E-3</v>
      </c>
      <c r="F9194" s="23">
        <v>5.0590219224283299E-2</v>
      </c>
      <c r="G9194">
        <v>6</v>
      </c>
      <c r="H9194">
        <v>19</v>
      </c>
    </row>
    <row r="9195" spans="1:8" x14ac:dyDescent="0.3">
      <c r="C9195" s="23"/>
      <c r="D9195" s="23"/>
      <c r="E9195" s="23"/>
      <c r="F9195" s="23"/>
    </row>
    <row r="9196" spans="1:8" ht="72" x14ac:dyDescent="0.3">
      <c r="A9196" s="22" t="s">
        <v>1975</v>
      </c>
      <c r="C9196" s="23"/>
      <c r="D9196" s="23"/>
      <c r="E9196" s="23"/>
      <c r="F9196" s="23"/>
    </row>
    <row r="9197" spans="1:8" x14ac:dyDescent="0.3">
      <c r="A9197" s="22" t="s">
        <v>57</v>
      </c>
      <c r="B9197" t="s">
        <v>66</v>
      </c>
      <c r="C9197" s="23" t="s">
        <v>58</v>
      </c>
      <c r="D9197" s="23" t="s">
        <v>59</v>
      </c>
      <c r="E9197" s="23" t="s">
        <v>60</v>
      </c>
      <c r="F9197" s="23" t="s">
        <v>61</v>
      </c>
      <c r="G9197" t="s">
        <v>62</v>
      </c>
      <c r="H9197" t="s">
        <v>63</v>
      </c>
    </row>
    <row r="9198" spans="1:8" x14ac:dyDescent="0.3">
      <c r="A9198" s="22" t="s">
        <v>64</v>
      </c>
      <c r="B9198" t="s">
        <v>67</v>
      </c>
      <c r="C9198" s="23">
        <v>4.1600565669694313E-2</v>
      </c>
      <c r="D9198" s="23">
        <v>2.4691358024691398E-2</v>
      </c>
      <c r="E9198" s="23">
        <v>3.7406483790523699E-3</v>
      </c>
      <c r="F9198" s="23">
        <v>0.223463687150838</v>
      </c>
      <c r="G9198">
        <v>15</v>
      </c>
      <c r="H9198">
        <v>19</v>
      </c>
    </row>
    <row r="9199" spans="1:8" x14ac:dyDescent="0.3">
      <c r="A9199" s="22" t="s">
        <v>64</v>
      </c>
      <c r="B9199" t="s">
        <v>68</v>
      </c>
      <c r="C9199" s="23">
        <v>5.6796738885013173E-2</v>
      </c>
      <c r="D9199" s="23">
        <v>5.0590219224283299E-2</v>
      </c>
      <c r="E9199" s="23">
        <v>2.1126760563380299E-2</v>
      </c>
      <c r="F9199" s="23">
        <v>8.7719298245614002E-2</v>
      </c>
      <c r="G9199">
        <v>4</v>
      </c>
      <c r="H9199">
        <v>19</v>
      </c>
    </row>
    <row r="9200" spans="1:8" x14ac:dyDescent="0.3">
      <c r="C9200" s="23"/>
      <c r="D9200" s="23"/>
      <c r="E9200" s="23"/>
      <c r="F9200" s="23"/>
    </row>
    <row r="9201" spans="1:8" ht="72" x14ac:dyDescent="0.3">
      <c r="A9201" s="22" t="s">
        <v>1976</v>
      </c>
      <c r="C9201" s="23"/>
      <c r="D9201" s="23"/>
      <c r="E9201" s="23"/>
      <c r="F9201" s="23"/>
    </row>
    <row r="9202" spans="1:8" x14ac:dyDescent="0.3">
      <c r="A9202" s="22" t="s">
        <v>57</v>
      </c>
      <c r="B9202" t="s">
        <v>66</v>
      </c>
      <c r="C9202" s="23" t="s">
        <v>58</v>
      </c>
      <c r="D9202" s="23" t="s">
        <v>59</v>
      </c>
      <c r="E9202" s="23" t="s">
        <v>60</v>
      </c>
      <c r="F9202" s="23" t="s">
        <v>61</v>
      </c>
      <c r="G9202" t="s">
        <v>62</v>
      </c>
      <c r="H9202" t="s">
        <v>63</v>
      </c>
    </row>
    <row r="9203" spans="1:8" x14ac:dyDescent="0.3">
      <c r="A9203" s="22" t="s">
        <v>64</v>
      </c>
      <c r="B9203" t="s">
        <v>67</v>
      </c>
      <c r="C9203" s="23">
        <v>2.9258052605661149E-2</v>
      </c>
      <c r="D9203" s="23">
        <v>2.6086956521739101E-2</v>
      </c>
      <c r="E9203" s="23">
        <v>3.7406483790523699E-3</v>
      </c>
      <c r="F9203" s="23">
        <v>6.7750677506775103E-2</v>
      </c>
      <c r="G9203">
        <v>13</v>
      </c>
      <c r="H9203">
        <v>19</v>
      </c>
    </row>
    <row r="9204" spans="1:8" x14ac:dyDescent="0.3">
      <c r="A9204" s="22" t="s">
        <v>64</v>
      </c>
      <c r="B9204" t="s">
        <v>68</v>
      </c>
      <c r="C9204" s="23">
        <v>7.8473459451978755E-2</v>
      </c>
      <c r="D9204" s="23">
        <v>2.33644859813084E-2</v>
      </c>
      <c r="E9204" s="23">
        <v>1.50375939849624E-2</v>
      </c>
      <c r="F9204" s="23">
        <v>0.223463687150838</v>
      </c>
      <c r="G9204">
        <v>6</v>
      </c>
      <c r="H9204">
        <v>19</v>
      </c>
    </row>
    <row r="9205" spans="1:8" x14ac:dyDescent="0.3">
      <c r="C9205" s="23"/>
      <c r="D9205" s="23"/>
      <c r="E9205" s="23"/>
      <c r="F9205" s="23"/>
    </row>
    <row r="9206" spans="1:8" ht="86.4" x14ac:dyDescent="0.3">
      <c r="A9206" s="22" t="s">
        <v>1977</v>
      </c>
      <c r="C9206" s="23"/>
      <c r="D9206" s="23"/>
      <c r="E9206" s="23"/>
      <c r="F9206" s="23"/>
    </row>
    <row r="9207" spans="1:8" x14ac:dyDescent="0.3">
      <c r="A9207" s="22" t="s">
        <v>57</v>
      </c>
      <c r="B9207" t="s">
        <v>66</v>
      </c>
      <c r="C9207" s="23" t="s">
        <v>58</v>
      </c>
      <c r="D9207" s="23" t="s">
        <v>59</v>
      </c>
      <c r="E9207" s="23" t="s">
        <v>60</v>
      </c>
      <c r="F9207" s="23" t="s">
        <v>61</v>
      </c>
      <c r="G9207" t="s">
        <v>62</v>
      </c>
      <c r="H9207" t="s">
        <v>63</v>
      </c>
    </row>
    <row r="9208" spans="1:8" x14ac:dyDescent="0.3">
      <c r="A9208" s="22" t="s">
        <v>64</v>
      </c>
      <c r="B9208" t="s">
        <v>67</v>
      </c>
      <c r="C9208" s="23">
        <v>4.0389695461108203E-2</v>
      </c>
      <c r="D9208" s="23">
        <v>2.1126760563380299E-2</v>
      </c>
      <c r="E9208" s="23">
        <v>3.7406483790523699E-3</v>
      </c>
      <c r="F9208" s="23">
        <v>0.223463687150838</v>
      </c>
      <c r="G9208">
        <v>16</v>
      </c>
      <c r="H9208">
        <v>19</v>
      </c>
    </row>
    <row r="9209" spans="1:8" x14ac:dyDescent="0.3">
      <c r="A9209" s="22" t="s">
        <v>64</v>
      </c>
      <c r="B9209" t="s">
        <v>68</v>
      </c>
      <c r="C9209" s="23">
        <v>6.8320104402578755E-2</v>
      </c>
      <c r="D9209" s="23">
        <v>0.102564102564103</v>
      </c>
      <c r="E9209" s="23">
        <v>4.0540540540540501E-2</v>
      </c>
      <c r="F9209" s="23">
        <v>0.102564102564103</v>
      </c>
      <c r="G9209">
        <v>3</v>
      </c>
      <c r="H9209">
        <v>19</v>
      </c>
    </row>
    <row r="9210" spans="1:8" x14ac:dyDescent="0.3">
      <c r="C9210" s="23"/>
      <c r="D9210" s="23"/>
      <c r="E9210" s="23"/>
      <c r="F9210" s="23"/>
    </row>
    <row r="9211" spans="1:8" ht="86.4" x14ac:dyDescent="0.3">
      <c r="A9211" s="22" t="s">
        <v>1978</v>
      </c>
      <c r="C9211" s="23"/>
      <c r="D9211" s="23"/>
      <c r="E9211" s="23"/>
      <c r="F9211" s="23"/>
    </row>
    <row r="9212" spans="1:8" x14ac:dyDescent="0.3">
      <c r="A9212" s="22" t="s">
        <v>57</v>
      </c>
      <c r="B9212" t="s">
        <v>66</v>
      </c>
      <c r="C9212" s="23" t="s">
        <v>58</v>
      </c>
      <c r="D9212" s="23" t="s">
        <v>59</v>
      </c>
      <c r="E9212" s="23" t="s">
        <v>60</v>
      </c>
      <c r="F9212" s="23" t="s">
        <v>61</v>
      </c>
      <c r="G9212" t="s">
        <v>62</v>
      </c>
      <c r="H9212" t="s">
        <v>63</v>
      </c>
    </row>
    <row r="9213" spans="1:8" x14ac:dyDescent="0.3">
      <c r="A9213" s="22" t="s">
        <v>64</v>
      </c>
      <c r="B9213" t="s">
        <v>67</v>
      </c>
      <c r="C9213" s="23">
        <v>4.4799760030814068E-2</v>
      </c>
      <c r="D9213" s="23">
        <v>2.6086956521739101E-2</v>
      </c>
      <c r="E9213" s="23">
        <v>3.7406483790523699E-3</v>
      </c>
      <c r="F9213" s="23">
        <v>0.223463687150838</v>
      </c>
      <c r="G9213">
        <v>19</v>
      </c>
      <c r="H9213">
        <v>19</v>
      </c>
    </row>
    <row r="9214" spans="1:8" x14ac:dyDescent="0.3">
      <c r="C9214" s="23"/>
      <c r="D9214" s="23"/>
      <c r="E9214" s="23"/>
      <c r="F9214" s="23"/>
    </row>
    <row r="9215" spans="1:8" ht="72" x14ac:dyDescent="0.3">
      <c r="A9215" s="22" t="s">
        <v>1979</v>
      </c>
      <c r="C9215" s="23"/>
      <c r="D9215" s="23"/>
      <c r="E9215" s="23"/>
      <c r="F9215" s="23"/>
    </row>
    <row r="9216" spans="1:8" x14ac:dyDescent="0.3">
      <c r="A9216" s="22" t="s">
        <v>57</v>
      </c>
      <c r="B9216" t="s">
        <v>66</v>
      </c>
      <c r="C9216" s="23" t="s">
        <v>58</v>
      </c>
      <c r="D9216" s="23" t="s">
        <v>59</v>
      </c>
      <c r="E9216" s="23" t="s">
        <v>60</v>
      </c>
      <c r="F9216" s="23" t="s">
        <v>61</v>
      </c>
      <c r="G9216" t="s">
        <v>62</v>
      </c>
      <c r="H9216" t="s">
        <v>63</v>
      </c>
    </row>
    <row r="9217" spans="1:8" x14ac:dyDescent="0.3">
      <c r="A9217" s="22" t="s">
        <v>64</v>
      </c>
      <c r="B9217" t="s">
        <v>67</v>
      </c>
      <c r="C9217" s="23">
        <v>5.3246219484390893E-2</v>
      </c>
      <c r="D9217" s="23">
        <v>2.1126760563380299E-2</v>
      </c>
      <c r="E9217" s="23">
        <v>5.8479532163742704E-3</v>
      </c>
      <c r="F9217" s="23">
        <v>0.223463687150838</v>
      </c>
      <c r="G9217">
        <v>8</v>
      </c>
      <c r="H9217">
        <v>19</v>
      </c>
    </row>
    <row r="9218" spans="1:8" x14ac:dyDescent="0.3">
      <c r="A9218" s="22" t="s">
        <v>64</v>
      </c>
      <c r="B9218" t="s">
        <v>68</v>
      </c>
      <c r="C9218" s="23">
        <v>3.8656880428212761E-2</v>
      </c>
      <c r="D9218" s="23">
        <v>3.7037037037037E-2</v>
      </c>
      <c r="E9218" s="23">
        <v>3.7406483790523699E-3</v>
      </c>
      <c r="F9218" s="23">
        <v>0.102564102564103</v>
      </c>
      <c r="G9218">
        <v>11</v>
      </c>
      <c r="H9218">
        <v>19</v>
      </c>
    </row>
    <row r="9219" spans="1:8" x14ac:dyDescent="0.3">
      <c r="C9219" s="23"/>
      <c r="D9219" s="23"/>
      <c r="E9219" s="23"/>
      <c r="F9219" s="23"/>
    </row>
    <row r="9220" spans="1:8" ht="72" x14ac:dyDescent="0.3">
      <c r="A9220" s="22" t="s">
        <v>1980</v>
      </c>
      <c r="C9220" s="23"/>
      <c r="D9220" s="23"/>
      <c r="E9220" s="23"/>
      <c r="F9220" s="23"/>
    </row>
    <row r="9221" spans="1:8" x14ac:dyDescent="0.3">
      <c r="A9221" s="22" t="s">
        <v>57</v>
      </c>
      <c r="B9221" t="s">
        <v>66</v>
      </c>
      <c r="C9221" s="23" t="s">
        <v>58</v>
      </c>
      <c r="D9221" s="23" t="s">
        <v>59</v>
      </c>
      <c r="E9221" s="23" t="s">
        <v>60</v>
      </c>
      <c r="F9221" s="23" t="s">
        <v>61</v>
      </c>
      <c r="G9221" t="s">
        <v>62</v>
      </c>
      <c r="H9221" t="s">
        <v>63</v>
      </c>
    </row>
    <row r="9222" spans="1:8" x14ac:dyDescent="0.3">
      <c r="A9222" s="22" t="s">
        <v>64</v>
      </c>
      <c r="B9222" t="s">
        <v>67</v>
      </c>
      <c r="C9222" s="23">
        <v>3.5736565228716349E-2</v>
      </c>
      <c r="D9222" s="23">
        <v>2.4691358024691398E-2</v>
      </c>
      <c r="E9222" s="23">
        <v>5.8479532163742704E-3</v>
      </c>
      <c r="F9222" s="23">
        <v>0.102564102564103</v>
      </c>
      <c r="G9222">
        <v>15</v>
      </c>
      <c r="H9222">
        <v>19</v>
      </c>
    </row>
    <row r="9223" spans="1:8" x14ac:dyDescent="0.3">
      <c r="A9223" s="22" t="s">
        <v>64</v>
      </c>
      <c r="B9223" t="s">
        <v>68</v>
      </c>
      <c r="C9223" s="23">
        <v>7.8786740538680566E-2</v>
      </c>
      <c r="D9223" s="23">
        <v>2.6086956521739101E-2</v>
      </c>
      <c r="E9223" s="23">
        <v>3.7406483790523699E-3</v>
      </c>
      <c r="F9223" s="23">
        <v>0.223463687150838</v>
      </c>
      <c r="G9223">
        <v>4</v>
      </c>
      <c r="H9223">
        <v>19</v>
      </c>
    </row>
    <row r="9224" spans="1:8" x14ac:dyDescent="0.3">
      <c r="C9224" s="23"/>
      <c r="D9224" s="23"/>
      <c r="E9224" s="23"/>
      <c r="F9224" s="23"/>
    </row>
    <row r="9225" spans="1:8" ht="57.6" x14ac:dyDescent="0.3">
      <c r="A9225" s="22" t="s">
        <v>1981</v>
      </c>
      <c r="C9225" s="23"/>
      <c r="D9225" s="23"/>
      <c r="E9225" s="23"/>
      <c r="F9225" s="23"/>
    </row>
    <row r="9226" spans="1:8" x14ac:dyDescent="0.3">
      <c r="A9226" s="22" t="s">
        <v>57</v>
      </c>
      <c r="B9226" t="s">
        <v>66</v>
      </c>
      <c r="C9226" s="23" t="s">
        <v>58</v>
      </c>
      <c r="D9226" s="23" t="s">
        <v>59</v>
      </c>
      <c r="E9226" s="23" t="s">
        <v>60</v>
      </c>
      <c r="F9226" s="23" t="s">
        <v>61</v>
      </c>
      <c r="G9226" t="s">
        <v>62</v>
      </c>
      <c r="H9226" t="s">
        <v>63</v>
      </c>
    </row>
    <row r="9227" spans="1:8" x14ac:dyDescent="0.3">
      <c r="A9227" s="22" t="s">
        <v>64</v>
      </c>
      <c r="B9227" t="s">
        <v>81</v>
      </c>
      <c r="C9227" s="23">
        <v>3.253246958832276E-2</v>
      </c>
      <c r="D9227" s="23">
        <v>3.7037037037037E-2</v>
      </c>
      <c r="E9227" s="23">
        <v>1.2820512820512799E-2</v>
      </c>
      <c r="F9227" s="23">
        <v>6.7750677506775103E-2</v>
      </c>
      <c r="G9227">
        <v>7</v>
      </c>
      <c r="H9227">
        <v>19</v>
      </c>
    </row>
    <row r="9228" spans="1:8" x14ac:dyDescent="0.3">
      <c r="A9228" s="22" t="s">
        <v>64</v>
      </c>
      <c r="B9228" t="s">
        <v>82</v>
      </c>
      <c r="C9228" s="23">
        <v>6.8071496815781965E-2</v>
      </c>
      <c r="D9228" s="23">
        <v>1.82829888712242E-2</v>
      </c>
      <c r="E9228" s="23">
        <v>5.8479532163742704E-3</v>
      </c>
      <c r="F9228" s="23">
        <v>0.223463687150838</v>
      </c>
      <c r="G9228">
        <v>4</v>
      </c>
      <c r="H9228">
        <v>19</v>
      </c>
    </row>
    <row r="9229" spans="1:8" x14ac:dyDescent="0.3">
      <c r="A9229" s="22" t="s">
        <v>64</v>
      </c>
      <c r="B9229" t="s">
        <v>83</v>
      </c>
      <c r="C9229" s="23">
        <v>5.1448931769297872E-2</v>
      </c>
      <c r="D9229" s="23">
        <v>8.7719298245614002E-2</v>
      </c>
      <c r="E9229" s="23">
        <v>2.6086956521739101E-2</v>
      </c>
      <c r="F9229" s="23">
        <v>8.7719298245614002E-2</v>
      </c>
      <c r="G9229">
        <v>3</v>
      </c>
      <c r="H9229">
        <v>19</v>
      </c>
    </row>
    <row r="9230" spans="1:8" x14ac:dyDescent="0.3">
      <c r="A9230" s="22" t="s">
        <v>64</v>
      </c>
      <c r="B9230" t="s">
        <v>84</v>
      </c>
      <c r="C9230" s="23">
        <v>3.9367074179237342E-2</v>
      </c>
      <c r="D9230" s="23">
        <v>6.18556701030928E-2</v>
      </c>
      <c r="E9230" s="23">
        <v>3.7406483790523699E-3</v>
      </c>
      <c r="F9230" s="23">
        <v>0.102564102564103</v>
      </c>
      <c r="G9230">
        <v>5</v>
      </c>
      <c r="H9230">
        <v>19</v>
      </c>
    </row>
    <row r="9231" spans="1:8" x14ac:dyDescent="0.3">
      <c r="C9231" s="23"/>
      <c r="D9231" s="23"/>
      <c r="E9231" s="23"/>
      <c r="F9231" s="23"/>
    </row>
    <row r="9232" spans="1:8" ht="57.6" x14ac:dyDescent="0.3">
      <c r="A9232" s="22" t="s">
        <v>1982</v>
      </c>
      <c r="C9232" s="23"/>
      <c r="D9232" s="23"/>
      <c r="E9232" s="23"/>
      <c r="F9232" s="23"/>
    </row>
    <row r="9233" spans="1:8" x14ac:dyDescent="0.3">
      <c r="A9233" s="22" t="s">
        <v>57</v>
      </c>
      <c r="B9233" t="s">
        <v>58</v>
      </c>
      <c r="C9233" t="s">
        <v>59</v>
      </c>
      <c r="D9233" t="s">
        <v>60</v>
      </c>
      <c r="E9233" t="s">
        <v>61</v>
      </c>
      <c r="F9233" t="s">
        <v>62</v>
      </c>
      <c r="G9233" t="s">
        <v>63</v>
      </c>
    </row>
    <row r="9234" spans="1:8" x14ac:dyDescent="0.3">
      <c r="A9234" s="22" t="s">
        <v>64</v>
      </c>
      <c r="B9234" s="23">
        <v>0.1895664660951521</v>
      </c>
      <c r="C9234" s="23">
        <v>0.22546012269938701</v>
      </c>
      <c r="D9234" s="23">
        <v>6.4102564102564097E-2</v>
      </c>
      <c r="E9234" s="23">
        <v>0.37037037037037002</v>
      </c>
      <c r="F9234">
        <v>7</v>
      </c>
      <c r="G9234">
        <v>7</v>
      </c>
    </row>
    <row r="9235" spans="1:8" x14ac:dyDescent="0.3">
      <c r="B9235" s="23"/>
      <c r="C9235" s="23"/>
      <c r="D9235" s="23"/>
      <c r="E9235" s="23"/>
    </row>
    <row r="9236" spans="1:8" ht="72" x14ac:dyDescent="0.3">
      <c r="A9236" s="22" t="s">
        <v>1983</v>
      </c>
      <c r="C9236" s="23"/>
      <c r="D9236" s="23"/>
      <c r="E9236" s="23"/>
      <c r="F9236" s="23"/>
    </row>
    <row r="9237" spans="1:8" x14ac:dyDescent="0.3">
      <c r="A9237" s="22" t="s">
        <v>57</v>
      </c>
      <c r="B9237" t="s">
        <v>66</v>
      </c>
      <c r="C9237" s="23" t="s">
        <v>58</v>
      </c>
      <c r="D9237" s="23" t="s">
        <v>59</v>
      </c>
      <c r="E9237" s="23" t="s">
        <v>60</v>
      </c>
      <c r="F9237" s="23" t="s">
        <v>61</v>
      </c>
      <c r="G9237" t="s">
        <v>62</v>
      </c>
      <c r="H9237" t="s">
        <v>63</v>
      </c>
    </row>
    <row r="9238" spans="1:8" x14ac:dyDescent="0.3">
      <c r="A9238" s="22" t="s">
        <v>64</v>
      </c>
      <c r="B9238" t="s">
        <v>67</v>
      </c>
      <c r="C9238" s="23">
        <v>0.16560532155545529</v>
      </c>
      <c r="D9238" s="23">
        <v>0.12327416173569999</v>
      </c>
      <c r="E9238" s="23">
        <v>6.4102564102564097E-2</v>
      </c>
      <c r="F9238" s="23">
        <v>0.37037037037037002</v>
      </c>
      <c r="G9238">
        <v>6</v>
      </c>
      <c r="H9238">
        <v>7</v>
      </c>
    </row>
    <row r="9239" spans="1:8" x14ac:dyDescent="0.3">
      <c r="A9239" s="22" t="s">
        <v>64</v>
      </c>
      <c r="B9239" t="s">
        <v>68</v>
      </c>
      <c r="C9239" s="23">
        <v>0.33333333333333298</v>
      </c>
      <c r="D9239" s="23">
        <v>0.33333333333333298</v>
      </c>
      <c r="E9239" s="23">
        <v>0.33333333333333298</v>
      </c>
      <c r="F9239" s="23">
        <v>0.33333333333333298</v>
      </c>
      <c r="G9239">
        <v>1</v>
      </c>
      <c r="H9239">
        <v>7</v>
      </c>
    </row>
    <row r="9240" spans="1:8" x14ac:dyDescent="0.3">
      <c r="C9240" s="23"/>
      <c r="D9240" s="23"/>
      <c r="E9240" s="23"/>
      <c r="F9240" s="23"/>
    </row>
    <row r="9241" spans="1:8" x14ac:dyDescent="0.3">
      <c r="A9241"/>
      <c r="C9241" s="23"/>
      <c r="D9241" s="23"/>
      <c r="E9241" s="23"/>
      <c r="F9241" s="23"/>
    </row>
    <row r="9242" spans="1:8" x14ac:dyDescent="0.3">
      <c r="A9242"/>
      <c r="C9242" s="23"/>
      <c r="D9242" s="23"/>
      <c r="E9242" s="23"/>
      <c r="F9242" s="23"/>
    </row>
    <row r="9243" spans="1:8" x14ac:dyDescent="0.3">
      <c r="A9243"/>
      <c r="C9243" s="23"/>
      <c r="D9243" s="23"/>
      <c r="E9243" s="23"/>
      <c r="F9243" s="23"/>
    </row>
    <row r="9244" spans="1:8" x14ac:dyDescent="0.3">
      <c r="C9244" s="23"/>
      <c r="D9244" s="23"/>
      <c r="E9244" s="23"/>
      <c r="F9244" s="23"/>
    </row>
    <row r="9245" spans="1:8" ht="72" x14ac:dyDescent="0.3">
      <c r="A9245" s="22" t="s">
        <v>1984</v>
      </c>
      <c r="C9245" s="23"/>
      <c r="D9245" s="23"/>
      <c r="E9245" s="23"/>
      <c r="F9245" s="23"/>
    </row>
    <row r="9246" spans="1:8" x14ac:dyDescent="0.3">
      <c r="A9246" s="22" t="s">
        <v>57</v>
      </c>
      <c r="B9246" t="s">
        <v>66</v>
      </c>
      <c r="C9246" s="23" t="s">
        <v>58</v>
      </c>
      <c r="D9246" s="23" t="s">
        <v>59</v>
      </c>
      <c r="E9246" s="23" t="s">
        <v>60</v>
      </c>
      <c r="F9246" s="23" t="s">
        <v>61</v>
      </c>
      <c r="G9246" t="s">
        <v>62</v>
      </c>
      <c r="H9246" t="s">
        <v>63</v>
      </c>
    </row>
    <row r="9247" spans="1:8" x14ac:dyDescent="0.3">
      <c r="A9247" s="22" t="s">
        <v>64</v>
      </c>
      <c r="B9247" t="s">
        <v>67</v>
      </c>
      <c r="C9247" s="23">
        <v>0.21047711642725009</v>
      </c>
      <c r="D9247" s="23">
        <v>0.14285714285714299</v>
      </c>
      <c r="E9247" s="23">
        <v>6.7567567567567599E-2</v>
      </c>
      <c r="F9247" s="23">
        <v>0.37037037037037002</v>
      </c>
      <c r="G9247">
        <v>6</v>
      </c>
      <c r="H9247">
        <v>7</v>
      </c>
    </row>
    <row r="9248" spans="1:8" x14ac:dyDescent="0.3">
      <c r="A9248" s="22" t="s">
        <v>64</v>
      </c>
      <c r="B9248" t="s">
        <v>68</v>
      </c>
      <c r="C9248" s="23">
        <v>6.4102564102564097E-2</v>
      </c>
      <c r="D9248" s="23">
        <v>6.4102564102564097E-2</v>
      </c>
      <c r="E9248" s="23">
        <v>6.4102564102564097E-2</v>
      </c>
      <c r="F9248" s="23">
        <v>6.4102564102564097E-2</v>
      </c>
      <c r="G9248">
        <v>1</v>
      </c>
      <c r="H9248">
        <v>7</v>
      </c>
    </row>
    <row r="9249" spans="1:8" x14ac:dyDescent="0.3">
      <c r="C9249" s="23"/>
      <c r="D9249" s="23"/>
      <c r="E9249" s="23"/>
      <c r="F9249" s="23"/>
    </row>
    <row r="9250" spans="1:8" ht="72" x14ac:dyDescent="0.3">
      <c r="A9250" s="22" t="s">
        <v>1985</v>
      </c>
      <c r="C9250" s="23"/>
      <c r="D9250" s="23"/>
      <c r="E9250" s="23"/>
      <c r="F9250" s="23"/>
    </row>
    <row r="9251" spans="1:8" x14ac:dyDescent="0.3">
      <c r="A9251" s="22" t="s">
        <v>57</v>
      </c>
      <c r="B9251" t="s">
        <v>66</v>
      </c>
      <c r="C9251" s="23" t="s">
        <v>58</v>
      </c>
      <c r="D9251" s="23" t="s">
        <v>59</v>
      </c>
      <c r="E9251" s="23" t="s">
        <v>60</v>
      </c>
      <c r="F9251" s="23" t="s">
        <v>61</v>
      </c>
      <c r="G9251" t="s">
        <v>62</v>
      </c>
      <c r="H9251" t="s">
        <v>63</v>
      </c>
    </row>
    <row r="9252" spans="1:8" x14ac:dyDescent="0.3">
      <c r="A9252" s="22" t="s">
        <v>64</v>
      </c>
      <c r="B9252" t="s">
        <v>67</v>
      </c>
      <c r="C9252" s="23">
        <v>0.1895664660951521</v>
      </c>
      <c r="D9252" s="23">
        <v>0.22546012269938701</v>
      </c>
      <c r="E9252" s="23">
        <v>6.4102564102564097E-2</v>
      </c>
      <c r="F9252" s="23">
        <v>0.37037037037037002</v>
      </c>
      <c r="G9252">
        <v>7</v>
      </c>
      <c r="H9252">
        <v>7</v>
      </c>
    </row>
    <row r="9253" spans="1:8" x14ac:dyDescent="0.3">
      <c r="C9253" s="23"/>
      <c r="D9253" s="23"/>
      <c r="E9253" s="23"/>
      <c r="F9253" s="23"/>
    </row>
    <row r="9254" spans="1:8" ht="72" x14ac:dyDescent="0.3">
      <c r="A9254" s="22" t="s">
        <v>1986</v>
      </c>
      <c r="C9254" s="23"/>
      <c r="D9254" s="23"/>
      <c r="E9254" s="23"/>
      <c r="F9254" s="23"/>
    </row>
    <row r="9255" spans="1:8" x14ac:dyDescent="0.3">
      <c r="A9255" s="22" t="s">
        <v>57</v>
      </c>
      <c r="B9255" t="s">
        <v>66</v>
      </c>
      <c r="C9255" s="23" t="s">
        <v>58</v>
      </c>
      <c r="D9255" s="23" t="s">
        <v>59</v>
      </c>
      <c r="E9255" s="23" t="s">
        <v>60</v>
      </c>
      <c r="F9255" s="23" t="s">
        <v>61</v>
      </c>
      <c r="G9255" t="s">
        <v>62</v>
      </c>
      <c r="H9255" t="s">
        <v>63</v>
      </c>
    </row>
    <row r="9256" spans="1:8" x14ac:dyDescent="0.3">
      <c r="A9256" s="22" t="s">
        <v>64</v>
      </c>
      <c r="B9256" t="s">
        <v>67</v>
      </c>
      <c r="C9256" s="23">
        <v>0.1895664660951521</v>
      </c>
      <c r="D9256" s="23">
        <v>0.22546012269938701</v>
      </c>
      <c r="E9256" s="23">
        <v>6.4102564102564097E-2</v>
      </c>
      <c r="F9256" s="23">
        <v>0.37037037037037002</v>
      </c>
      <c r="G9256">
        <v>7</v>
      </c>
      <c r="H9256">
        <v>7</v>
      </c>
    </row>
    <row r="9257" spans="1:8" x14ac:dyDescent="0.3">
      <c r="C9257" s="23"/>
      <c r="D9257" s="23"/>
      <c r="E9257" s="23"/>
      <c r="F9257" s="23"/>
    </row>
    <row r="9258" spans="1:8" ht="72" x14ac:dyDescent="0.3">
      <c r="A9258" s="22" t="s">
        <v>1987</v>
      </c>
      <c r="C9258" s="23"/>
      <c r="D9258" s="23"/>
      <c r="E9258" s="23"/>
      <c r="F9258" s="23"/>
    </row>
    <row r="9259" spans="1:8" x14ac:dyDescent="0.3">
      <c r="A9259" s="22" t="s">
        <v>57</v>
      </c>
      <c r="B9259" t="s">
        <v>66</v>
      </c>
      <c r="C9259" s="23" t="s">
        <v>58</v>
      </c>
      <c r="D9259" s="23" t="s">
        <v>59</v>
      </c>
      <c r="E9259" s="23" t="s">
        <v>60</v>
      </c>
      <c r="F9259" s="23" t="s">
        <v>61</v>
      </c>
      <c r="G9259" t="s">
        <v>62</v>
      </c>
      <c r="H9259" t="s">
        <v>63</v>
      </c>
    </row>
    <row r="9260" spans="1:8" x14ac:dyDescent="0.3">
      <c r="A9260" s="22" t="s">
        <v>64</v>
      </c>
      <c r="B9260" t="s">
        <v>68</v>
      </c>
      <c r="C9260" s="23">
        <v>0.1895664660951521</v>
      </c>
      <c r="D9260" s="23">
        <v>0.22546012269938701</v>
      </c>
      <c r="E9260" s="23">
        <v>6.4102564102564097E-2</v>
      </c>
      <c r="F9260" s="23">
        <v>0.37037037037037002</v>
      </c>
      <c r="G9260">
        <v>7</v>
      </c>
      <c r="H9260">
        <v>7</v>
      </c>
    </row>
    <row r="9261" spans="1:8" x14ac:dyDescent="0.3">
      <c r="C9261" s="23"/>
      <c r="D9261" s="23"/>
      <c r="E9261" s="23"/>
      <c r="F9261" s="23"/>
    </row>
    <row r="9262" spans="1:8" ht="72" x14ac:dyDescent="0.3">
      <c r="A9262" s="22" t="s">
        <v>1988</v>
      </c>
      <c r="C9262" s="23"/>
      <c r="D9262" s="23"/>
      <c r="E9262" s="23"/>
      <c r="F9262" s="23"/>
    </row>
    <row r="9263" spans="1:8" x14ac:dyDescent="0.3">
      <c r="A9263" s="22" t="s">
        <v>57</v>
      </c>
      <c r="B9263" t="s">
        <v>66</v>
      </c>
      <c r="C9263" s="23" t="s">
        <v>58</v>
      </c>
      <c r="D9263" s="23" t="s">
        <v>59</v>
      </c>
      <c r="E9263" s="23" t="s">
        <v>60</v>
      </c>
      <c r="F9263" s="23" t="s">
        <v>61</v>
      </c>
      <c r="G9263" t="s">
        <v>62</v>
      </c>
      <c r="H9263" t="s">
        <v>63</v>
      </c>
    </row>
    <row r="9264" spans="1:8" x14ac:dyDescent="0.3">
      <c r="A9264" s="22" t="s">
        <v>64</v>
      </c>
      <c r="B9264" t="s">
        <v>67</v>
      </c>
      <c r="C9264" s="23">
        <v>0.1895664660951521</v>
      </c>
      <c r="D9264" s="23">
        <v>0.22546012269938701</v>
      </c>
      <c r="E9264" s="23">
        <v>6.4102564102564097E-2</v>
      </c>
      <c r="F9264" s="23">
        <v>0.37037037037037002</v>
      </c>
      <c r="G9264">
        <v>7</v>
      </c>
      <c r="H9264">
        <v>7</v>
      </c>
    </row>
    <row r="9265" spans="1:8" x14ac:dyDescent="0.3">
      <c r="C9265" s="23"/>
      <c r="D9265" s="23"/>
      <c r="E9265" s="23"/>
      <c r="F9265" s="23"/>
    </row>
    <row r="9266" spans="1:8" ht="72" x14ac:dyDescent="0.3">
      <c r="A9266" s="22" t="s">
        <v>1989</v>
      </c>
      <c r="C9266" s="23"/>
      <c r="D9266" s="23"/>
      <c r="E9266" s="23"/>
      <c r="F9266" s="23"/>
    </row>
    <row r="9267" spans="1:8" x14ac:dyDescent="0.3">
      <c r="A9267" s="22" t="s">
        <v>57</v>
      </c>
      <c r="B9267" t="s">
        <v>66</v>
      </c>
      <c r="C9267" s="23" t="s">
        <v>58</v>
      </c>
      <c r="D9267" s="23" t="s">
        <v>59</v>
      </c>
      <c r="E9267" s="23" t="s">
        <v>60</v>
      </c>
      <c r="F9267" s="23" t="s">
        <v>61</v>
      </c>
      <c r="G9267" t="s">
        <v>62</v>
      </c>
      <c r="H9267" t="s">
        <v>63</v>
      </c>
    </row>
    <row r="9268" spans="1:8" x14ac:dyDescent="0.3">
      <c r="A9268" s="22" t="s">
        <v>64</v>
      </c>
      <c r="B9268" t="s">
        <v>67</v>
      </c>
      <c r="C9268" s="23">
        <v>0.19564619564619551</v>
      </c>
      <c r="D9268" s="23">
        <v>0.33333333333333298</v>
      </c>
      <c r="E9268" s="23">
        <v>6.4102564102564097E-2</v>
      </c>
      <c r="F9268" s="23">
        <v>0.37037037037037002</v>
      </c>
      <c r="G9268">
        <v>5</v>
      </c>
      <c r="H9268">
        <v>7</v>
      </c>
    </row>
    <row r="9269" spans="1:8" x14ac:dyDescent="0.3">
      <c r="A9269" s="22" t="s">
        <v>64</v>
      </c>
      <c r="B9269" t="s">
        <v>68</v>
      </c>
      <c r="C9269" s="23">
        <v>0.17436714221754351</v>
      </c>
      <c r="D9269" s="23">
        <v>0.12327416173569999</v>
      </c>
      <c r="E9269" s="23">
        <v>0.12327416173569999</v>
      </c>
      <c r="F9269" s="23">
        <v>0.22546012269938701</v>
      </c>
      <c r="G9269">
        <v>2</v>
      </c>
      <c r="H9269">
        <v>7</v>
      </c>
    </row>
    <row r="9270" spans="1:8" x14ac:dyDescent="0.3">
      <c r="C9270" s="23"/>
      <c r="D9270" s="23"/>
      <c r="E9270" s="23"/>
      <c r="F9270" s="23"/>
    </row>
    <row r="9271" spans="1:8" ht="72" x14ac:dyDescent="0.3">
      <c r="A9271" s="22" t="s">
        <v>1990</v>
      </c>
      <c r="C9271" s="23"/>
      <c r="D9271" s="23"/>
      <c r="E9271" s="23"/>
      <c r="F9271" s="23"/>
    </row>
    <row r="9272" spans="1:8" x14ac:dyDescent="0.3">
      <c r="A9272" s="22" t="s">
        <v>57</v>
      </c>
      <c r="B9272" t="s">
        <v>66</v>
      </c>
      <c r="C9272" s="23" t="s">
        <v>58</v>
      </c>
      <c r="D9272" s="23" t="s">
        <v>59</v>
      </c>
      <c r="E9272" s="23" t="s">
        <v>60</v>
      </c>
      <c r="F9272" s="23" t="s">
        <v>61</v>
      </c>
      <c r="G9272" t="s">
        <v>62</v>
      </c>
      <c r="H9272" t="s">
        <v>63</v>
      </c>
    </row>
    <row r="9273" spans="1:8" x14ac:dyDescent="0.3">
      <c r="A9273" s="22" t="s">
        <v>64</v>
      </c>
      <c r="B9273" t="s">
        <v>67</v>
      </c>
      <c r="C9273" s="23">
        <v>0.1895664660951521</v>
      </c>
      <c r="D9273" s="23">
        <v>0.22546012269938701</v>
      </c>
      <c r="E9273" s="23">
        <v>6.4102564102564097E-2</v>
      </c>
      <c r="F9273" s="23">
        <v>0.37037037037037002</v>
      </c>
      <c r="G9273">
        <v>7</v>
      </c>
      <c r="H9273">
        <v>7</v>
      </c>
    </row>
    <row r="9274" spans="1:8" x14ac:dyDescent="0.3">
      <c r="C9274" s="23"/>
      <c r="D9274" s="23"/>
      <c r="E9274" s="23"/>
      <c r="F9274" s="23"/>
    </row>
    <row r="9275" spans="1:8" ht="86.4" x14ac:dyDescent="0.3">
      <c r="A9275" s="22" t="s">
        <v>1991</v>
      </c>
      <c r="C9275" s="23"/>
      <c r="D9275" s="23"/>
      <c r="E9275" s="23"/>
      <c r="F9275" s="23"/>
    </row>
    <row r="9276" spans="1:8" x14ac:dyDescent="0.3">
      <c r="A9276" s="22" t="s">
        <v>57</v>
      </c>
      <c r="B9276" t="s">
        <v>66</v>
      </c>
      <c r="C9276" s="23" t="s">
        <v>58</v>
      </c>
      <c r="D9276" s="23" t="s">
        <v>59</v>
      </c>
      <c r="E9276" s="23" t="s">
        <v>60</v>
      </c>
      <c r="F9276" s="23" t="s">
        <v>61</v>
      </c>
      <c r="G9276" t="s">
        <v>62</v>
      </c>
      <c r="H9276" t="s">
        <v>63</v>
      </c>
    </row>
    <row r="9277" spans="1:8" x14ac:dyDescent="0.3">
      <c r="A9277" s="22" t="s">
        <v>64</v>
      </c>
      <c r="B9277" t="s">
        <v>67</v>
      </c>
      <c r="C9277" s="23">
        <v>0.2483165976264135</v>
      </c>
      <c r="D9277" s="23">
        <v>0.22546012269938701</v>
      </c>
      <c r="E9277" s="23">
        <v>6.4102564102564097E-2</v>
      </c>
      <c r="F9277" s="23">
        <v>0.37037037037037002</v>
      </c>
      <c r="G9277">
        <v>4</v>
      </c>
      <c r="H9277">
        <v>7</v>
      </c>
    </row>
    <row r="9278" spans="1:8" x14ac:dyDescent="0.3">
      <c r="A9278" s="22" t="s">
        <v>64</v>
      </c>
      <c r="B9278" t="s">
        <v>68</v>
      </c>
      <c r="C9278" s="23">
        <v>0.1112329573868035</v>
      </c>
      <c r="D9278" s="23">
        <v>0.14285714285714299</v>
      </c>
      <c r="E9278" s="23">
        <v>6.7567567567567599E-2</v>
      </c>
      <c r="F9278" s="23">
        <v>0.14285714285714299</v>
      </c>
      <c r="G9278">
        <v>3</v>
      </c>
      <c r="H9278">
        <v>7</v>
      </c>
    </row>
    <row r="9279" spans="1:8" x14ac:dyDescent="0.3">
      <c r="C9279" s="23"/>
      <c r="D9279" s="23"/>
      <c r="E9279" s="23"/>
      <c r="F9279" s="23"/>
    </row>
    <row r="9280" spans="1:8" ht="86.4" x14ac:dyDescent="0.3">
      <c r="A9280" s="22" t="s">
        <v>1992</v>
      </c>
      <c r="C9280" s="23"/>
      <c r="D9280" s="23"/>
      <c r="E9280" s="23"/>
      <c r="F9280" s="23"/>
    </row>
    <row r="9281" spans="1:8" x14ac:dyDescent="0.3">
      <c r="A9281" s="22" t="s">
        <v>57</v>
      </c>
      <c r="B9281" t="s">
        <v>66</v>
      </c>
      <c r="C9281" s="23" t="s">
        <v>58</v>
      </c>
      <c r="D9281" s="23" t="s">
        <v>59</v>
      </c>
      <c r="E9281" s="23" t="s">
        <v>60</v>
      </c>
      <c r="F9281" s="23" t="s">
        <v>61</v>
      </c>
      <c r="G9281" t="s">
        <v>62</v>
      </c>
      <c r="H9281" t="s">
        <v>63</v>
      </c>
    </row>
    <row r="9282" spans="1:8" x14ac:dyDescent="0.3">
      <c r="A9282" s="22" t="s">
        <v>64</v>
      </c>
      <c r="B9282" t="s">
        <v>67</v>
      </c>
      <c r="C9282" s="23">
        <v>0.1895664660951521</v>
      </c>
      <c r="D9282" s="23">
        <v>0.22546012269938701</v>
      </c>
      <c r="E9282" s="23">
        <v>6.4102564102564097E-2</v>
      </c>
      <c r="F9282" s="23">
        <v>0.37037037037037002</v>
      </c>
      <c r="G9282">
        <v>7</v>
      </c>
      <c r="H9282">
        <v>7</v>
      </c>
    </row>
    <row r="9283" spans="1:8" x14ac:dyDescent="0.3">
      <c r="C9283" s="23"/>
      <c r="D9283" s="23"/>
      <c r="E9283" s="23"/>
      <c r="F9283" s="23"/>
    </row>
    <row r="9284" spans="1:8" ht="72" x14ac:dyDescent="0.3">
      <c r="A9284" s="22" t="s">
        <v>1993</v>
      </c>
      <c r="C9284" s="23"/>
      <c r="D9284" s="23"/>
      <c r="E9284" s="23"/>
      <c r="F9284" s="23"/>
    </row>
    <row r="9285" spans="1:8" x14ac:dyDescent="0.3">
      <c r="A9285" s="22" t="s">
        <v>57</v>
      </c>
      <c r="B9285" t="s">
        <v>66</v>
      </c>
      <c r="C9285" s="23" t="s">
        <v>58</v>
      </c>
      <c r="D9285" s="23" t="s">
        <v>59</v>
      </c>
      <c r="E9285" s="23" t="s">
        <v>60</v>
      </c>
      <c r="F9285" s="23" t="s">
        <v>61</v>
      </c>
      <c r="G9285" t="s">
        <v>62</v>
      </c>
      <c r="H9285" t="s">
        <v>63</v>
      </c>
    </row>
    <row r="9286" spans="1:8" x14ac:dyDescent="0.3">
      <c r="A9286" s="22" t="s">
        <v>64</v>
      </c>
      <c r="B9286" t="s">
        <v>67</v>
      </c>
      <c r="C9286" s="23">
        <v>0.25593542260208912</v>
      </c>
      <c r="D9286" s="23">
        <v>0.37037037037037002</v>
      </c>
      <c r="E9286" s="23">
        <v>6.4102564102564097E-2</v>
      </c>
      <c r="F9286" s="23">
        <v>0.37037037037037002</v>
      </c>
      <c r="G9286">
        <v>3</v>
      </c>
      <c r="H9286">
        <v>7</v>
      </c>
    </row>
    <row r="9287" spans="1:8" x14ac:dyDescent="0.3">
      <c r="A9287" s="22" t="s">
        <v>64</v>
      </c>
      <c r="B9287" t="s">
        <v>68</v>
      </c>
      <c r="C9287" s="23">
        <v>0.1397897487149494</v>
      </c>
      <c r="D9287" s="23">
        <v>0.12327416173569999</v>
      </c>
      <c r="E9287" s="23">
        <v>6.7567567567567599E-2</v>
      </c>
      <c r="F9287" s="23">
        <v>0.22546012269938701</v>
      </c>
      <c r="G9287">
        <v>4</v>
      </c>
      <c r="H9287">
        <v>7</v>
      </c>
    </row>
    <row r="9288" spans="1:8" x14ac:dyDescent="0.3">
      <c r="C9288" s="23"/>
      <c r="D9288" s="23"/>
      <c r="E9288" s="23"/>
      <c r="F9288" s="23"/>
    </row>
    <row r="9289" spans="1:8" ht="72" x14ac:dyDescent="0.3">
      <c r="A9289" s="22" t="s">
        <v>1994</v>
      </c>
      <c r="C9289" s="23"/>
      <c r="D9289" s="23"/>
      <c r="E9289" s="23"/>
      <c r="F9289" s="23"/>
    </row>
    <row r="9290" spans="1:8" x14ac:dyDescent="0.3">
      <c r="A9290" s="22" t="s">
        <v>57</v>
      </c>
      <c r="B9290" t="s">
        <v>66</v>
      </c>
      <c r="C9290" s="23" t="s">
        <v>58</v>
      </c>
      <c r="D9290" s="23" t="s">
        <v>59</v>
      </c>
      <c r="E9290" s="23" t="s">
        <v>60</v>
      </c>
      <c r="F9290" s="23" t="s">
        <v>61</v>
      </c>
      <c r="G9290" t="s">
        <v>62</v>
      </c>
      <c r="H9290" t="s">
        <v>63</v>
      </c>
    </row>
    <row r="9291" spans="1:8" x14ac:dyDescent="0.3">
      <c r="A9291" s="22" t="s">
        <v>64</v>
      </c>
      <c r="B9291" t="s">
        <v>67</v>
      </c>
      <c r="C9291" s="23">
        <v>0.1895664660951521</v>
      </c>
      <c r="D9291" s="23">
        <v>0.22546012269938701</v>
      </c>
      <c r="E9291" s="23">
        <v>6.4102564102564097E-2</v>
      </c>
      <c r="F9291" s="23">
        <v>0.37037037037037002</v>
      </c>
      <c r="G9291">
        <v>7</v>
      </c>
      <c r="H9291">
        <v>7</v>
      </c>
    </row>
    <row r="9292" spans="1:8" x14ac:dyDescent="0.3">
      <c r="C9292" s="23"/>
      <c r="D9292" s="23"/>
      <c r="E9292" s="23"/>
      <c r="F9292" s="23"/>
    </row>
    <row r="9293" spans="1:8" ht="57.6" x14ac:dyDescent="0.3">
      <c r="A9293" s="22" t="s">
        <v>1995</v>
      </c>
      <c r="C9293" s="23"/>
      <c r="D9293" s="23"/>
      <c r="E9293" s="23"/>
      <c r="F9293" s="23"/>
    </row>
    <row r="9294" spans="1:8" x14ac:dyDescent="0.3">
      <c r="A9294" s="22" t="s">
        <v>57</v>
      </c>
      <c r="B9294" t="s">
        <v>66</v>
      </c>
      <c r="C9294" s="23" t="s">
        <v>58</v>
      </c>
      <c r="D9294" s="23" t="s">
        <v>59</v>
      </c>
      <c r="E9294" s="23" t="s">
        <v>60</v>
      </c>
      <c r="F9294" s="23" t="s">
        <v>61</v>
      </c>
      <c r="G9294" t="s">
        <v>62</v>
      </c>
      <c r="H9294" t="s">
        <v>63</v>
      </c>
    </row>
    <row r="9295" spans="1:8" x14ac:dyDescent="0.3">
      <c r="A9295" s="22" t="s">
        <v>64</v>
      </c>
      <c r="B9295" t="s">
        <v>81</v>
      </c>
      <c r="C9295" s="23">
        <v>0.22546012269938701</v>
      </c>
      <c r="D9295" s="23">
        <v>0.22546012269938701</v>
      </c>
      <c r="E9295" s="23">
        <v>0.22546012269938701</v>
      </c>
      <c r="F9295" s="23">
        <v>0.22546012269938701</v>
      </c>
      <c r="G9295">
        <v>1</v>
      </c>
      <c r="H9295">
        <v>7</v>
      </c>
    </row>
    <row r="9296" spans="1:8" x14ac:dyDescent="0.3">
      <c r="A9296" s="22" t="s">
        <v>64</v>
      </c>
      <c r="B9296" t="s">
        <v>83</v>
      </c>
      <c r="C9296" s="23">
        <v>0.19172959942190701</v>
      </c>
      <c r="D9296" s="23">
        <v>0.33333333333333298</v>
      </c>
      <c r="E9296" s="23">
        <v>6.4102564102564097E-2</v>
      </c>
      <c r="F9296" s="23">
        <v>0.37037037037037002</v>
      </c>
      <c r="G9296">
        <v>5</v>
      </c>
      <c r="H9296">
        <v>7</v>
      </c>
    </row>
    <row r="9297" spans="1:8" x14ac:dyDescent="0.3">
      <c r="A9297" s="22" t="s">
        <v>64</v>
      </c>
      <c r="B9297" t="s">
        <v>84</v>
      </c>
      <c r="C9297" s="23">
        <v>0.14285714285714299</v>
      </c>
      <c r="D9297" s="23">
        <v>0.14285714285714299</v>
      </c>
      <c r="E9297" s="23">
        <v>0.14285714285714299</v>
      </c>
      <c r="F9297" s="23">
        <v>0.14285714285714299</v>
      </c>
      <c r="G9297">
        <v>1</v>
      </c>
      <c r="H9297">
        <v>7</v>
      </c>
    </row>
    <row r="9298" spans="1:8" x14ac:dyDescent="0.3">
      <c r="C9298" s="23"/>
      <c r="D9298" s="23"/>
      <c r="E9298" s="23"/>
      <c r="F9298" s="23"/>
    </row>
    <row r="9299" spans="1:8" ht="57.6" x14ac:dyDescent="0.3">
      <c r="A9299" s="22" t="s">
        <v>1996</v>
      </c>
      <c r="C9299" s="23"/>
      <c r="D9299" s="23"/>
      <c r="E9299" s="23"/>
      <c r="F9299" s="23"/>
    </row>
    <row r="9300" spans="1:8" x14ac:dyDescent="0.3">
      <c r="A9300" s="22" t="s">
        <v>57</v>
      </c>
      <c r="B9300" t="s">
        <v>58</v>
      </c>
      <c r="C9300" t="s">
        <v>59</v>
      </c>
      <c r="D9300" t="s">
        <v>60</v>
      </c>
      <c r="E9300" t="s">
        <v>61</v>
      </c>
      <c r="F9300" t="s">
        <v>62</v>
      </c>
      <c r="G9300" t="s">
        <v>63</v>
      </c>
    </row>
    <row r="9301" spans="1:8" x14ac:dyDescent="0.3">
      <c r="A9301" s="22" t="s">
        <v>64</v>
      </c>
      <c r="B9301" s="23">
        <v>9.4352971443272496E-2</v>
      </c>
      <c r="C9301" s="23">
        <v>1.4792899408284E-2</v>
      </c>
      <c r="D9301" s="23">
        <v>1.4792899408284E-2</v>
      </c>
      <c r="E9301" s="23">
        <v>0.173913043478261</v>
      </c>
      <c r="F9301">
        <v>2</v>
      </c>
      <c r="G9301">
        <v>2</v>
      </c>
    </row>
    <row r="9302" spans="1:8" x14ac:dyDescent="0.3">
      <c r="C9302" s="23"/>
      <c r="D9302" s="23"/>
      <c r="E9302" s="23"/>
      <c r="F9302" s="23"/>
    </row>
    <row r="9303" spans="1:8" ht="72" x14ac:dyDescent="0.3">
      <c r="A9303" s="22" t="s">
        <v>1997</v>
      </c>
      <c r="C9303" s="23"/>
      <c r="D9303" s="23"/>
      <c r="E9303" s="23"/>
      <c r="F9303" s="23"/>
    </row>
    <row r="9304" spans="1:8" x14ac:dyDescent="0.3">
      <c r="A9304" s="22" t="s">
        <v>57</v>
      </c>
      <c r="B9304" t="s">
        <v>66</v>
      </c>
      <c r="C9304" s="23" t="s">
        <v>58</v>
      </c>
      <c r="D9304" s="23" t="s">
        <v>59</v>
      </c>
      <c r="E9304" s="23" t="s">
        <v>60</v>
      </c>
      <c r="F9304" s="23" t="s">
        <v>61</v>
      </c>
      <c r="G9304" t="s">
        <v>62</v>
      </c>
      <c r="H9304" t="s">
        <v>63</v>
      </c>
    </row>
    <row r="9305" spans="1:8" x14ac:dyDescent="0.3">
      <c r="A9305" s="22" t="s">
        <v>64</v>
      </c>
      <c r="B9305" t="s">
        <v>67</v>
      </c>
      <c r="C9305" s="23">
        <v>9.4352971443272496E-2</v>
      </c>
      <c r="D9305" s="23">
        <v>1.4792899408284E-2</v>
      </c>
      <c r="E9305" s="23">
        <v>1.4792899408284E-2</v>
      </c>
      <c r="F9305" s="23">
        <v>0.173913043478261</v>
      </c>
      <c r="G9305">
        <v>2</v>
      </c>
      <c r="H9305">
        <v>2</v>
      </c>
    </row>
    <row r="9306" spans="1:8" x14ac:dyDescent="0.3">
      <c r="C9306" s="23"/>
      <c r="D9306" s="23"/>
      <c r="E9306" s="23"/>
      <c r="F9306" s="23"/>
    </row>
    <row r="9307" spans="1:8" x14ac:dyDescent="0.3">
      <c r="A9307"/>
      <c r="C9307" s="23"/>
      <c r="D9307" s="23"/>
      <c r="E9307" s="23"/>
      <c r="F9307" s="23"/>
    </row>
    <row r="9308" spans="1:8" x14ac:dyDescent="0.3">
      <c r="A9308"/>
      <c r="C9308" s="23"/>
      <c r="D9308" s="23"/>
      <c r="E9308" s="23"/>
      <c r="F9308" s="23"/>
    </row>
    <row r="9309" spans="1:8" x14ac:dyDescent="0.3">
      <c r="A9309"/>
      <c r="C9309" s="23"/>
      <c r="D9309" s="23"/>
      <c r="E9309" s="23"/>
      <c r="F9309" s="23"/>
    </row>
    <row r="9310" spans="1:8" x14ac:dyDescent="0.3">
      <c r="A9310"/>
      <c r="C9310" s="23"/>
      <c r="D9310" s="23"/>
      <c r="E9310" s="23"/>
      <c r="F9310" s="23"/>
    </row>
    <row r="9311" spans="1:8" ht="72" x14ac:dyDescent="0.3">
      <c r="A9311" s="22" t="s">
        <v>1998</v>
      </c>
      <c r="C9311" s="23"/>
      <c r="D9311" s="23"/>
      <c r="E9311" s="23"/>
      <c r="F9311" s="23"/>
    </row>
    <row r="9312" spans="1:8" x14ac:dyDescent="0.3">
      <c r="A9312" s="22" t="s">
        <v>57</v>
      </c>
      <c r="B9312" t="s">
        <v>66</v>
      </c>
      <c r="C9312" s="23" t="s">
        <v>58</v>
      </c>
      <c r="D9312" s="23" t="s">
        <v>59</v>
      </c>
      <c r="E9312" s="23" t="s">
        <v>60</v>
      </c>
      <c r="F9312" s="23" t="s">
        <v>61</v>
      </c>
      <c r="G9312" t="s">
        <v>62</v>
      </c>
      <c r="H9312" t="s">
        <v>63</v>
      </c>
    </row>
    <row r="9313" spans="1:8" x14ac:dyDescent="0.3">
      <c r="A9313" s="22" t="s">
        <v>64</v>
      </c>
      <c r="B9313" t="s">
        <v>67</v>
      </c>
      <c r="C9313" s="23">
        <v>9.4352971443272496E-2</v>
      </c>
      <c r="D9313" s="23">
        <v>1.4792899408284E-2</v>
      </c>
      <c r="E9313" s="23">
        <v>1.4792899408284E-2</v>
      </c>
      <c r="F9313" s="23">
        <v>0.173913043478261</v>
      </c>
      <c r="G9313">
        <v>2</v>
      </c>
      <c r="H9313">
        <v>2</v>
      </c>
    </row>
    <row r="9314" spans="1:8" x14ac:dyDescent="0.3">
      <c r="C9314" s="23"/>
      <c r="D9314" s="23"/>
      <c r="E9314" s="23"/>
      <c r="F9314" s="23"/>
    </row>
    <row r="9315" spans="1:8" ht="72" x14ac:dyDescent="0.3">
      <c r="A9315" s="22" t="s">
        <v>1999</v>
      </c>
      <c r="C9315" s="23"/>
      <c r="D9315" s="23"/>
      <c r="E9315" s="23"/>
      <c r="F9315" s="23"/>
    </row>
    <row r="9316" spans="1:8" x14ac:dyDescent="0.3">
      <c r="A9316" s="22" t="s">
        <v>57</v>
      </c>
      <c r="B9316" t="s">
        <v>66</v>
      </c>
      <c r="C9316" s="23" t="s">
        <v>58</v>
      </c>
      <c r="D9316" s="23" t="s">
        <v>59</v>
      </c>
      <c r="E9316" s="23" t="s">
        <v>60</v>
      </c>
      <c r="F9316" s="23" t="s">
        <v>61</v>
      </c>
      <c r="G9316" t="s">
        <v>62</v>
      </c>
      <c r="H9316" t="s">
        <v>63</v>
      </c>
    </row>
    <row r="9317" spans="1:8" x14ac:dyDescent="0.3">
      <c r="A9317" s="22" t="s">
        <v>64</v>
      </c>
      <c r="B9317" t="s">
        <v>67</v>
      </c>
      <c r="C9317" s="23">
        <v>9.4352971443272496E-2</v>
      </c>
      <c r="D9317" s="23">
        <v>1.4792899408284E-2</v>
      </c>
      <c r="E9317" s="23">
        <v>1.4792899408284E-2</v>
      </c>
      <c r="F9317" s="23">
        <v>0.173913043478261</v>
      </c>
      <c r="G9317">
        <v>2</v>
      </c>
      <c r="H9317">
        <v>2</v>
      </c>
    </row>
    <row r="9318" spans="1:8" x14ac:dyDescent="0.3">
      <c r="C9318" s="23"/>
      <c r="D9318" s="23"/>
      <c r="E9318" s="23"/>
      <c r="F9318" s="23"/>
    </row>
    <row r="9319" spans="1:8" ht="72" x14ac:dyDescent="0.3">
      <c r="A9319" s="22" t="s">
        <v>2000</v>
      </c>
      <c r="C9319" s="23"/>
      <c r="D9319" s="23"/>
      <c r="E9319" s="23"/>
      <c r="F9319" s="23"/>
    </row>
    <row r="9320" spans="1:8" x14ac:dyDescent="0.3">
      <c r="A9320" s="22" t="s">
        <v>57</v>
      </c>
      <c r="B9320" t="s">
        <v>66</v>
      </c>
      <c r="C9320" s="23" t="s">
        <v>58</v>
      </c>
      <c r="D9320" s="23" t="s">
        <v>59</v>
      </c>
      <c r="E9320" s="23" t="s">
        <v>60</v>
      </c>
      <c r="F9320" s="23" t="s">
        <v>61</v>
      </c>
      <c r="G9320" t="s">
        <v>62</v>
      </c>
      <c r="H9320" t="s">
        <v>63</v>
      </c>
    </row>
    <row r="9321" spans="1:8" x14ac:dyDescent="0.3">
      <c r="A9321" s="22" t="s">
        <v>64</v>
      </c>
      <c r="B9321" t="s">
        <v>67</v>
      </c>
      <c r="C9321" s="23">
        <v>9.4352971443272496E-2</v>
      </c>
      <c r="D9321" s="23">
        <v>1.4792899408284E-2</v>
      </c>
      <c r="E9321" s="23">
        <v>1.4792899408284E-2</v>
      </c>
      <c r="F9321" s="23">
        <v>0.173913043478261</v>
      </c>
      <c r="G9321">
        <v>2</v>
      </c>
      <c r="H9321">
        <v>2</v>
      </c>
    </row>
    <row r="9322" spans="1:8" x14ac:dyDescent="0.3">
      <c r="C9322" s="23"/>
      <c r="D9322" s="23"/>
      <c r="E9322" s="23"/>
      <c r="F9322" s="23"/>
    </row>
    <row r="9323" spans="1:8" ht="72" x14ac:dyDescent="0.3">
      <c r="A9323" s="22" t="s">
        <v>2001</v>
      </c>
      <c r="C9323" s="23"/>
      <c r="D9323" s="23"/>
      <c r="E9323" s="23"/>
      <c r="F9323" s="23"/>
    </row>
    <row r="9324" spans="1:8" x14ac:dyDescent="0.3">
      <c r="A9324" s="22" t="s">
        <v>57</v>
      </c>
      <c r="B9324" t="s">
        <v>66</v>
      </c>
      <c r="C9324" s="23" t="s">
        <v>58</v>
      </c>
      <c r="D9324" s="23" t="s">
        <v>59</v>
      </c>
      <c r="E9324" s="23" t="s">
        <v>60</v>
      </c>
      <c r="F9324" s="23" t="s">
        <v>61</v>
      </c>
      <c r="G9324" t="s">
        <v>62</v>
      </c>
      <c r="H9324" t="s">
        <v>63</v>
      </c>
    </row>
    <row r="9325" spans="1:8" x14ac:dyDescent="0.3">
      <c r="A9325" s="22" t="s">
        <v>64</v>
      </c>
      <c r="B9325" t="s">
        <v>68</v>
      </c>
      <c r="C9325" s="23">
        <v>9.4352971443272496E-2</v>
      </c>
      <c r="D9325" s="23">
        <v>1.4792899408284E-2</v>
      </c>
      <c r="E9325" s="23">
        <v>1.4792899408284E-2</v>
      </c>
      <c r="F9325" s="23">
        <v>0.173913043478261</v>
      </c>
      <c r="G9325">
        <v>2</v>
      </c>
      <c r="H9325">
        <v>2</v>
      </c>
    </row>
    <row r="9326" spans="1:8" x14ac:dyDescent="0.3">
      <c r="C9326" s="23"/>
      <c r="D9326" s="23"/>
      <c r="E9326" s="23"/>
      <c r="F9326" s="23"/>
    </row>
    <row r="9327" spans="1:8" ht="72" x14ac:dyDescent="0.3">
      <c r="A9327" s="22" t="s">
        <v>2002</v>
      </c>
      <c r="C9327" s="23"/>
      <c r="D9327" s="23"/>
      <c r="E9327" s="23"/>
      <c r="F9327" s="23"/>
    </row>
    <row r="9328" spans="1:8" x14ac:dyDescent="0.3">
      <c r="A9328" s="22" t="s">
        <v>57</v>
      </c>
      <c r="B9328" t="s">
        <v>66</v>
      </c>
      <c r="C9328" s="23" t="s">
        <v>58</v>
      </c>
      <c r="D9328" s="23" t="s">
        <v>59</v>
      </c>
      <c r="E9328" s="23" t="s">
        <v>60</v>
      </c>
      <c r="F9328" s="23" t="s">
        <v>61</v>
      </c>
      <c r="G9328" t="s">
        <v>62</v>
      </c>
      <c r="H9328" t="s">
        <v>63</v>
      </c>
    </row>
    <row r="9329" spans="1:8" x14ac:dyDescent="0.3">
      <c r="A9329" s="22" t="s">
        <v>64</v>
      </c>
      <c r="B9329" t="s">
        <v>67</v>
      </c>
      <c r="C9329" s="23">
        <v>1.4792899408284E-2</v>
      </c>
      <c r="D9329" s="23">
        <v>1.4792899408284E-2</v>
      </c>
      <c r="E9329" s="23">
        <v>1.4792899408284E-2</v>
      </c>
      <c r="F9329" s="23">
        <v>1.4792899408284E-2</v>
      </c>
      <c r="G9329">
        <v>1</v>
      </c>
      <c r="H9329">
        <v>2</v>
      </c>
    </row>
    <row r="9330" spans="1:8" x14ac:dyDescent="0.3">
      <c r="A9330" s="22" t="s">
        <v>64</v>
      </c>
      <c r="B9330" t="s">
        <v>68</v>
      </c>
      <c r="C9330" s="23">
        <v>0.173913043478261</v>
      </c>
      <c r="D9330" s="23">
        <v>0.173913043478261</v>
      </c>
      <c r="E9330" s="23">
        <v>0.173913043478261</v>
      </c>
      <c r="F9330" s="23">
        <v>0.173913043478261</v>
      </c>
      <c r="G9330">
        <v>1</v>
      </c>
      <c r="H9330">
        <v>2</v>
      </c>
    </row>
    <row r="9331" spans="1:8" x14ac:dyDescent="0.3">
      <c r="C9331" s="23"/>
      <c r="D9331" s="23"/>
      <c r="E9331" s="23"/>
      <c r="F9331" s="23"/>
    </row>
    <row r="9332" spans="1:8" ht="72" x14ac:dyDescent="0.3">
      <c r="A9332" s="22" t="s">
        <v>2003</v>
      </c>
      <c r="C9332" s="23"/>
      <c r="D9332" s="23"/>
      <c r="E9332" s="23"/>
      <c r="F9332" s="23"/>
    </row>
    <row r="9333" spans="1:8" x14ac:dyDescent="0.3">
      <c r="A9333" s="22" t="s">
        <v>57</v>
      </c>
      <c r="B9333" t="s">
        <v>66</v>
      </c>
      <c r="C9333" s="23" t="s">
        <v>58</v>
      </c>
      <c r="D9333" s="23" t="s">
        <v>59</v>
      </c>
      <c r="E9333" s="23" t="s">
        <v>60</v>
      </c>
      <c r="F9333" s="23" t="s">
        <v>61</v>
      </c>
      <c r="G9333" t="s">
        <v>62</v>
      </c>
      <c r="H9333" t="s">
        <v>63</v>
      </c>
    </row>
    <row r="9334" spans="1:8" x14ac:dyDescent="0.3">
      <c r="A9334" s="22" t="s">
        <v>64</v>
      </c>
      <c r="B9334" t="s">
        <v>67</v>
      </c>
      <c r="C9334" s="23">
        <v>0.173913043478261</v>
      </c>
      <c r="D9334" s="23">
        <v>0.173913043478261</v>
      </c>
      <c r="E9334" s="23">
        <v>0.173913043478261</v>
      </c>
      <c r="F9334" s="23">
        <v>0.173913043478261</v>
      </c>
      <c r="G9334">
        <v>1</v>
      </c>
      <c r="H9334">
        <v>2</v>
      </c>
    </row>
    <row r="9335" spans="1:8" x14ac:dyDescent="0.3">
      <c r="A9335" s="22" t="s">
        <v>64</v>
      </c>
      <c r="B9335" t="s">
        <v>68</v>
      </c>
      <c r="C9335" s="23">
        <v>1.4792899408284E-2</v>
      </c>
      <c r="D9335" s="23">
        <v>1.4792899408284E-2</v>
      </c>
      <c r="E9335" s="23">
        <v>1.4792899408284E-2</v>
      </c>
      <c r="F9335" s="23">
        <v>1.4792899408284E-2</v>
      </c>
      <c r="G9335">
        <v>1</v>
      </c>
      <c r="H9335">
        <v>2</v>
      </c>
    </row>
    <row r="9336" spans="1:8" x14ac:dyDescent="0.3">
      <c r="C9336" s="23"/>
      <c r="D9336" s="23"/>
      <c r="E9336" s="23"/>
      <c r="F9336" s="23"/>
    </row>
    <row r="9337" spans="1:8" ht="72" x14ac:dyDescent="0.3">
      <c r="A9337" s="22" t="s">
        <v>2004</v>
      </c>
      <c r="C9337" s="23"/>
      <c r="D9337" s="23"/>
      <c r="E9337" s="23"/>
      <c r="F9337" s="23"/>
    </row>
    <row r="9338" spans="1:8" x14ac:dyDescent="0.3">
      <c r="A9338" s="22" t="s">
        <v>57</v>
      </c>
      <c r="B9338" t="s">
        <v>66</v>
      </c>
      <c r="C9338" s="23" t="s">
        <v>58</v>
      </c>
      <c r="D9338" s="23" t="s">
        <v>59</v>
      </c>
      <c r="E9338" s="23" t="s">
        <v>60</v>
      </c>
      <c r="F9338" s="23" t="s">
        <v>61</v>
      </c>
      <c r="G9338" t="s">
        <v>62</v>
      </c>
      <c r="H9338" t="s">
        <v>63</v>
      </c>
    </row>
    <row r="9339" spans="1:8" x14ac:dyDescent="0.3">
      <c r="A9339" s="22" t="s">
        <v>64</v>
      </c>
      <c r="B9339" t="s">
        <v>67</v>
      </c>
      <c r="C9339" s="23">
        <v>9.4352971443272496E-2</v>
      </c>
      <c r="D9339" s="23">
        <v>1.4792899408284E-2</v>
      </c>
      <c r="E9339" s="23">
        <v>1.4792899408284E-2</v>
      </c>
      <c r="F9339" s="23">
        <v>0.173913043478261</v>
      </c>
      <c r="G9339">
        <v>2</v>
      </c>
      <c r="H9339">
        <v>2</v>
      </c>
    </row>
    <row r="9340" spans="1:8" x14ac:dyDescent="0.3">
      <c r="C9340" s="23"/>
      <c r="D9340" s="23"/>
      <c r="E9340" s="23"/>
      <c r="F9340" s="23"/>
    </row>
    <row r="9341" spans="1:8" ht="86.4" x14ac:dyDescent="0.3">
      <c r="A9341" s="22" t="s">
        <v>2005</v>
      </c>
      <c r="C9341" s="23"/>
      <c r="D9341" s="23"/>
      <c r="E9341" s="23"/>
      <c r="F9341" s="23"/>
    </row>
    <row r="9342" spans="1:8" x14ac:dyDescent="0.3">
      <c r="A9342" s="22" t="s">
        <v>57</v>
      </c>
      <c r="B9342" t="s">
        <v>66</v>
      </c>
      <c r="C9342" s="23" t="s">
        <v>58</v>
      </c>
      <c r="D9342" s="23" t="s">
        <v>59</v>
      </c>
      <c r="E9342" s="23" t="s">
        <v>60</v>
      </c>
      <c r="F9342" s="23" t="s">
        <v>61</v>
      </c>
      <c r="G9342" t="s">
        <v>62</v>
      </c>
      <c r="H9342" t="s">
        <v>63</v>
      </c>
    </row>
    <row r="9343" spans="1:8" x14ac:dyDescent="0.3">
      <c r="A9343" s="22" t="s">
        <v>64</v>
      </c>
      <c r="B9343" t="s">
        <v>67</v>
      </c>
      <c r="C9343" s="23">
        <v>0.173913043478261</v>
      </c>
      <c r="D9343" s="23">
        <v>0.173913043478261</v>
      </c>
      <c r="E9343" s="23">
        <v>0.173913043478261</v>
      </c>
      <c r="F9343" s="23">
        <v>0.173913043478261</v>
      </c>
      <c r="G9343">
        <v>1</v>
      </c>
      <c r="H9343">
        <v>2</v>
      </c>
    </row>
    <row r="9344" spans="1:8" x14ac:dyDescent="0.3">
      <c r="A9344" s="22" t="s">
        <v>64</v>
      </c>
      <c r="B9344" t="s">
        <v>68</v>
      </c>
      <c r="C9344" s="23">
        <v>1.4792899408284E-2</v>
      </c>
      <c r="D9344" s="23">
        <v>1.4792899408284E-2</v>
      </c>
      <c r="E9344" s="23">
        <v>1.4792899408284E-2</v>
      </c>
      <c r="F9344" s="23">
        <v>1.4792899408284E-2</v>
      </c>
      <c r="G9344">
        <v>1</v>
      </c>
      <c r="H9344">
        <v>2</v>
      </c>
    </row>
    <row r="9345" spans="1:8" x14ac:dyDescent="0.3">
      <c r="C9345" s="23"/>
      <c r="D9345" s="23"/>
      <c r="E9345" s="23"/>
      <c r="F9345" s="23"/>
    </row>
    <row r="9346" spans="1:8" ht="86.4" x14ac:dyDescent="0.3">
      <c r="A9346" s="22" t="s">
        <v>2006</v>
      </c>
      <c r="C9346" s="23"/>
      <c r="D9346" s="23"/>
      <c r="E9346" s="23"/>
      <c r="F9346" s="23"/>
    </row>
    <row r="9347" spans="1:8" x14ac:dyDescent="0.3">
      <c r="A9347" s="22" t="s">
        <v>57</v>
      </c>
      <c r="B9347" t="s">
        <v>66</v>
      </c>
      <c r="C9347" s="23" t="s">
        <v>58</v>
      </c>
      <c r="D9347" s="23" t="s">
        <v>59</v>
      </c>
      <c r="E9347" s="23" t="s">
        <v>60</v>
      </c>
      <c r="F9347" s="23" t="s">
        <v>61</v>
      </c>
      <c r="G9347" t="s">
        <v>62</v>
      </c>
      <c r="H9347" t="s">
        <v>63</v>
      </c>
    </row>
    <row r="9348" spans="1:8" x14ac:dyDescent="0.3">
      <c r="A9348" s="22" t="s">
        <v>64</v>
      </c>
      <c r="B9348" t="s">
        <v>67</v>
      </c>
      <c r="C9348" s="23">
        <v>9.4352971443272496E-2</v>
      </c>
      <c r="D9348" s="23">
        <v>1.4792899408284E-2</v>
      </c>
      <c r="E9348" s="23">
        <v>1.4792899408284E-2</v>
      </c>
      <c r="F9348" s="23">
        <v>0.173913043478261</v>
      </c>
      <c r="G9348">
        <v>2</v>
      </c>
      <c r="H9348">
        <v>2</v>
      </c>
    </row>
    <row r="9349" spans="1:8" x14ac:dyDescent="0.3">
      <c r="C9349" s="23"/>
      <c r="D9349" s="23"/>
      <c r="E9349" s="23"/>
      <c r="F9349" s="23"/>
    </row>
    <row r="9350" spans="1:8" ht="72" x14ac:dyDescent="0.3">
      <c r="A9350" s="22" t="s">
        <v>2007</v>
      </c>
      <c r="C9350" s="23"/>
      <c r="D9350" s="23"/>
      <c r="E9350" s="23"/>
      <c r="F9350" s="23"/>
    </row>
    <row r="9351" spans="1:8" x14ac:dyDescent="0.3">
      <c r="A9351" s="22" t="s">
        <v>57</v>
      </c>
      <c r="B9351" t="s">
        <v>66</v>
      </c>
      <c r="C9351" s="23" t="s">
        <v>58</v>
      </c>
      <c r="D9351" s="23" t="s">
        <v>59</v>
      </c>
      <c r="E9351" s="23" t="s">
        <v>60</v>
      </c>
      <c r="F9351" s="23" t="s">
        <v>61</v>
      </c>
      <c r="G9351" t="s">
        <v>62</v>
      </c>
      <c r="H9351" t="s">
        <v>63</v>
      </c>
    </row>
    <row r="9352" spans="1:8" x14ac:dyDescent="0.3">
      <c r="A9352" s="22" t="s">
        <v>64</v>
      </c>
      <c r="B9352" t="s">
        <v>67</v>
      </c>
      <c r="C9352" s="23">
        <v>0.173913043478261</v>
      </c>
      <c r="D9352" s="23">
        <v>0.173913043478261</v>
      </c>
      <c r="E9352" s="23">
        <v>0.173913043478261</v>
      </c>
      <c r="F9352" s="23">
        <v>0.173913043478261</v>
      </c>
      <c r="G9352">
        <v>1</v>
      </c>
      <c r="H9352">
        <v>2</v>
      </c>
    </row>
    <row r="9353" spans="1:8" x14ac:dyDescent="0.3">
      <c r="A9353" s="22" t="s">
        <v>64</v>
      </c>
      <c r="B9353" t="s">
        <v>68</v>
      </c>
      <c r="C9353" s="23">
        <v>1.4792899408284E-2</v>
      </c>
      <c r="D9353" s="23">
        <v>1.4792899408284E-2</v>
      </c>
      <c r="E9353" s="23">
        <v>1.4792899408284E-2</v>
      </c>
      <c r="F9353" s="23">
        <v>1.4792899408284E-2</v>
      </c>
      <c r="G9353">
        <v>1</v>
      </c>
      <c r="H9353">
        <v>2</v>
      </c>
    </row>
    <row r="9354" spans="1:8" x14ac:dyDescent="0.3">
      <c r="C9354" s="23"/>
      <c r="D9354" s="23"/>
      <c r="E9354" s="23"/>
      <c r="F9354" s="23"/>
    </row>
    <row r="9355" spans="1:8" ht="86.4" x14ac:dyDescent="0.3">
      <c r="A9355" s="22" t="s">
        <v>2008</v>
      </c>
      <c r="C9355" s="23"/>
      <c r="D9355" s="23"/>
      <c r="E9355" s="23"/>
      <c r="F9355" s="23"/>
    </row>
    <row r="9356" spans="1:8" x14ac:dyDescent="0.3">
      <c r="A9356" s="22" t="s">
        <v>57</v>
      </c>
      <c r="B9356" t="s">
        <v>66</v>
      </c>
      <c r="C9356" s="23" t="s">
        <v>58</v>
      </c>
      <c r="D9356" s="23" t="s">
        <v>59</v>
      </c>
      <c r="E9356" s="23" t="s">
        <v>60</v>
      </c>
      <c r="F9356" s="23" t="s">
        <v>61</v>
      </c>
      <c r="G9356" t="s">
        <v>62</v>
      </c>
      <c r="H9356" t="s">
        <v>63</v>
      </c>
    </row>
    <row r="9357" spans="1:8" x14ac:dyDescent="0.3">
      <c r="A9357" s="22" t="s">
        <v>64</v>
      </c>
      <c r="B9357" t="s">
        <v>67</v>
      </c>
      <c r="C9357" s="23">
        <v>1.4792899408284E-2</v>
      </c>
      <c r="D9357" s="23">
        <v>1.4792899408284E-2</v>
      </c>
      <c r="E9357" s="23">
        <v>1.4792899408284E-2</v>
      </c>
      <c r="F9357" s="23">
        <v>1.4792899408284E-2</v>
      </c>
      <c r="G9357">
        <v>1</v>
      </c>
      <c r="H9357">
        <v>2</v>
      </c>
    </row>
    <row r="9358" spans="1:8" x14ac:dyDescent="0.3">
      <c r="A9358" s="22" t="s">
        <v>64</v>
      </c>
      <c r="B9358" t="s">
        <v>68</v>
      </c>
      <c r="C9358" s="23">
        <v>0.173913043478261</v>
      </c>
      <c r="D9358" s="23">
        <v>0.173913043478261</v>
      </c>
      <c r="E9358" s="23">
        <v>0.173913043478261</v>
      </c>
      <c r="F9358" s="23">
        <v>0.173913043478261</v>
      </c>
      <c r="G9358">
        <v>1</v>
      </c>
      <c r="H9358">
        <v>2</v>
      </c>
    </row>
    <row r="9359" spans="1:8" x14ac:dyDescent="0.3">
      <c r="C9359" s="23"/>
      <c r="D9359" s="23"/>
      <c r="E9359" s="23"/>
      <c r="F9359" s="23"/>
    </row>
    <row r="9360" spans="1:8" ht="72" x14ac:dyDescent="0.3">
      <c r="A9360" s="22" t="s">
        <v>2009</v>
      </c>
      <c r="C9360" s="23"/>
      <c r="D9360" s="23"/>
      <c r="E9360" s="23"/>
      <c r="F9360" s="23"/>
    </row>
    <row r="9361" spans="1:8" x14ac:dyDescent="0.3">
      <c r="A9361" s="22" t="s">
        <v>57</v>
      </c>
      <c r="B9361" t="s">
        <v>66</v>
      </c>
      <c r="C9361" s="23" t="s">
        <v>58</v>
      </c>
      <c r="D9361" s="23" t="s">
        <v>59</v>
      </c>
      <c r="E9361" s="23" t="s">
        <v>60</v>
      </c>
      <c r="F9361" s="23" t="s">
        <v>61</v>
      </c>
      <c r="G9361" t="s">
        <v>62</v>
      </c>
      <c r="H9361" t="s">
        <v>63</v>
      </c>
    </row>
    <row r="9362" spans="1:8" x14ac:dyDescent="0.3">
      <c r="A9362" s="22" t="s">
        <v>64</v>
      </c>
      <c r="B9362" t="s">
        <v>83</v>
      </c>
      <c r="C9362" s="23">
        <v>9.4352971443272496E-2</v>
      </c>
      <c r="D9362" s="23">
        <v>1.4792899408284E-2</v>
      </c>
      <c r="E9362" s="23">
        <v>1.4792899408284E-2</v>
      </c>
      <c r="F9362" s="23">
        <v>0.173913043478261</v>
      </c>
      <c r="G9362">
        <v>2</v>
      </c>
      <c r="H9362">
        <v>2</v>
      </c>
    </row>
    <row r="9364" spans="1:8" ht="57.6" x14ac:dyDescent="0.3">
      <c r="A9364" s="22" t="s">
        <v>2010</v>
      </c>
    </row>
    <row r="9365" spans="1:8" x14ac:dyDescent="0.3">
      <c r="A9365" s="22" t="s">
        <v>57</v>
      </c>
      <c r="B9365" t="s">
        <v>58</v>
      </c>
      <c r="C9365" t="s">
        <v>59</v>
      </c>
      <c r="D9365" t="s">
        <v>60</v>
      </c>
      <c r="E9365" t="s">
        <v>61</v>
      </c>
      <c r="F9365" t="s">
        <v>62</v>
      </c>
      <c r="G9365" t="s">
        <v>63</v>
      </c>
    </row>
    <row r="9366" spans="1:8" x14ac:dyDescent="0.3">
      <c r="A9366" s="22" t="s">
        <v>64</v>
      </c>
      <c r="B9366" s="23">
        <v>0.2209624467609313</v>
      </c>
      <c r="C9366" s="23">
        <v>0.17621145374449301</v>
      </c>
      <c r="D9366" s="23">
        <v>9.8619329388560193E-3</v>
      </c>
      <c r="E9366" s="23">
        <v>1</v>
      </c>
      <c r="F9366">
        <v>88</v>
      </c>
      <c r="G9366">
        <v>88</v>
      </c>
    </row>
    <row r="9368" spans="1:8" ht="72" x14ac:dyDescent="0.3">
      <c r="A9368" s="22" t="s">
        <v>2011</v>
      </c>
    </row>
    <row r="9369" spans="1:8" x14ac:dyDescent="0.3">
      <c r="A9369" s="22" t="s">
        <v>57</v>
      </c>
      <c r="B9369" t="s">
        <v>66</v>
      </c>
      <c r="C9369" s="23" t="s">
        <v>58</v>
      </c>
      <c r="D9369" s="23" t="s">
        <v>59</v>
      </c>
      <c r="E9369" s="23" t="s">
        <v>60</v>
      </c>
      <c r="F9369" s="23" t="s">
        <v>61</v>
      </c>
      <c r="G9369" t="s">
        <v>62</v>
      </c>
      <c r="H9369" t="s">
        <v>63</v>
      </c>
    </row>
    <row r="9370" spans="1:8" x14ac:dyDescent="0.3">
      <c r="A9370" s="22" t="s">
        <v>64</v>
      </c>
      <c r="B9370" t="s">
        <v>67</v>
      </c>
      <c r="C9370" s="23">
        <v>0.22328631212869801</v>
      </c>
      <c r="D9370" s="23">
        <v>0.17647058823529399</v>
      </c>
      <c r="E9370" s="23">
        <v>9.8619329388560193E-3</v>
      </c>
      <c r="F9370" s="23">
        <v>1</v>
      </c>
      <c r="G9370">
        <v>85</v>
      </c>
      <c r="H9370">
        <v>88</v>
      </c>
    </row>
    <row r="9371" spans="1:8" x14ac:dyDescent="0.3">
      <c r="A9371" s="22" t="s">
        <v>64</v>
      </c>
      <c r="B9371" t="s">
        <v>68</v>
      </c>
      <c r="C9371" s="23">
        <v>0.15511959467420769</v>
      </c>
      <c r="D9371" s="23">
        <v>0.217391304347826</v>
      </c>
      <c r="E9371" s="23">
        <v>8.1300813008130093E-2</v>
      </c>
      <c r="F9371" s="23">
        <v>0.217391304347826</v>
      </c>
      <c r="G9371">
        <v>3</v>
      </c>
      <c r="H9371">
        <v>88</v>
      </c>
    </row>
    <row r="9372" spans="1:8" x14ac:dyDescent="0.3">
      <c r="C9372" s="23"/>
      <c r="D9372" s="23"/>
      <c r="E9372" s="23"/>
      <c r="F9372" s="23"/>
    </row>
    <row r="9373" spans="1:8" x14ac:dyDescent="0.3">
      <c r="A9373"/>
      <c r="C9373" s="23"/>
      <c r="D9373" s="23"/>
      <c r="E9373" s="23"/>
      <c r="F9373" s="23"/>
    </row>
    <row r="9374" spans="1:8" x14ac:dyDescent="0.3">
      <c r="A9374"/>
      <c r="C9374" s="23"/>
      <c r="D9374" s="23"/>
      <c r="E9374" s="23"/>
      <c r="F9374" s="23"/>
    </row>
    <row r="9375" spans="1:8" x14ac:dyDescent="0.3">
      <c r="A9375"/>
      <c r="C9375" s="23"/>
      <c r="D9375" s="23"/>
      <c r="E9375" s="23"/>
      <c r="F9375" s="23"/>
    </row>
    <row r="9376" spans="1:8" x14ac:dyDescent="0.3">
      <c r="C9376" s="23"/>
      <c r="D9376" s="23"/>
      <c r="E9376" s="23"/>
      <c r="F9376" s="23"/>
    </row>
    <row r="9377" spans="1:8" ht="72" x14ac:dyDescent="0.3">
      <c r="A9377" s="22" t="s">
        <v>2012</v>
      </c>
      <c r="C9377" s="23"/>
      <c r="D9377" s="23"/>
      <c r="E9377" s="23"/>
      <c r="F9377" s="23"/>
    </row>
    <row r="9378" spans="1:8" x14ac:dyDescent="0.3">
      <c r="A9378" s="22" t="s">
        <v>57</v>
      </c>
      <c r="B9378" t="s">
        <v>66</v>
      </c>
      <c r="C9378" s="23" t="s">
        <v>58</v>
      </c>
      <c r="D9378" s="23" t="s">
        <v>59</v>
      </c>
      <c r="E9378" s="23" t="s">
        <v>60</v>
      </c>
      <c r="F9378" s="23" t="s">
        <v>61</v>
      </c>
      <c r="G9378" t="s">
        <v>62</v>
      </c>
      <c r="H9378" t="s">
        <v>63</v>
      </c>
    </row>
    <row r="9379" spans="1:8" x14ac:dyDescent="0.3">
      <c r="A9379" s="22" t="s">
        <v>64</v>
      </c>
      <c r="B9379" t="s">
        <v>67</v>
      </c>
      <c r="C9379" s="23">
        <v>0.22307395960996851</v>
      </c>
      <c r="D9379" s="23">
        <v>0.17647058823529399</v>
      </c>
      <c r="E9379" s="23">
        <v>9.8619329388560193E-3</v>
      </c>
      <c r="F9379" s="23">
        <v>1</v>
      </c>
      <c r="G9379">
        <v>85</v>
      </c>
      <c r="H9379">
        <v>88</v>
      </c>
    </row>
    <row r="9380" spans="1:8" x14ac:dyDescent="0.3">
      <c r="A9380" s="22" t="s">
        <v>64</v>
      </c>
      <c r="B9380" t="s">
        <v>68</v>
      </c>
      <c r="C9380" s="23">
        <v>0.16113624937154339</v>
      </c>
      <c r="D9380" s="23">
        <v>0.28011204481792701</v>
      </c>
      <c r="E9380" s="23">
        <v>9.6153846153846201E-2</v>
      </c>
      <c r="F9380" s="23">
        <v>0.28011204481792701</v>
      </c>
      <c r="G9380">
        <v>3</v>
      </c>
      <c r="H9380">
        <v>88</v>
      </c>
    </row>
    <row r="9381" spans="1:8" x14ac:dyDescent="0.3">
      <c r="C9381" s="23"/>
      <c r="D9381" s="23"/>
      <c r="E9381" s="23"/>
      <c r="F9381" s="23"/>
    </row>
    <row r="9382" spans="1:8" ht="72" x14ac:dyDescent="0.3">
      <c r="A9382" s="22" t="s">
        <v>2013</v>
      </c>
      <c r="C9382" s="23"/>
      <c r="D9382" s="23"/>
      <c r="E9382" s="23"/>
      <c r="F9382" s="23"/>
    </row>
    <row r="9383" spans="1:8" x14ac:dyDescent="0.3">
      <c r="A9383" s="22" t="s">
        <v>57</v>
      </c>
      <c r="B9383" t="s">
        <v>66</v>
      </c>
      <c r="C9383" s="23" t="s">
        <v>58</v>
      </c>
      <c r="D9383" s="23" t="s">
        <v>59</v>
      </c>
      <c r="E9383" s="23" t="s">
        <v>60</v>
      </c>
      <c r="F9383" s="23" t="s">
        <v>61</v>
      </c>
      <c r="G9383" t="s">
        <v>62</v>
      </c>
      <c r="H9383" t="s">
        <v>63</v>
      </c>
    </row>
    <row r="9384" spans="1:8" x14ac:dyDescent="0.3">
      <c r="A9384" s="22" t="s">
        <v>64</v>
      </c>
      <c r="B9384" t="s">
        <v>67</v>
      </c>
      <c r="C9384" s="23">
        <v>0.22147682599100529</v>
      </c>
      <c r="D9384" s="23">
        <v>0.17647058823529399</v>
      </c>
      <c r="E9384" s="23">
        <v>9.8619329388560193E-3</v>
      </c>
      <c r="F9384" s="23">
        <v>1</v>
      </c>
      <c r="G9384">
        <v>87</v>
      </c>
      <c r="H9384">
        <v>88</v>
      </c>
    </row>
    <row r="9385" spans="1:8" x14ac:dyDescent="0.3">
      <c r="A9385" s="22" t="s">
        <v>64</v>
      </c>
      <c r="B9385" t="s">
        <v>68</v>
      </c>
      <c r="C9385" s="23">
        <v>0.17621145374449301</v>
      </c>
      <c r="D9385" s="23">
        <v>0.17621145374449301</v>
      </c>
      <c r="E9385" s="23">
        <v>0.17621145374449301</v>
      </c>
      <c r="F9385" s="23">
        <v>0.17621145374449301</v>
      </c>
      <c r="G9385">
        <v>1</v>
      </c>
      <c r="H9385">
        <v>88</v>
      </c>
    </row>
    <row r="9386" spans="1:8" x14ac:dyDescent="0.3">
      <c r="C9386" s="23"/>
      <c r="D9386" s="23"/>
      <c r="E9386" s="23"/>
      <c r="F9386" s="23"/>
    </row>
    <row r="9387" spans="1:8" ht="72" x14ac:dyDescent="0.3">
      <c r="A9387" s="22" t="s">
        <v>2014</v>
      </c>
      <c r="C9387" s="23"/>
      <c r="D9387" s="23"/>
      <c r="E9387" s="23"/>
      <c r="F9387" s="23"/>
    </row>
    <row r="9388" spans="1:8" x14ac:dyDescent="0.3">
      <c r="A9388" s="22" t="s">
        <v>57</v>
      </c>
      <c r="B9388" t="s">
        <v>66</v>
      </c>
      <c r="C9388" s="23" t="s">
        <v>58</v>
      </c>
      <c r="D9388" s="23" t="s">
        <v>59</v>
      </c>
      <c r="E9388" s="23" t="s">
        <v>60</v>
      </c>
      <c r="F9388" s="23" t="s">
        <v>61</v>
      </c>
      <c r="G9388" t="s">
        <v>62</v>
      </c>
      <c r="H9388" t="s">
        <v>63</v>
      </c>
    </row>
    <row r="9389" spans="1:8" x14ac:dyDescent="0.3">
      <c r="A9389" s="22" t="s">
        <v>64</v>
      </c>
      <c r="B9389" t="s">
        <v>67</v>
      </c>
      <c r="C9389" s="23">
        <v>0.2243791849871343</v>
      </c>
      <c r="D9389" s="23">
        <v>0.17647058823529399</v>
      </c>
      <c r="E9389" s="23">
        <v>9.8619329388560193E-3</v>
      </c>
      <c r="F9389" s="23">
        <v>1</v>
      </c>
      <c r="G9389">
        <v>82</v>
      </c>
      <c r="H9389">
        <v>88</v>
      </c>
    </row>
    <row r="9390" spans="1:8" x14ac:dyDescent="0.3">
      <c r="A9390" s="22" t="s">
        <v>64</v>
      </c>
      <c r="B9390" t="s">
        <v>68</v>
      </c>
      <c r="C9390" s="23">
        <v>0.17426702433615651</v>
      </c>
      <c r="D9390" s="23">
        <v>0.12345679012345701</v>
      </c>
      <c r="E9390" s="23">
        <v>8.6956521739130405E-2</v>
      </c>
      <c r="F9390" s="23">
        <v>0.32</v>
      </c>
      <c r="G9390">
        <v>6</v>
      </c>
      <c r="H9390">
        <v>88</v>
      </c>
    </row>
    <row r="9391" spans="1:8" x14ac:dyDescent="0.3">
      <c r="C9391" s="23"/>
      <c r="D9391" s="23"/>
      <c r="E9391" s="23"/>
      <c r="F9391" s="23"/>
    </row>
    <row r="9392" spans="1:8" ht="72" x14ac:dyDescent="0.3">
      <c r="A9392" s="22" t="s">
        <v>2015</v>
      </c>
      <c r="C9392" s="23"/>
      <c r="D9392" s="23"/>
      <c r="E9392" s="23"/>
      <c r="F9392" s="23"/>
    </row>
    <row r="9393" spans="1:8" x14ac:dyDescent="0.3">
      <c r="A9393" s="22" t="s">
        <v>57</v>
      </c>
      <c r="B9393" t="s">
        <v>66</v>
      </c>
      <c r="C9393" s="23" t="s">
        <v>58</v>
      </c>
      <c r="D9393" s="23" t="s">
        <v>59</v>
      </c>
      <c r="E9393" s="23" t="s">
        <v>60</v>
      </c>
      <c r="F9393" s="23" t="s">
        <v>61</v>
      </c>
      <c r="G9393" t="s">
        <v>62</v>
      </c>
      <c r="H9393" t="s">
        <v>63</v>
      </c>
    </row>
    <row r="9394" spans="1:8" x14ac:dyDescent="0.3">
      <c r="A9394" s="22" t="s">
        <v>64</v>
      </c>
      <c r="B9394" t="s">
        <v>67</v>
      </c>
      <c r="C9394" s="23">
        <v>3.2987220447284353E-2</v>
      </c>
      <c r="D9394" s="23">
        <v>1.59744408945687E-2</v>
      </c>
      <c r="E9394" s="23">
        <v>1.59744408945687E-2</v>
      </c>
      <c r="F9394" s="23">
        <v>0.05</v>
      </c>
      <c r="G9394">
        <v>2</v>
      </c>
      <c r="H9394">
        <v>88</v>
      </c>
    </row>
    <row r="9395" spans="1:8" x14ac:dyDescent="0.3">
      <c r="A9395" s="22" t="s">
        <v>64</v>
      </c>
      <c r="B9395" t="s">
        <v>68</v>
      </c>
      <c r="C9395" s="23">
        <v>0.2253339636519463</v>
      </c>
      <c r="D9395" s="23">
        <v>0.17647058823529399</v>
      </c>
      <c r="E9395" s="23">
        <v>9.8619329388560193E-3</v>
      </c>
      <c r="F9395" s="23">
        <v>1</v>
      </c>
      <c r="G9395">
        <v>86</v>
      </c>
      <c r="H9395">
        <v>88</v>
      </c>
    </row>
    <row r="9396" spans="1:8" x14ac:dyDescent="0.3">
      <c r="C9396" s="23"/>
      <c r="D9396" s="23"/>
      <c r="E9396" s="23"/>
      <c r="F9396" s="23"/>
    </row>
    <row r="9397" spans="1:8" ht="72" x14ac:dyDescent="0.3">
      <c r="A9397" s="22" t="s">
        <v>2016</v>
      </c>
      <c r="C9397" s="23"/>
      <c r="D9397" s="23"/>
      <c r="E9397" s="23"/>
      <c r="F9397" s="23"/>
    </row>
    <row r="9398" spans="1:8" x14ac:dyDescent="0.3">
      <c r="A9398" s="22" t="s">
        <v>57</v>
      </c>
      <c r="B9398" t="s">
        <v>66</v>
      </c>
      <c r="C9398" s="23" t="s">
        <v>58</v>
      </c>
      <c r="D9398" s="23" t="s">
        <v>59</v>
      </c>
      <c r="E9398" s="23" t="s">
        <v>60</v>
      </c>
      <c r="F9398" s="23" t="s">
        <v>61</v>
      </c>
      <c r="G9398" t="s">
        <v>62</v>
      </c>
      <c r="H9398" t="s">
        <v>63</v>
      </c>
    </row>
    <row r="9399" spans="1:8" x14ac:dyDescent="0.3">
      <c r="A9399" s="22" t="s">
        <v>64</v>
      </c>
      <c r="B9399" t="s">
        <v>67</v>
      </c>
      <c r="C9399" s="23">
        <v>0.22651577853940749</v>
      </c>
      <c r="D9399" s="23">
        <v>0.17441860465116299</v>
      </c>
      <c r="E9399" s="23">
        <v>9.8619329388560193E-3</v>
      </c>
      <c r="F9399" s="23">
        <v>1</v>
      </c>
      <c r="G9399">
        <v>70</v>
      </c>
      <c r="H9399">
        <v>88</v>
      </c>
    </row>
    <row r="9400" spans="1:8" x14ac:dyDescent="0.3">
      <c r="A9400" s="22" t="s">
        <v>64</v>
      </c>
      <c r="B9400" t="s">
        <v>68</v>
      </c>
      <c r="C9400" s="23">
        <v>0.19936615651130149</v>
      </c>
      <c r="D9400" s="23">
        <v>0.18703241895261799</v>
      </c>
      <c r="E9400" s="23">
        <v>3.3726812816188903E-2</v>
      </c>
      <c r="F9400" s="23">
        <v>0.42857142857142899</v>
      </c>
      <c r="G9400">
        <v>18</v>
      </c>
      <c r="H9400">
        <v>88</v>
      </c>
    </row>
    <row r="9401" spans="1:8" x14ac:dyDescent="0.3">
      <c r="C9401" s="23"/>
      <c r="D9401" s="23"/>
      <c r="E9401" s="23"/>
      <c r="F9401" s="23"/>
    </row>
    <row r="9402" spans="1:8" ht="72" x14ac:dyDescent="0.3">
      <c r="A9402" s="22" t="s">
        <v>2017</v>
      </c>
      <c r="C9402" s="23"/>
      <c r="D9402" s="23"/>
      <c r="E9402" s="23"/>
      <c r="F9402" s="23"/>
    </row>
    <row r="9403" spans="1:8" x14ac:dyDescent="0.3">
      <c r="A9403" s="22" t="s">
        <v>57</v>
      </c>
      <c r="B9403" t="s">
        <v>66</v>
      </c>
      <c r="C9403" s="23" t="s">
        <v>58</v>
      </c>
      <c r="D9403" s="23" t="s">
        <v>59</v>
      </c>
      <c r="E9403" s="23" t="s">
        <v>60</v>
      </c>
      <c r="F9403" s="23" t="s">
        <v>61</v>
      </c>
      <c r="G9403" t="s">
        <v>62</v>
      </c>
      <c r="H9403" t="s">
        <v>63</v>
      </c>
    </row>
    <row r="9404" spans="1:8" x14ac:dyDescent="0.3">
      <c r="A9404" s="22" t="s">
        <v>64</v>
      </c>
      <c r="B9404" t="s">
        <v>67</v>
      </c>
      <c r="C9404" s="23">
        <v>0.23179529459159029</v>
      </c>
      <c r="D9404" s="23">
        <v>0.18518518518518501</v>
      </c>
      <c r="E9404" s="23">
        <v>1.5414258188824701E-2</v>
      </c>
      <c r="F9404" s="23">
        <v>1</v>
      </c>
      <c r="G9404">
        <v>69</v>
      </c>
      <c r="H9404">
        <v>88</v>
      </c>
    </row>
    <row r="9405" spans="1:8" x14ac:dyDescent="0.3">
      <c r="A9405" s="22" t="s">
        <v>64</v>
      </c>
      <c r="B9405" t="s">
        <v>68</v>
      </c>
      <c r="C9405" s="23">
        <v>0.1816221046390645</v>
      </c>
      <c r="D9405" s="23">
        <v>0.16666666666666699</v>
      </c>
      <c r="E9405" s="23">
        <v>9.8619329388560193E-3</v>
      </c>
      <c r="F9405" s="23">
        <v>0.5</v>
      </c>
      <c r="G9405">
        <v>19</v>
      </c>
      <c r="H9405">
        <v>88</v>
      </c>
    </row>
    <row r="9406" spans="1:8" x14ac:dyDescent="0.3">
      <c r="C9406" s="23"/>
      <c r="D9406" s="23"/>
      <c r="E9406" s="23"/>
      <c r="F9406" s="23"/>
    </row>
    <row r="9407" spans="1:8" ht="72" x14ac:dyDescent="0.3">
      <c r="A9407" s="22" t="s">
        <v>2018</v>
      </c>
      <c r="C9407" s="23"/>
      <c r="D9407" s="23"/>
      <c r="E9407" s="23"/>
      <c r="F9407" s="23"/>
    </row>
    <row r="9408" spans="1:8" x14ac:dyDescent="0.3">
      <c r="A9408" s="22" t="s">
        <v>57</v>
      </c>
      <c r="B9408" t="s">
        <v>66</v>
      </c>
      <c r="C9408" s="23" t="s">
        <v>58</v>
      </c>
      <c r="D9408" s="23" t="s">
        <v>59</v>
      </c>
      <c r="E9408" s="23" t="s">
        <v>60</v>
      </c>
      <c r="F9408" s="23" t="s">
        <v>61</v>
      </c>
      <c r="G9408" t="s">
        <v>62</v>
      </c>
      <c r="H9408" t="s">
        <v>63</v>
      </c>
    </row>
    <row r="9409" spans="1:8" x14ac:dyDescent="0.3">
      <c r="A9409" s="22" t="s">
        <v>64</v>
      </c>
      <c r="B9409" t="s">
        <v>67</v>
      </c>
      <c r="C9409" s="23">
        <v>0.2074062124454627</v>
      </c>
      <c r="D9409" s="23">
        <v>0.17647058823529399</v>
      </c>
      <c r="E9409" s="23">
        <v>9.8619329388560193E-3</v>
      </c>
      <c r="F9409" s="23">
        <v>0.78947368421052599</v>
      </c>
      <c r="G9409">
        <v>65</v>
      </c>
      <c r="H9409">
        <v>88</v>
      </c>
    </row>
    <row r="9410" spans="1:8" x14ac:dyDescent="0.3">
      <c r="A9410" s="22" t="s">
        <v>64</v>
      </c>
      <c r="B9410" t="s">
        <v>68</v>
      </c>
      <c r="C9410" s="23">
        <v>0.25927354373942968</v>
      </c>
      <c r="D9410" s="23">
        <v>0.18691588785046701</v>
      </c>
      <c r="E9410" s="23">
        <v>1.59744408945687E-2</v>
      </c>
      <c r="F9410" s="23">
        <v>1</v>
      </c>
      <c r="G9410">
        <v>23</v>
      </c>
      <c r="H9410">
        <v>88</v>
      </c>
    </row>
    <row r="9411" spans="1:8" x14ac:dyDescent="0.3">
      <c r="C9411" s="23"/>
      <c r="D9411" s="23"/>
      <c r="E9411" s="23"/>
      <c r="F9411" s="23"/>
    </row>
    <row r="9412" spans="1:8" ht="86.4" x14ac:dyDescent="0.3">
      <c r="A9412" s="22" t="s">
        <v>2019</v>
      </c>
      <c r="C9412" s="23"/>
      <c r="D9412" s="23"/>
      <c r="E9412" s="23"/>
      <c r="F9412" s="23"/>
    </row>
    <row r="9413" spans="1:8" x14ac:dyDescent="0.3">
      <c r="A9413" s="22" t="s">
        <v>57</v>
      </c>
      <c r="B9413" t="s">
        <v>66</v>
      </c>
      <c r="C9413" s="23" t="s">
        <v>58</v>
      </c>
      <c r="D9413" s="23" t="s">
        <v>59</v>
      </c>
      <c r="E9413" s="23" t="s">
        <v>60</v>
      </c>
      <c r="F9413" s="23" t="s">
        <v>61</v>
      </c>
      <c r="G9413" t="s">
        <v>62</v>
      </c>
      <c r="H9413" t="s">
        <v>63</v>
      </c>
    </row>
    <row r="9414" spans="1:8" x14ac:dyDescent="0.3">
      <c r="A9414" s="22" t="s">
        <v>64</v>
      </c>
      <c r="B9414" t="s">
        <v>67</v>
      </c>
      <c r="C9414" s="23">
        <v>0.2213205015464762</v>
      </c>
      <c r="D9414" s="23">
        <v>0.17441860465116299</v>
      </c>
      <c r="E9414" s="23">
        <v>1.5414258188824701E-2</v>
      </c>
      <c r="F9414" s="23">
        <v>1</v>
      </c>
      <c r="G9414">
        <v>82</v>
      </c>
      <c r="H9414">
        <v>88</v>
      </c>
    </row>
    <row r="9415" spans="1:8" x14ac:dyDescent="0.3">
      <c r="A9415" s="22" t="s">
        <v>64</v>
      </c>
      <c r="B9415" t="s">
        <v>68</v>
      </c>
      <c r="C9415" s="23">
        <v>0.21606903135848421</v>
      </c>
      <c r="D9415" s="23">
        <v>0.20270270270270299</v>
      </c>
      <c r="E9415" s="23">
        <v>9.8619329388560193E-3</v>
      </c>
      <c r="F9415" s="23">
        <v>0.38461538461538503</v>
      </c>
      <c r="G9415">
        <v>6</v>
      </c>
      <c r="H9415">
        <v>88</v>
      </c>
    </row>
    <row r="9416" spans="1:8" x14ac:dyDescent="0.3">
      <c r="C9416" s="23"/>
      <c r="D9416" s="23"/>
      <c r="E9416" s="23"/>
      <c r="F9416" s="23"/>
    </row>
    <row r="9417" spans="1:8" ht="86.4" x14ac:dyDescent="0.3">
      <c r="A9417" s="22" t="s">
        <v>2020</v>
      </c>
      <c r="C9417" s="23"/>
      <c r="D9417" s="23"/>
      <c r="E9417" s="23"/>
      <c r="F9417" s="23"/>
    </row>
    <row r="9418" spans="1:8" x14ac:dyDescent="0.3">
      <c r="A9418" s="22" t="s">
        <v>57</v>
      </c>
      <c r="B9418" t="s">
        <v>66</v>
      </c>
      <c r="C9418" s="23" t="s">
        <v>58</v>
      </c>
      <c r="D9418" s="23" t="s">
        <v>59</v>
      </c>
      <c r="E9418" s="23" t="s">
        <v>60</v>
      </c>
      <c r="F9418" s="23" t="s">
        <v>61</v>
      </c>
      <c r="G9418" t="s">
        <v>62</v>
      </c>
      <c r="H9418" t="s">
        <v>63</v>
      </c>
    </row>
    <row r="9419" spans="1:8" x14ac:dyDescent="0.3">
      <c r="A9419" s="22" t="s">
        <v>64</v>
      </c>
      <c r="B9419" t="s">
        <v>67</v>
      </c>
      <c r="C9419" s="23">
        <v>0.2209624467609313</v>
      </c>
      <c r="D9419" s="23">
        <v>0.17621145374449301</v>
      </c>
      <c r="E9419" s="23">
        <v>9.8619329388560193E-3</v>
      </c>
      <c r="F9419" s="23">
        <v>1</v>
      </c>
      <c r="G9419">
        <v>88</v>
      </c>
      <c r="H9419">
        <v>88</v>
      </c>
    </row>
    <row r="9420" spans="1:8" x14ac:dyDescent="0.3">
      <c r="C9420" s="23"/>
      <c r="D9420" s="23"/>
      <c r="E9420" s="23"/>
      <c r="F9420" s="23"/>
    </row>
    <row r="9421" spans="1:8" ht="72" x14ac:dyDescent="0.3">
      <c r="A9421" s="22" t="s">
        <v>2021</v>
      </c>
      <c r="C9421" s="23"/>
      <c r="D9421" s="23"/>
      <c r="E9421" s="23"/>
      <c r="F9421" s="23"/>
    </row>
    <row r="9422" spans="1:8" x14ac:dyDescent="0.3">
      <c r="A9422" s="22" t="s">
        <v>57</v>
      </c>
      <c r="B9422" t="s">
        <v>66</v>
      </c>
      <c r="C9422" s="23" t="s">
        <v>58</v>
      </c>
      <c r="D9422" s="23" t="s">
        <v>59</v>
      </c>
      <c r="E9422" s="23" t="s">
        <v>60</v>
      </c>
      <c r="F9422" s="23" t="s">
        <v>61</v>
      </c>
      <c r="G9422" t="s">
        <v>62</v>
      </c>
      <c r="H9422" t="s">
        <v>63</v>
      </c>
    </row>
    <row r="9423" spans="1:8" x14ac:dyDescent="0.3">
      <c r="A9423" s="22" t="s">
        <v>64</v>
      </c>
      <c r="B9423" t="s">
        <v>67</v>
      </c>
      <c r="C9423" s="23">
        <v>0.23773961060810511</v>
      </c>
      <c r="D9423" s="23">
        <v>0.17441860465116299</v>
      </c>
      <c r="E9423" s="23">
        <v>1.59744408945687E-2</v>
      </c>
      <c r="F9423" s="23">
        <v>1</v>
      </c>
      <c r="G9423">
        <v>54</v>
      </c>
      <c r="H9423">
        <v>88</v>
      </c>
    </row>
    <row r="9424" spans="1:8" x14ac:dyDescent="0.3">
      <c r="A9424" s="22" t="s">
        <v>64</v>
      </c>
      <c r="B9424" t="s">
        <v>68</v>
      </c>
      <c r="C9424" s="23">
        <v>0.19431636300365529</v>
      </c>
      <c r="D9424" s="23">
        <v>0.18518518518518501</v>
      </c>
      <c r="E9424" s="23">
        <v>9.8619329388560193E-3</v>
      </c>
      <c r="F9424" s="23">
        <v>0.5</v>
      </c>
      <c r="G9424">
        <v>34</v>
      </c>
      <c r="H9424">
        <v>88</v>
      </c>
    </row>
    <row r="9425" spans="1:8" x14ac:dyDescent="0.3">
      <c r="C9425" s="23"/>
      <c r="D9425" s="23"/>
      <c r="E9425" s="23"/>
      <c r="F9425" s="23"/>
    </row>
    <row r="9426" spans="1:8" ht="72" x14ac:dyDescent="0.3">
      <c r="A9426" s="22" t="s">
        <v>2022</v>
      </c>
      <c r="C9426" s="23"/>
      <c r="D9426" s="23"/>
      <c r="E9426" s="23"/>
      <c r="F9426" s="23"/>
    </row>
    <row r="9427" spans="1:8" x14ac:dyDescent="0.3">
      <c r="A9427" s="22" t="s">
        <v>57</v>
      </c>
      <c r="B9427" t="s">
        <v>66</v>
      </c>
      <c r="C9427" s="23" t="s">
        <v>58</v>
      </c>
      <c r="D9427" s="23" t="s">
        <v>59</v>
      </c>
      <c r="E9427" s="23" t="s">
        <v>60</v>
      </c>
      <c r="F9427" s="23" t="s">
        <v>61</v>
      </c>
      <c r="G9427" t="s">
        <v>62</v>
      </c>
      <c r="H9427" t="s">
        <v>63</v>
      </c>
    </row>
    <row r="9428" spans="1:8" x14ac:dyDescent="0.3">
      <c r="A9428" s="22" t="s">
        <v>64</v>
      </c>
      <c r="B9428" t="s">
        <v>67</v>
      </c>
      <c r="C9428" s="23">
        <v>0.21767326122786229</v>
      </c>
      <c r="D9428" s="23">
        <v>0.18518518518518501</v>
      </c>
      <c r="E9428" s="23">
        <v>9.8619329388560193E-3</v>
      </c>
      <c r="F9428" s="23">
        <v>1</v>
      </c>
      <c r="G9428">
        <v>77</v>
      </c>
      <c r="H9428">
        <v>88</v>
      </c>
    </row>
    <row r="9429" spans="1:8" x14ac:dyDescent="0.3">
      <c r="A9429" s="22" t="s">
        <v>64</v>
      </c>
      <c r="B9429" t="s">
        <v>68</v>
      </c>
      <c r="C9429" s="23">
        <v>0.2439867454924145</v>
      </c>
      <c r="D9429" s="23">
        <v>0.17647058823529399</v>
      </c>
      <c r="E9429" s="23">
        <v>6.8143100511073307E-2</v>
      </c>
      <c r="F9429" s="23">
        <v>0.78947368421052599</v>
      </c>
      <c r="G9429">
        <v>11</v>
      </c>
      <c r="H9429">
        <v>88</v>
      </c>
    </row>
    <row r="9430" spans="1:8" x14ac:dyDescent="0.3">
      <c r="C9430" s="23"/>
      <c r="D9430" s="23"/>
      <c r="E9430" s="23"/>
      <c r="F9430" s="23"/>
    </row>
    <row r="9431" spans="1:8" ht="57.6" x14ac:dyDescent="0.3">
      <c r="A9431" s="22" t="s">
        <v>2023</v>
      </c>
      <c r="C9431" s="23"/>
      <c r="D9431" s="23"/>
      <c r="E9431" s="23"/>
      <c r="F9431" s="23"/>
    </row>
    <row r="9432" spans="1:8" x14ac:dyDescent="0.3">
      <c r="A9432" s="22" t="s">
        <v>57</v>
      </c>
      <c r="B9432" t="s">
        <v>66</v>
      </c>
      <c r="C9432" s="23" t="s">
        <v>58</v>
      </c>
      <c r="D9432" s="23" t="s">
        <v>59</v>
      </c>
      <c r="E9432" s="23" t="s">
        <v>60</v>
      </c>
      <c r="F9432" s="23" t="s">
        <v>61</v>
      </c>
      <c r="G9432" t="s">
        <v>62</v>
      </c>
      <c r="H9432" t="s">
        <v>63</v>
      </c>
    </row>
    <row r="9433" spans="1:8" x14ac:dyDescent="0.3">
      <c r="A9433" s="22" t="s">
        <v>64</v>
      </c>
      <c r="B9433" t="s">
        <v>81</v>
      </c>
      <c r="C9433" s="23">
        <v>0.210600550627181</v>
      </c>
      <c r="D9433" s="23">
        <v>0.18518518518518501</v>
      </c>
      <c r="E9433" s="23">
        <v>1.59744408945687E-2</v>
      </c>
      <c r="F9433" s="23">
        <v>0.75471698113207597</v>
      </c>
      <c r="G9433">
        <v>24</v>
      </c>
      <c r="H9433">
        <v>88</v>
      </c>
    </row>
    <row r="9434" spans="1:8" x14ac:dyDescent="0.3">
      <c r="A9434" s="22" t="s">
        <v>64</v>
      </c>
      <c r="B9434" t="s">
        <v>82</v>
      </c>
      <c r="C9434" s="23">
        <v>0.2433878366578559</v>
      </c>
      <c r="D9434" s="23">
        <v>0.214285714285714</v>
      </c>
      <c r="E9434" s="23">
        <v>2.04081632653061E-2</v>
      </c>
      <c r="F9434" s="23">
        <v>0.65789473684210498</v>
      </c>
      <c r="G9434">
        <v>21</v>
      </c>
      <c r="H9434">
        <v>88</v>
      </c>
    </row>
    <row r="9435" spans="1:8" x14ac:dyDescent="0.3">
      <c r="A9435" s="22" t="s">
        <v>64</v>
      </c>
      <c r="B9435" t="s">
        <v>83</v>
      </c>
      <c r="C9435" s="23">
        <v>0.22807676417320791</v>
      </c>
      <c r="D9435" s="23">
        <v>0.11111111111111099</v>
      </c>
      <c r="E9435" s="23">
        <v>9.8619329388560193E-3</v>
      </c>
      <c r="F9435" s="23">
        <v>1</v>
      </c>
      <c r="G9435">
        <v>22</v>
      </c>
      <c r="H9435">
        <v>88</v>
      </c>
    </row>
    <row r="9436" spans="1:8" x14ac:dyDescent="0.3">
      <c r="A9436" s="22" t="s">
        <v>64</v>
      </c>
      <c r="B9436" t="s">
        <v>84</v>
      </c>
      <c r="C9436" s="23">
        <v>0.20292612944209831</v>
      </c>
      <c r="D9436" s="23">
        <v>0.18703241895261799</v>
      </c>
      <c r="E9436" s="23">
        <v>0.05</v>
      </c>
      <c r="F9436" s="23">
        <v>0.5</v>
      </c>
      <c r="G9436">
        <v>21</v>
      </c>
      <c r="H9436">
        <v>88</v>
      </c>
    </row>
    <row r="9437" spans="1:8" x14ac:dyDescent="0.3">
      <c r="C9437" s="23"/>
      <c r="D9437" s="23"/>
      <c r="E9437" s="23"/>
      <c r="F9437" s="23"/>
    </row>
    <row r="9438" spans="1:8" ht="57.6" x14ac:dyDescent="0.3">
      <c r="A9438" s="22" t="s">
        <v>2024</v>
      </c>
      <c r="C9438" s="23"/>
      <c r="D9438" s="23"/>
      <c r="E9438" s="23"/>
      <c r="F9438" s="23"/>
    </row>
    <row r="9439" spans="1:8" x14ac:dyDescent="0.3">
      <c r="A9439" s="22" t="s">
        <v>57</v>
      </c>
      <c r="B9439" t="s">
        <v>58</v>
      </c>
      <c r="C9439" t="s">
        <v>59</v>
      </c>
      <c r="D9439" t="s">
        <v>60</v>
      </c>
      <c r="E9439" t="s">
        <v>61</v>
      </c>
      <c r="F9439" t="s">
        <v>62</v>
      </c>
      <c r="G9439" t="s">
        <v>63</v>
      </c>
    </row>
    <row r="9440" spans="1:8" x14ac:dyDescent="0.3">
      <c r="A9440" s="22" t="s">
        <v>64</v>
      </c>
      <c r="B9440" s="23">
        <v>0.38259814347793192</v>
      </c>
      <c r="C9440" s="23">
        <v>0.31687242798353898</v>
      </c>
      <c r="D9440" s="23">
        <v>0.166389351081531</v>
      </c>
      <c r="E9440" s="23">
        <v>1</v>
      </c>
      <c r="F9440">
        <v>7</v>
      </c>
      <c r="G9440">
        <v>7</v>
      </c>
    </row>
    <row r="9442" spans="1:8" ht="72" x14ac:dyDescent="0.3">
      <c r="A9442" s="22" t="s">
        <v>2025</v>
      </c>
      <c r="C9442" s="23"/>
      <c r="D9442" s="23"/>
      <c r="E9442" s="23"/>
      <c r="F9442" s="23"/>
    </row>
    <row r="9443" spans="1:8" x14ac:dyDescent="0.3">
      <c r="A9443" s="22" t="s">
        <v>57</v>
      </c>
      <c r="B9443" t="s">
        <v>66</v>
      </c>
      <c r="C9443" s="23" t="s">
        <v>58</v>
      </c>
      <c r="D9443" s="23" t="s">
        <v>59</v>
      </c>
      <c r="E9443" s="23" t="s">
        <v>60</v>
      </c>
      <c r="F9443" s="23" t="s">
        <v>61</v>
      </c>
      <c r="G9443" t="s">
        <v>62</v>
      </c>
      <c r="H9443" t="s">
        <v>63</v>
      </c>
    </row>
    <row r="9444" spans="1:8" x14ac:dyDescent="0.3">
      <c r="A9444" s="22" t="s">
        <v>64</v>
      </c>
      <c r="B9444" t="s">
        <v>67</v>
      </c>
      <c r="C9444" s="23">
        <v>0.38259814347793192</v>
      </c>
      <c r="D9444" s="23">
        <v>0.31687242798353898</v>
      </c>
      <c r="E9444" s="23">
        <v>0.166389351081531</v>
      </c>
      <c r="F9444" s="23">
        <v>1</v>
      </c>
      <c r="G9444">
        <v>7</v>
      </c>
      <c r="H9444">
        <v>7</v>
      </c>
    </row>
    <row r="9445" spans="1:8" x14ac:dyDescent="0.3">
      <c r="C9445" s="23"/>
      <c r="D9445" s="23"/>
      <c r="E9445" s="23"/>
      <c r="F9445" s="23"/>
    </row>
    <row r="9446" spans="1:8" x14ac:dyDescent="0.3">
      <c r="A9446"/>
      <c r="C9446" s="23"/>
      <c r="D9446" s="23"/>
      <c r="E9446" s="23"/>
      <c r="F9446" s="23"/>
    </row>
    <row r="9447" spans="1:8" x14ac:dyDescent="0.3">
      <c r="A9447"/>
      <c r="C9447" s="23"/>
      <c r="D9447" s="23"/>
      <c r="E9447" s="23"/>
      <c r="F9447" s="23"/>
    </row>
    <row r="9448" spans="1:8" x14ac:dyDescent="0.3">
      <c r="A9448"/>
      <c r="C9448" s="23"/>
      <c r="D9448" s="23"/>
      <c r="E9448" s="23"/>
      <c r="F9448" s="23"/>
    </row>
    <row r="9449" spans="1:8" x14ac:dyDescent="0.3">
      <c r="C9449" s="23"/>
      <c r="D9449" s="23"/>
      <c r="E9449" s="23"/>
      <c r="F9449" s="23"/>
    </row>
    <row r="9450" spans="1:8" ht="72" x14ac:dyDescent="0.3">
      <c r="A9450" s="22" t="s">
        <v>2026</v>
      </c>
      <c r="C9450" s="23"/>
      <c r="D9450" s="23"/>
      <c r="E9450" s="23"/>
      <c r="F9450" s="23"/>
    </row>
    <row r="9451" spans="1:8" x14ac:dyDescent="0.3">
      <c r="A9451" s="22" t="s">
        <v>57</v>
      </c>
      <c r="B9451" t="s">
        <v>66</v>
      </c>
      <c r="C9451" s="23" t="s">
        <v>58</v>
      </c>
      <c r="D9451" s="23" t="s">
        <v>59</v>
      </c>
      <c r="E9451" s="23" t="s">
        <v>60</v>
      </c>
      <c r="F9451" s="23" t="s">
        <v>61</v>
      </c>
      <c r="G9451" t="s">
        <v>62</v>
      </c>
      <c r="H9451" t="s">
        <v>63</v>
      </c>
    </row>
    <row r="9452" spans="1:8" x14ac:dyDescent="0.3">
      <c r="A9452" s="22" t="s">
        <v>64</v>
      </c>
      <c r="B9452" t="s">
        <v>67</v>
      </c>
      <c r="C9452" s="23">
        <v>0.38259814347793192</v>
      </c>
      <c r="D9452" s="23">
        <v>0.31687242798353898</v>
      </c>
      <c r="E9452" s="23">
        <v>0.166389351081531</v>
      </c>
      <c r="F9452" s="23">
        <v>1</v>
      </c>
      <c r="G9452">
        <v>7</v>
      </c>
      <c r="H9452">
        <v>7</v>
      </c>
    </row>
    <row r="9453" spans="1:8" x14ac:dyDescent="0.3">
      <c r="C9453" s="23"/>
      <c r="D9453" s="23"/>
      <c r="E9453" s="23"/>
      <c r="F9453" s="23"/>
    </row>
    <row r="9454" spans="1:8" ht="72" x14ac:dyDescent="0.3">
      <c r="A9454" s="22" t="s">
        <v>2027</v>
      </c>
      <c r="C9454" s="23"/>
      <c r="D9454" s="23"/>
      <c r="E9454" s="23"/>
      <c r="F9454" s="23"/>
    </row>
    <row r="9455" spans="1:8" x14ac:dyDescent="0.3">
      <c r="A9455" s="22" t="s">
        <v>57</v>
      </c>
      <c r="B9455" t="s">
        <v>66</v>
      </c>
      <c r="C9455" s="23" t="s">
        <v>58</v>
      </c>
      <c r="D9455" s="23" t="s">
        <v>59</v>
      </c>
      <c r="E9455" s="23" t="s">
        <v>60</v>
      </c>
      <c r="F9455" s="23" t="s">
        <v>61</v>
      </c>
      <c r="G9455" t="s">
        <v>62</v>
      </c>
      <c r="H9455" t="s">
        <v>63</v>
      </c>
    </row>
    <row r="9456" spans="1:8" x14ac:dyDescent="0.3">
      <c r="A9456" s="22" t="s">
        <v>64</v>
      </c>
      <c r="B9456" t="s">
        <v>67</v>
      </c>
      <c r="C9456" s="23">
        <v>0.38259814347793192</v>
      </c>
      <c r="D9456" s="23">
        <v>0.31687242798353898</v>
      </c>
      <c r="E9456" s="23">
        <v>0.166389351081531</v>
      </c>
      <c r="F9456" s="23">
        <v>1</v>
      </c>
      <c r="G9456">
        <v>7</v>
      </c>
      <c r="H9456">
        <v>7</v>
      </c>
    </row>
    <row r="9457" spans="1:8" x14ac:dyDescent="0.3">
      <c r="C9457" s="23"/>
      <c r="D9457" s="23"/>
      <c r="E9457" s="23"/>
      <c r="F9457" s="23"/>
    </row>
    <row r="9458" spans="1:8" ht="72" x14ac:dyDescent="0.3">
      <c r="A9458" s="22" t="s">
        <v>2028</v>
      </c>
      <c r="C9458" s="23"/>
      <c r="D9458" s="23"/>
      <c r="E9458" s="23"/>
      <c r="F9458" s="23"/>
    </row>
    <row r="9459" spans="1:8" x14ac:dyDescent="0.3">
      <c r="A9459" s="22" t="s">
        <v>57</v>
      </c>
      <c r="B9459" t="s">
        <v>66</v>
      </c>
      <c r="C9459" s="23" t="s">
        <v>58</v>
      </c>
      <c r="D9459" s="23" t="s">
        <v>59</v>
      </c>
      <c r="E9459" s="23" t="s">
        <v>60</v>
      </c>
      <c r="F9459" s="23" t="s">
        <v>61</v>
      </c>
      <c r="G9459" t="s">
        <v>62</v>
      </c>
      <c r="H9459" t="s">
        <v>63</v>
      </c>
    </row>
    <row r="9460" spans="1:8" x14ac:dyDescent="0.3">
      <c r="A9460" s="22" t="s">
        <v>64</v>
      </c>
      <c r="B9460" t="s">
        <v>67</v>
      </c>
      <c r="C9460" s="23">
        <v>0.38259814347793192</v>
      </c>
      <c r="D9460" s="23">
        <v>0.31687242798353898</v>
      </c>
      <c r="E9460" s="23">
        <v>0.166389351081531</v>
      </c>
      <c r="F9460" s="23">
        <v>1</v>
      </c>
      <c r="G9460">
        <v>7</v>
      </c>
      <c r="H9460">
        <v>7</v>
      </c>
    </row>
    <row r="9461" spans="1:8" x14ac:dyDescent="0.3">
      <c r="C9461" s="23"/>
      <c r="D9461" s="23"/>
      <c r="E9461" s="23"/>
      <c r="F9461" s="23"/>
    </row>
    <row r="9462" spans="1:8" ht="72" x14ac:dyDescent="0.3">
      <c r="A9462" s="22" t="s">
        <v>2029</v>
      </c>
      <c r="C9462" s="23"/>
      <c r="D9462" s="23"/>
      <c r="E9462" s="23"/>
      <c r="F9462" s="23"/>
    </row>
    <row r="9463" spans="1:8" x14ac:dyDescent="0.3">
      <c r="A9463" s="22" t="s">
        <v>57</v>
      </c>
      <c r="B9463" t="s">
        <v>66</v>
      </c>
      <c r="C9463" s="23" t="s">
        <v>58</v>
      </c>
      <c r="D9463" s="23" t="s">
        <v>59</v>
      </c>
      <c r="E9463" s="23" t="s">
        <v>60</v>
      </c>
      <c r="F9463" s="23" t="s">
        <v>61</v>
      </c>
      <c r="G9463" t="s">
        <v>62</v>
      </c>
      <c r="H9463" t="s">
        <v>63</v>
      </c>
    </row>
    <row r="9464" spans="1:8" x14ac:dyDescent="0.3">
      <c r="A9464" s="22" t="s">
        <v>64</v>
      </c>
      <c r="B9464" t="s">
        <v>68</v>
      </c>
      <c r="C9464" s="23">
        <v>0.38259814347793192</v>
      </c>
      <c r="D9464" s="23">
        <v>0.31687242798353898</v>
      </c>
      <c r="E9464" s="23">
        <v>0.166389351081531</v>
      </c>
      <c r="F9464" s="23">
        <v>1</v>
      </c>
      <c r="G9464">
        <v>7</v>
      </c>
      <c r="H9464">
        <v>7</v>
      </c>
    </row>
    <row r="9465" spans="1:8" x14ac:dyDescent="0.3">
      <c r="C9465" s="23"/>
      <c r="D9465" s="23"/>
      <c r="E9465" s="23"/>
      <c r="F9465" s="23"/>
    </row>
    <row r="9466" spans="1:8" ht="72" x14ac:dyDescent="0.3">
      <c r="A9466" s="22" t="s">
        <v>2030</v>
      </c>
      <c r="C9466" s="23"/>
      <c r="D9466" s="23"/>
      <c r="E9466" s="23"/>
      <c r="F9466" s="23"/>
    </row>
    <row r="9467" spans="1:8" x14ac:dyDescent="0.3">
      <c r="A9467" s="22" t="s">
        <v>57</v>
      </c>
      <c r="B9467" t="s">
        <v>66</v>
      </c>
      <c r="C9467" s="23" t="s">
        <v>58</v>
      </c>
      <c r="D9467" s="23" t="s">
        <v>59</v>
      </c>
      <c r="E9467" s="23" t="s">
        <v>60</v>
      </c>
      <c r="F9467" s="23" t="s">
        <v>61</v>
      </c>
      <c r="G9467" t="s">
        <v>62</v>
      </c>
      <c r="H9467" t="s">
        <v>63</v>
      </c>
    </row>
    <row r="9468" spans="1:8" x14ac:dyDescent="0.3">
      <c r="A9468" s="22" t="s">
        <v>64</v>
      </c>
      <c r="B9468" t="s">
        <v>67</v>
      </c>
      <c r="C9468" s="23">
        <v>0.40714881444974399</v>
      </c>
      <c r="D9468" s="23">
        <v>0.20408163265306101</v>
      </c>
      <c r="E9468" s="23">
        <v>0.166389351081531</v>
      </c>
      <c r="F9468" s="23">
        <v>1</v>
      </c>
      <c r="G9468">
        <v>6</v>
      </c>
      <c r="H9468">
        <v>7</v>
      </c>
    </row>
    <row r="9469" spans="1:8" x14ac:dyDescent="0.3">
      <c r="A9469" s="22" t="s">
        <v>64</v>
      </c>
      <c r="B9469" t="s">
        <v>68</v>
      </c>
      <c r="C9469" s="23">
        <v>0.23529411764705899</v>
      </c>
      <c r="D9469" s="23">
        <v>0.23529411764705899</v>
      </c>
      <c r="E9469" s="23">
        <v>0.23529411764705899</v>
      </c>
      <c r="F9469" s="23">
        <v>0.23529411764705899</v>
      </c>
      <c r="G9469">
        <v>1</v>
      </c>
      <c r="H9469">
        <v>7</v>
      </c>
    </row>
    <row r="9470" spans="1:8" x14ac:dyDescent="0.3">
      <c r="C9470" s="23"/>
      <c r="D9470" s="23"/>
      <c r="E9470" s="23"/>
      <c r="F9470" s="23"/>
    </row>
    <row r="9471" spans="1:8" ht="72" x14ac:dyDescent="0.3">
      <c r="A9471" s="22" t="s">
        <v>2031</v>
      </c>
      <c r="C9471" s="23"/>
      <c r="D9471" s="23"/>
      <c r="E9471" s="23"/>
      <c r="F9471" s="23"/>
    </row>
    <row r="9472" spans="1:8" x14ac:dyDescent="0.3">
      <c r="A9472" s="22" t="s">
        <v>57</v>
      </c>
      <c r="B9472" t="s">
        <v>66</v>
      </c>
      <c r="C9472" s="23" t="s">
        <v>58</v>
      </c>
      <c r="D9472" s="23" t="s">
        <v>59</v>
      </c>
      <c r="E9472" s="23" t="s">
        <v>60</v>
      </c>
      <c r="F9472" s="23" t="s">
        <v>61</v>
      </c>
      <c r="G9472" t="s">
        <v>62</v>
      </c>
      <c r="H9472" t="s">
        <v>63</v>
      </c>
    </row>
    <row r="9473" spans="1:8" x14ac:dyDescent="0.3">
      <c r="A9473" s="22" t="s">
        <v>64</v>
      </c>
      <c r="B9473" t="s">
        <v>67</v>
      </c>
      <c r="C9473" s="23">
        <v>0.38259814347793192</v>
      </c>
      <c r="D9473" s="23">
        <v>0.31687242798353898</v>
      </c>
      <c r="E9473" s="23">
        <v>0.166389351081531</v>
      </c>
      <c r="F9473" s="23">
        <v>1</v>
      </c>
      <c r="G9473">
        <v>7</v>
      </c>
      <c r="H9473">
        <v>7</v>
      </c>
    </row>
    <row r="9474" spans="1:8" x14ac:dyDescent="0.3">
      <c r="C9474" s="23"/>
      <c r="D9474" s="23"/>
      <c r="E9474" s="23"/>
      <c r="F9474" s="23"/>
    </row>
    <row r="9475" spans="1:8" ht="72" x14ac:dyDescent="0.3">
      <c r="A9475" s="22" t="s">
        <v>2032</v>
      </c>
      <c r="C9475" s="23"/>
      <c r="D9475" s="23"/>
      <c r="E9475" s="23"/>
      <c r="F9475" s="23"/>
    </row>
    <row r="9476" spans="1:8" x14ac:dyDescent="0.3">
      <c r="A9476" s="22" t="s">
        <v>57</v>
      </c>
      <c r="B9476" t="s">
        <v>66</v>
      </c>
      <c r="C9476" s="23" t="s">
        <v>58</v>
      </c>
      <c r="D9476" s="23" t="s">
        <v>59</v>
      </c>
      <c r="E9476" s="23" t="s">
        <v>60</v>
      </c>
      <c r="F9476" s="23" t="s">
        <v>61</v>
      </c>
      <c r="G9476" t="s">
        <v>62</v>
      </c>
      <c r="H9476" t="s">
        <v>63</v>
      </c>
    </row>
    <row r="9477" spans="1:8" x14ac:dyDescent="0.3">
      <c r="A9477" s="22" t="s">
        <v>64</v>
      </c>
      <c r="B9477" t="s">
        <v>67</v>
      </c>
      <c r="C9477" s="23">
        <v>0.41235089528207702</v>
      </c>
      <c r="D9477" s="23">
        <v>0.23529411764705899</v>
      </c>
      <c r="E9477" s="23">
        <v>0.166389351081531</v>
      </c>
      <c r="F9477" s="23">
        <v>1</v>
      </c>
      <c r="G9477">
        <v>6</v>
      </c>
      <c r="H9477">
        <v>7</v>
      </c>
    </row>
    <row r="9478" spans="1:8" x14ac:dyDescent="0.3">
      <c r="A9478" s="22" t="s">
        <v>64</v>
      </c>
      <c r="B9478" t="s">
        <v>68</v>
      </c>
      <c r="C9478" s="23">
        <v>0.20408163265306101</v>
      </c>
      <c r="D9478" s="23">
        <v>0.20408163265306101</v>
      </c>
      <c r="E9478" s="23">
        <v>0.20408163265306101</v>
      </c>
      <c r="F9478" s="23">
        <v>0.20408163265306101</v>
      </c>
      <c r="G9478">
        <v>1</v>
      </c>
      <c r="H9478">
        <v>7</v>
      </c>
    </row>
    <row r="9479" spans="1:8" x14ac:dyDescent="0.3">
      <c r="C9479" s="23"/>
      <c r="D9479" s="23"/>
      <c r="E9479" s="23"/>
      <c r="F9479" s="23"/>
    </row>
    <row r="9480" spans="1:8" ht="86.4" x14ac:dyDescent="0.3">
      <c r="A9480" s="22" t="s">
        <v>2033</v>
      </c>
      <c r="C9480" s="23"/>
      <c r="D9480" s="23"/>
      <c r="E9480" s="23"/>
      <c r="F9480" s="23"/>
    </row>
    <row r="9481" spans="1:8" x14ac:dyDescent="0.3">
      <c r="A9481" s="22" t="s">
        <v>57</v>
      </c>
      <c r="B9481" t="s">
        <v>66</v>
      </c>
      <c r="C9481" s="23" t="s">
        <v>58</v>
      </c>
      <c r="D9481" s="23" t="s">
        <v>59</v>
      </c>
      <c r="E9481" s="23" t="s">
        <v>60</v>
      </c>
      <c r="F9481" s="23" t="s">
        <v>61</v>
      </c>
      <c r="G9481" t="s">
        <v>62</v>
      </c>
      <c r="H9481" t="s">
        <v>63</v>
      </c>
    </row>
    <row r="9482" spans="1:8" x14ac:dyDescent="0.3">
      <c r="A9482" s="22" t="s">
        <v>64</v>
      </c>
      <c r="B9482" t="s">
        <v>67</v>
      </c>
      <c r="C9482" s="23">
        <v>0.38259814347793192</v>
      </c>
      <c r="D9482" s="23">
        <v>0.31687242798353898</v>
      </c>
      <c r="E9482" s="23">
        <v>0.166389351081531</v>
      </c>
      <c r="F9482" s="23">
        <v>1</v>
      </c>
      <c r="G9482">
        <v>7</v>
      </c>
      <c r="H9482">
        <v>7</v>
      </c>
    </row>
    <row r="9483" spans="1:8" x14ac:dyDescent="0.3">
      <c r="C9483" s="23"/>
      <c r="D9483" s="23"/>
      <c r="E9483" s="23"/>
      <c r="F9483" s="23"/>
    </row>
    <row r="9484" spans="1:8" ht="86.4" x14ac:dyDescent="0.3">
      <c r="A9484" s="22" t="s">
        <v>2034</v>
      </c>
      <c r="C9484" s="23"/>
      <c r="D9484" s="23"/>
      <c r="E9484" s="23"/>
      <c r="F9484" s="23"/>
    </row>
    <row r="9485" spans="1:8" x14ac:dyDescent="0.3">
      <c r="A9485" s="22" t="s">
        <v>57</v>
      </c>
      <c r="B9485" t="s">
        <v>66</v>
      </c>
      <c r="C9485" s="23" t="s">
        <v>58</v>
      </c>
      <c r="D9485" s="23" t="s">
        <v>59</v>
      </c>
      <c r="E9485" s="23" t="s">
        <v>60</v>
      </c>
      <c r="F9485" s="23" t="s">
        <v>61</v>
      </c>
      <c r="G9485" t="s">
        <v>62</v>
      </c>
      <c r="H9485" t="s">
        <v>63</v>
      </c>
    </row>
    <row r="9486" spans="1:8" x14ac:dyDescent="0.3">
      <c r="A9486" s="22" t="s">
        <v>64</v>
      </c>
      <c r="B9486" t="s">
        <v>67</v>
      </c>
      <c r="C9486" s="23">
        <v>0.38259814347793192</v>
      </c>
      <c r="D9486" s="23">
        <v>0.31687242798353898</v>
      </c>
      <c r="E9486" s="23">
        <v>0.166389351081531</v>
      </c>
      <c r="F9486" s="23">
        <v>1</v>
      </c>
      <c r="G9486">
        <v>7</v>
      </c>
      <c r="H9486">
        <v>7</v>
      </c>
    </row>
    <row r="9487" spans="1:8" x14ac:dyDescent="0.3">
      <c r="C9487" s="23"/>
      <c r="D9487" s="23"/>
      <c r="E9487" s="23"/>
      <c r="F9487" s="23"/>
    </row>
    <row r="9488" spans="1:8" ht="72" x14ac:dyDescent="0.3">
      <c r="A9488" s="22" t="s">
        <v>2035</v>
      </c>
      <c r="C9488" s="23"/>
      <c r="D9488" s="23"/>
      <c r="E9488" s="23"/>
      <c r="F9488" s="23"/>
    </row>
    <row r="9489" spans="1:8" x14ac:dyDescent="0.3">
      <c r="A9489" s="22" t="s">
        <v>57</v>
      </c>
      <c r="B9489" t="s">
        <v>66</v>
      </c>
      <c r="C9489" s="23" t="s">
        <v>58</v>
      </c>
      <c r="D9489" s="23" t="s">
        <v>59</v>
      </c>
      <c r="E9489" s="23" t="s">
        <v>60</v>
      </c>
      <c r="F9489" s="23" t="s">
        <v>61</v>
      </c>
      <c r="G9489" t="s">
        <v>62</v>
      </c>
      <c r="H9489" t="s">
        <v>63</v>
      </c>
    </row>
    <row r="9490" spans="1:8" x14ac:dyDescent="0.3">
      <c r="A9490" s="22" t="s">
        <v>64</v>
      </c>
      <c r="B9490" t="s">
        <v>67</v>
      </c>
      <c r="C9490" s="23">
        <v>0.2328229511786693</v>
      </c>
      <c r="D9490" s="23">
        <v>0.31687242798353898</v>
      </c>
      <c r="E9490" s="23">
        <v>0.177514792899408</v>
      </c>
      <c r="F9490" s="23">
        <v>0.31687242798353898</v>
      </c>
      <c r="G9490">
        <v>3</v>
      </c>
      <c r="H9490">
        <v>7</v>
      </c>
    </row>
    <row r="9491" spans="1:8" x14ac:dyDescent="0.3">
      <c r="A9491" s="22" t="s">
        <v>64</v>
      </c>
      <c r="B9491" t="s">
        <v>68</v>
      </c>
      <c r="C9491" s="23">
        <v>0.4949295377023788</v>
      </c>
      <c r="D9491" s="23">
        <v>0.23529411764705899</v>
      </c>
      <c r="E9491" s="23">
        <v>0.166389351081531</v>
      </c>
      <c r="F9491" s="23">
        <v>1</v>
      </c>
      <c r="G9491">
        <v>4</v>
      </c>
      <c r="H9491">
        <v>7</v>
      </c>
    </row>
    <row r="9492" spans="1:8" x14ac:dyDescent="0.3">
      <c r="C9492" s="23"/>
      <c r="D9492" s="23"/>
      <c r="E9492" s="23"/>
      <c r="F9492" s="23"/>
    </row>
    <row r="9493" spans="1:8" ht="86.4" x14ac:dyDescent="0.3">
      <c r="A9493" s="22" t="s">
        <v>2036</v>
      </c>
      <c r="C9493" s="23"/>
      <c r="D9493" s="23"/>
      <c r="E9493" s="23"/>
      <c r="F9493" s="23"/>
    </row>
    <row r="9494" spans="1:8" x14ac:dyDescent="0.3">
      <c r="A9494" s="22" t="s">
        <v>57</v>
      </c>
      <c r="B9494" t="s">
        <v>66</v>
      </c>
      <c r="C9494" s="23" t="s">
        <v>58</v>
      </c>
      <c r="D9494" s="23" t="s">
        <v>59</v>
      </c>
      <c r="E9494" s="23" t="s">
        <v>60</v>
      </c>
      <c r="F9494" s="23" t="s">
        <v>61</v>
      </c>
      <c r="G9494" t="s">
        <v>62</v>
      </c>
      <c r="H9494" t="s">
        <v>63</v>
      </c>
    </row>
    <row r="9495" spans="1:8" x14ac:dyDescent="0.3">
      <c r="A9495" s="22" t="s">
        <v>64</v>
      </c>
      <c r="B9495" t="s">
        <v>67</v>
      </c>
      <c r="C9495" s="23">
        <v>0.38259814347793192</v>
      </c>
      <c r="D9495" s="23">
        <v>0.31687242798353898</v>
      </c>
      <c r="E9495" s="23">
        <v>0.166389351081531</v>
      </c>
      <c r="F9495" s="23">
        <v>1</v>
      </c>
      <c r="G9495">
        <v>7</v>
      </c>
      <c r="H9495">
        <v>7</v>
      </c>
    </row>
    <row r="9496" spans="1:8" x14ac:dyDescent="0.3">
      <c r="C9496" s="23"/>
      <c r="D9496" s="23"/>
      <c r="E9496" s="23"/>
      <c r="F9496" s="23"/>
    </row>
    <row r="9497" spans="1:8" ht="72" x14ac:dyDescent="0.3">
      <c r="A9497" s="22" t="s">
        <v>2037</v>
      </c>
      <c r="C9497" s="23"/>
      <c r="D9497" s="23"/>
      <c r="E9497" s="23"/>
      <c r="F9497" s="23"/>
    </row>
    <row r="9498" spans="1:8" x14ac:dyDescent="0.3">
      <c r="A9498" s="22" t="s">
        <v>57</v>
      </c>
      <c r="B9498" t="s">
        <v>66</v>
      </c>
      <c r="C9498" t="s">
        <v>58</v>
      </c>
      <c r="D9498" t="s">
        <v>59</v>
      </c>
      <c r="E9498" t="s">
        <v>60</v>
      </c>
      <c r="F9498" t="s">
        <v>61</v>
      </c>
      <c r="G9498" t="s">
        <v>62</v>
      </c>
      <c r="H9498" t="s">
        <v>63</v>
      </c>
    </row>
    <row r="9499" spans="1:8" x14ac:dyDescent="0.3">
      <c r="A9499" s="22" t="s">
        <v>64</v>
      </c>
      <c r="B9499" t="s">
        <v>82</v>
      </c>
      <c r="C9499" s="23">
        <v>1</v>
      </c>
      <c r="D9499" s="23">
        <v>1</v>
      </c>
      <c r="E9499" s="23">
        <v>1</v>
      </c>
      <c r="F9499" s="23">
        <v>1</v>
      </c>
      <c r="G9499">
        <v>1</v>
      </c>
      <c r="H9499">
        <v>7</v>
      </c>
    </row>
    <row r="9500" spans="1:8" x14ac:dyDescent="0.3">
      <c r="A9500" s="22" t="s">
        <v>64</v>
      </c>
      <c r="B9500" t="s">
        <v>83</v>
      </c>
      <c r="C9500" s="23">
        <v>0.30235953065279841</v>
      </c>
      <c r="D9500" s="23">
        <v>0.31687242798353898</v>
      </c>
      <c r="E9500" s="23">
        <v>0.177514792899408</v>
      </c>
      <c r="F9500" s="23">
        <v>0.57803468208092501</v>
      </c>
      <c r="G9500">
        <v>5</v>
      </c>
      <c r="H9500">
        <v>7</v>
      </c>
    </row>
    <row r="9501" spans="1:8" x14ac:dyDescent="0.3">
      <c r="A9501" s="22" t="s">
        <v>64</v>
      </c>
      <c r="B9501" t="s">
        <v>84</v>
      </c>
      <c r="C9501" s="23">
        <v>0.166389351081531</v>
      </c>
      <c r="D9501" s="23">
        <v>0.166389351081531</v>
      </c>
      <c r="E9501" s="23">
        <v>0.166389351081531</v>
      </c>
      <c r="F9501" s="23">
        <v>0.166389351081531</v>
      </c>
      <c r="G9501">
        <v>1</v>
      </c>
      <c r="H9501">
        <v>7</v>
      </c>
    </row>
    <row r="9502" spans="1:8" x14ac:dyDescent="0.3">
      <c r="C9502" s="23"/>
      <c r="D9502" s="23"/>
      <c r="E9502" s="23"/>
      <c r="F9502" s="23"/>
    </row>
    <row r="9503" spans="1:8" ht="57.6" x14ac:dyDescent="0.3">
      <c r="A9503" s="22" t="s">
        <v>2038</v>
      </c>
    </row>
    <row r="9504" spans="1:8" x14ac:dyDescent="0.3">
      <c r="A9504" s="22" t="s">
        <v>57</v>
      </c>
      <c r="B9504" t="s">
        <v>58</v>
      </c>
      <c r="C9504" t="s">
        <v>59</v>
      </c>
      <c r="D9504" t="s">
        <v>60</v>
      </c>
      <c r="E9504" t="s">
        <v>61</v>
      </c>
      <c r="F9504" t="s">
        <v>62</v>
      </c>
      <c r="G9504" t="s">
        <v>63</v>
      </c>
    </row>
    <row r="9505" spans="1:8" x14ac:dyDescent="0.3">
      <c r="A9505" s="22" t="s">
        <v>64</v>
      </c>
      <c r="B9505" s="23">
        <v>0.23124677115675921</v>
      </c>
      <c r="C9505" s="23">
        <v>0.19075568598679399</v>
      </c>
      <c r="D9505" s="23">
        <v>3.3277870216306203E-2</v>
      </c>
      <c r="E9505" s="23">
        <v>0.67146282973621096</v>
      </c>
      <c r="F9505">
        <v>11</v>
      </c>
      <c r="G9505">
        <v>11</v>
      </c>
    </row>
    <row r="9507" spans="1:8" ht="72" x14ac:dyDescent="0.3">
      <c r="A9507" s="22" t="s">
        <v>2039</v>
      </c>
      <c r="C9507" s="23"/>
      <c r="D9507" s="23"/>
      <c r="E9507" s="23"/>
      <c r="F9507" s="23"/>
    </row>
    <row r="9508" spans="1:8" x14ac:dyDescent="0.3">
      <c r="A9508" s="22" t="s">
        <v>57</v>
      </c>
      <c r="B9508" t="s">
        <v>66</v>
      </c>
      <c r="C9508" s="23" t="s">
        <v>58</v>
      </c>
      <c r="D9508" s="23" t="s">
        <v>59</v>
      </c>
      <c r="E9508" s="23" t="s">
        <v>60</v>
      </c>
      <c r="F9508" s="23" t="s">
        <v>61</v>
      </c>
      <c r="G9508" t="s">
        <v>62</v>
      </c>
      <c r="H9508" t="s">
        <v>63</v>
      </c>
    </row>
    <row r="9509" spans="1:8" x14ac:dyDescent="0.3">
      <c r="A9509" s="22" t="s">
        <v>64</v>
      </c>
      <c r="B9509" t="s">
        <v>67</v>
      </c>
      <c r="C9509" s="23">
        <v>0.23124677115675921</v>
      </c>
      <c r="D9509" s="23">
        <v>0.19075568598679399</v>
      </c>
      <c r="E9509" s="23">
        <v>3.3277870216306203E-2</v>
      </c>
      <c r="F9509" s="23">
        <v>0.67146282973621096</v>
      </c>
      <c r="G9509">
        <v>11</v>
      </c>
      <c r="H9509">
        <v>11</v>
      </c>
    </row>
    <row r="9510" spans="1:8" x14ac:dyDescent="0.3">
      <c r="C9510" s="23"/>
      <c r="D9510" s="23"/>
      <c r="E9510" s="23"/>
      <c r="F9510" s="23"/>
    </row>
    <row r="9511" spans="1:8" x14ac:dyDescent="0.3">
      <c r="A9511"/>
      <c r="C9511" s="23"/>
      <c r="D9511" s="23"/>
      <c r="E9511" s="23"/>
      <c r="F9511" s="23"/>
    </row>
    <row r="9512" spans="1:8" x14ac:dyDescent="0.3">
      <c r="A9512"/>
      <c r="C9512" s="23"/>
      <c r="D9512" s="23"/>
      <c r="E9512" s="23"/>
      <c r="F9512" s="23"/>
    </row>
    <row r="9513" spans="1:8" x14ac:dyDescent="0.3">
      <c r="A9513"/>
      <c r="C9513" s="23"/>
      <c r="D9513" s="23"/>
      <c r="E9513" s="23"/>
      <c r="F9513" s="23"/>
    </row>
    <row r="9514" spans="1:8" x14ac:dyDescent="0.3">
      <c r="A9514"/>
      <c r="C9514" s="23"/>
      <c r="D9514" s="23"/>
      <c r="E9514" s="23"/>
      <c r="F9514" s="23"/>
    </row>
    <row r="9515" spans="1:8" ht="72" x14ac:dyDescent="0.3">
      <c r="A9515" s="22" t="s">
        <v>2040</v>
      </c>
      <c r="C9515" s="23"/>
      <c r="D9515" s="23"/>
      <c r="E9515" s="23"/>
      <c r="F9515" s="23"/>
    </row>
    <row r="9516" spans="1:8" x14ac:dyDescent="0.3">
      <c r="A9516" s="22" t="s">
        <v>57</v>
      </c>
      <c r="B9516" t="s">
        <v>66</v>
      </c>
      <c r="C9516" s="23" t="s">
        <v>58</v>
      </c>
      <c r="D9516" s="23" t="s">
        <v>59</v>
      </c>
      <c r="E9516" s="23" t="s">
        <v>60</v>
      </c>
      <c r="F9516" s="23" t="s">
        <v>61</v>
      </c>
      <c r="G9516" t="s">
        <v>62</v>
      </c>
      <c r="H9516" t="s">
        <v>63</v>
      </c>
    </row>
    <row r="9517" spans="1:8" x14ac:dyDescent="0.3">
      <c r="A9517" s="22" t="s">
        <v>64</v>
      </c>
      <c r="B9517" t="s">
        <v>67</v>
      </c>
      <c r="C9517" s="23">
        <v>0.19022169363685901</v>
      </c>
      <c r="D9517" s="23">
        <v>0.19075568598679399</v>
      </c>
      <c r="E9517" s="23">
        <v>3.3277870216306203E-2</v>
      </c>
      <c r="F9517" s="23">
        <v>0.46511627906976699</v>
      </c>
      <c r="G9517">
        <v>9</v>
      </c>
      <c r="H9517">
        <v>11</v>
      </c>
    </row>
    <row r="9518" spans="1:8" x14ac:dyDescent="0.3">
      <c r="A9518" s="22" t="s">
        <v>64</v>
      </c>
      <c r="B9518" t="s">
        <v>68</v>
      </c>
      <c r="C9518" s="23">
        <v>0.41585961999631049</v>
      </c>
      <c r="D9518" s="23">
        <v>0.16025641025640999</v>
      </c>
      <c r="E9518" s="23">
        <v>0.16025641025640999</v>
      </c>
      <c r="F9518" s="23">
        <v>0.67146282973621096</v>
      </c>
      <c r="G9518">
        <v>2</v>
      </c>
      <c r="H9518">
        <v>11</v>
      </c>
    </row>
    <row r="9519" spans="1:8" x14ac:dyDescent="0.3">
      <c r="C9519" s="23"/>
      <c r="D9519" s="23"/>
      <c r="E9519" s="23"/>
      <c r="F9519" s="23"/>
    </row>
    <row r="9520" spans="1:8" ht="72" x14ac:dyDescent="0.3">
      <c r="A9520" s="22" t="s">
        <v>2041</v>
      </c>
      <c r="C9520" s="23"/>
      <c r="D9520" s="23"/>
      <c r="E9520" s="23"/>
      <c r="F9520" s="23"/>
    </row>
    <row r="9521" spans="1:8" x14ac:dyDescent="0.3">
      <c r="A9521" s="22" t="s">
        <v>57</v>
      </c>
      <c r="B9521" t="s">
        <v>66</v>
      </c>
      <c r="C9521" s="23" t="s">
        <v>58</v>
      </c>
      <c r="D9521" s="23" t="s">
        <v>59</v>
      </c>
      <c r="E9521" s="23" t="s">
        <v>60</v>
      </c>
      <c r="F9521" s="23" t="s">
        <v>61</v>
      </c>
      <c r="G9521" t="s">
        <v>62</v>
      </c>
      <c r="H9521" t="s">
        <v>63</v>
      </c>
    </row>
    <row r="9522" spans="1:8" x14ac:dyDescent="0.3">
      <c r="A9522" s="22" t="s">
        <v>64</v>
      </c>
      <c r="B9522" t="s">
        <v>67</v>
      </c>
      <c r="C9522" s="23">
        <v>0.23124677115675921</v>
      </c>
      <c r="D9522" s="23">
        <v>0.19075568598679399</v>
      </c>
      <c r="E9522" s="23">
        <v>3.3277870216306203E-2</v>
      </c>
      <c r="F9522" s="23">
        <v>0.67146282973621096</v>
      </c>
      <c r="G9522">
        <v>11</v>
      </c>
      <c r="H9522">
        <v>11</v>
      </c>
    </row>
    <row r="9523" spans="1:8" x14ac:dyDescent="0.3">
      <c r="C9523" s="23"/>
      <c r="D9523" s="23"/>
      <c r="E9523" s="23"/>
      <c r="F9523" s="23"/>
    </row>
    <row r="9524" spans="1:8" ht="72" x14ac:dyDescent="0.3">
      <c r="A9524" s="22" t="s">
        <v>2042</v>
      </c>
      <c r="C9524" s="23"/>
      <c r="D9524" s="23"/>
      <c r="E9524" s="23"/>
      <c r="F9524" s="23"/>
    </row>
    <row r="9525" spans="1:8" x14ac:dyDescent="0.3">
      <c r="A9525" s="22" t="s">
        <v>57</v>
      </c>
      <c r="B9525" t="s">
        <v>66</v>
      </c>
      <c r="C9525" s="23" t="s">
        <v>58</v>
      </c>
      <c r="D9525" s="23" t="s">
        <v>59</v>
      </c>
      <c r="E9525" s="23" t="s">
        <v>60</v>
      </c>
      <c r="F9525" s="23" t="s">
        <v>61</v>
      </c>
      <c r="G9525" t="s">
        <v>62</v>
      </c>
      <c r="H9525" t="s">
        <v>63</v>
      </c>
    </row>
    <row r="9526" spans="1:8" x14ac:dyDescent="0.3">
      <c r="A9526" s="22" t="s">
        <v>64</v>
      </c>
      <c r="B9526" t="s">
        <v>67</v>
      </c>
      <c r="C9526" s="23">
        <v>0.23124677115675921</v>
      </c>
      <c r="D9526" s="23">
        <v>0.19075568598679399</v>
      </c>
      <c r="E9526" s="23">
        <v>3.3277870216306203E-2</v>
      </c>
      <c r="F9526" s="23">
        <v>0.67146282973621096</v>
      </c>
      <c r="G9526">
        <v>11</v>
      </c>
      <c r="H9526">
        <v>11</v>
      </c>
    </row>
    <row r="9527" spans="1:8" x14ac:dyDescent="0.3">
      <c r="C9527" s="23"/>
      <c r="D9527" s="23"/>
      <c r="E9527" s="23"/>
      <c r="F9527" s="23"/>
    </row>
    <row r="9528" spans="1:8" ht="72" x14ac:dyDescent="0.3">
      <c r="A9528" s="22" t="s">
        <v>2043</v>
      </c>
      <c r="C9528" s="23"/>
      <c r="D9528" s="23"/>
      <c r="E9528" s="23"/>
      <c r="F9528" s="23"/>
    </row>
    <row r="9529" spans="1:8" x14ac:dyDescent="0.3">
      <c r="A9529" s="22" t="s">
        <v>57</v>
      </c>
      <c r="B9529" t="s">
        <v>66</v>
      </c>
      <c r="C9529" s="23" t="s">
        <v>58</v>
      </c>
      <c r="D9529" s="23" t="s">
        <v>59</v>
      </c>
      <c r="E9529" s="23" t="s">
        <v>60</v>
      </c>
      <c r="F9529" s="23" t="s">
        <v>61</v>
      </c>
      <c r="G9529" t="s">
        <v>62</v>
      </c>
      <c r="H9529" t="s">
        <v>63</v>
      </c>
    </row>
    <row r="9530" spans="1:8" x14ac:dyDescent="0.3">
      <c r="A9530" s="22" t="s">
        <v>64</v>
      </c>
      <c r="B9530" t="s">
        <v>68</v>
      </c>
      <c r="C9530" s="23">
        <v>0.23124677115675921</v>
      </c>
      <c r="D9530" s="23">
        <v>0.19075568598679399</v>
      </c>
      <c r="E9530" s="23">
        <v>3.3277870216306203E-2</v>
      </c>
      <c r="F9530" s="23">
        <v>0.67146282973621096</v>
      </c>
      <c r="G9530">
        <v>11</v>
      </c>
      <c r="H9530">
        <v>11</v>
      </c>
    </row>
    <row r="9531" spans="1:8" x14ac:dyDescent="0.3">
      <c r="C9531" s="23"/>
      <c r="D9531" s="23"/>
      <c r="E9531" s="23"/>
      <c r="F9531" s="23"/>
    </row>
    <row r="9532" spans="1:8" ht="72" x14ac:dyDescent="0.3">
      <c r="A9532" s="22" t="s">
        <v>2044</v>
      </c>
      <c r="C9532" s="23"/>
      <c r="D9532" s="23"/>
      <c r="E9532" s="23"/>
      <c r="F9532" s="23"/>
    </row>
    <row r="9533" spans="1:8" x14ac:dyDescent="0.3">
      <c r="A9533" s="22" t="s">
        <v>57</v>
      </c>
      <c r="B9533" t="s">
        <v>66</v>
      </c>
      <c r="C9533" s="23" t="s">
        <v>58</v>
      </c>
      <c r="D9533" s="23" t="s">
        <v>59</v>
      </c>
      <c r="E9533" s="23" t="s">
        <v>60</v>
      </c>
      <c r="F9533" s="23" t="s">
        <v>61</v>
      </c>
      <c r="G9533" t="s">
        <v>62</v>
      </c>
      <c r="H9533" t="s">
        <v>63</v>
      </c>
    </row>
    <row r="9534" spans="1:8" x14ac:dyDescent="0.3">
      <c r="A9534" s="22" t="s">
        <v>64</v>
      </c>
      <c r="B9534" t="s">
        <v>67</v>
      </c>
      <c r="C9534" s="23">
        <v>0.2099270038279907</v>
      </c>
      <c r="D9534" s="23">
        <v>0.135135135135135</v>
      </c>
      <c r="E9534" s="23">
        <v>3.3277870216306203E-2</v>
      </c>
      <c r="F9534" s="23">
        <v>0.67146282973621096</v>
      </c>
      <c r="G9534">
        <v>10</v>
      </c>
      <c r="H9534">
        <v>11</v>
      </c>
    </row>
    <row r="9535" spans="1:8" x14ac:dyDescent="0.3">
      <c r="A9535" s="22" t="s">
        <v>64</v>
      </c>
      <c r="B9535" t="s">
        <v>68</v>
      </c>
      <c r="C9535" s="23">
        <v>0.44444444444444398</v>
      </c>
      <c r="D9535" s="23">
        <v>0.44444444444444398</v>
      </c>
      <c r="E9535" s="23">
        <v>0.44444444444444398</v>
      </c>
      <c r="F9535" s="23">
        <v>0.44444444444444398</v>
      </c>
      <c r="G9535">
        <v>1</v>
      </c>
      <c r="H9535">
        <v>11</v>
      </c>
    </row>
    <row r="9536" spans="1:8" x14ac:dyDescent="0.3">
      <c r="C9536" s="23"/>
      <c r="D9536" s="23"/>
      <c r="E9536" s="23"/>
      <c r="F9536" s="23"/>
    </row>
    <row r="9537" spans="1:8" ht="72" x14ac:dyDescent="0.3">
      <c r="A9537" s="22" t="s">
        <v>2045</v>
      </c>
      <c r="C9537" s="23"/>
      <c r="D9537" s="23"/>
      <c r="E9537" s="23"/>
      <c r="F9537" s="23"/>
    </row>
    <row r="9538" spans="1:8" x14ac:dyDescent="0.3">
      <c r="A9538" s="22" t="s">
        <v>57</v>
      </c>
      <c r="B9538" t="s">
        <v>66</v>
      </c>
      <c r="C9538" s="23" t="s">
        <v>58</v>
      </c>
      <c r="D9538" s="23" t="s">
        <v>59</v>
      </c>
      <c r="E9538" s="23" t="s">
        <v>60</v>
      </c>
      <c r="F9538" s="23" t="s">
        <v>61</v>
      </c>
      <c r="G9538" t="s">
        <v>62</v>
      </c>
      <c r="H9538" t="s">
        <v>63</v>
      </c>
    </row>
    <row r="9539" spans="1:8" x14ac:dyDescent="0.3">
      <c r="A9539" s="22" t="s">
        <v>64</v>
      </c>
      <c r="B9539" t="s">
        <v>67</v>
      </c>
      <c r="C9539" s="23">
        <v>0.27178472689280819</v>
      </c>
      <c r="D9539" s="23">
        <v>0.16025641025640999</v>
      </c>
      <c r="E9539" s="23">
        <v>3.3277870216306203E-2</v>
      </c>
      <c r="F9539" s="23">
        <v>0.67146282973621096</v>
      </c>
      <c r="G9539">
        <v>8</v>
      </c>
      <c r="H9539">
        <v>11</v>
      </c>
    </row>
    <row r="9540" spans="1:8" x14ac:dyDescent="0.3">
      <c r="A9540" s="22" t="s">
        <v>64</v>
      </c>
      <c r="B9540" t="s">
        <v>68</v>
      </c>
      <c r="C9540" s="23">
        <v>0.1231455558606287</v>
      </c>
      <c r="D9540" s="23">
        <v>0.19075568598679399</v>
      </c>
      <c r="E9540" s="23">
        <v>5.3680981595091999E-2</v>
      </c>
      <c r="F9540" s="23">
        <v>0.19075568598679399</v>
      </c>
      <c r="G9540">
        <v>3</v>
      </c>
      <c r="H9540">
        <v>11</v>
      </c>
    </row>
    <row r="9541" spans="1:8" x14ac:dyDescent="0.3">
      <c r="C9541" s="23"/>
      <c r="D9541" s="23"/>
      <c r="E9541" s="23"/>
      <c r="F9541" s="23"/>
    </row>
    <row r="9542" spans="1:8" ht="72" x14ac:dyDescent="0.3">
      <c r="A9542" s="22" t="s">
        <v>2046</v>
      </c>
      <c r="C9542" s="23"/>
      <c r="D9542" s="23"/>
      <c r="E9542" s="23"/>
      <c r="F9542" s="23"/>
    </row>
    <row r="9543" spans="1:8" x14ac:dyDescent="0.3">
      <c r="A9543" s="22" t="s">
        <v>57</v>
      </c>
      <c r="B9543" t="s">
        <v>66</v>
      </c>
      <c r="C9543" s="23" t="s">
        <v>58</v>
      </c>
      <c r="D9543" s="23" t="s">
        <v>59</v>
      </c>
      <c r="E9543" s="23" t="s">
        <v>60</v>
      </c>
      <c r="F9543" s="23" t="s">
        <v>61</v>
      </c>
      <c r="G9543" t="s">
        <v>62</v>
      </c>
      <c r="H9543" t="s">
        <v>63</v>
      </c>
    </row>
    <row r="9544" spans="1:8" x14ac:dyDescent="0.3">
      <c r="A9544" s="22" t="s">
        <v>64</v>
      </c>
      <c r="B9544" t="s">
        <v>67</v>
      </c>
      <c r="C9544" s="23">
        <v>0.26221010592362082</v>
      </c>
      <c r="D9544" s="23">
        <v>0.20576131687242799</v>
      </c>
      <c r="E9544" s="23">
        <v>3.3277870216306203E-2</v>
      </c>
      <c r="F9544" s="23">
        <v>0.67146282973621096</v>
      </c>
      <c r="G9544">
        <v>9</v>
      </c>
      <c r="H9544">
        <v>11</v>
      </c>
    </row>
    <row r="9545" spans="1:8" x14ac:dyDescent="0.3">
      <c r="A9545" s="22" t="s">
        <v>64</v>
      </c>
      <c r="B9545" t="s">
        <v>68</v>
      </c>
      <c r="C9545" s="23">
        <v>9.1911764705882346E-2</v>
      </c>
      <c r="D9545" s="23">
        <v>5.8823529411764698E-2</v>
      </c>
      <c r="E9545" s="23">
        <v>5.8823529411764698E-2</v>
      </c>
      <c r="F9545" s="23">
        <v>0.125</v>
      </c>
      <c r="G9545">
        <v>2</v>
      </c>
      <c r="H9545">
        <v>11</v>
      </c>
    </row>
    <row r="9546" spans="1:8" x14ac:dyDescent="0.3">
      <c r="C9546" s="23"/>
      <c r="D9546" s="23"/>
      <c r="E9546" s="23"/>
      <c r="F9546" s="23"/>
    </row>
    <row r="9547" spans="1:8" ht="86.4" x14ac:dyDescent="0.3">
      <c r="A9547" s="22" t="s">
        <v>2047</v>
      </c>
      <c r="C9547" s="23"/>
      <c r="D9547" s="23"/>
      <c r="E9547" s="23"/>
      <c r="F9547" s="23"/>
    </row>
    <row r="9548" spans="1:8" x14ac:dyDescent="0.3">
      <c r="A9548" s="22" t="s">
        <v>57</v>
      </c>
      <c r="B9548" t="s">
        <v>66</v>
      </c>
      <c r="C9548" s="23" t="s">
        <v>58</v>
      </c>
      <c r="D9548" s="23" t="s">
        <v>59</v>
      </c>
      <c r="E9548" s="23" t="s">
        <v>60</v>
      </c>
      <c r="F9548" s="23" t="s">
        <v>61</v>
      </c>
      <c r="G9548" t="s">
        <v>62</v>
      </c>
      <c r="H9548" t="s">
        <v>63</v>
      </c>
    </row>
    <row r="9549" spans="1:8" x14ac:dyDescent="0.3">
      <c r="A9549" s="22" t="s">
        <v>64</v>
      </c>
      <c r="B9549" t="s">
        <v>67</v>
      </c>
      <c r="C9549" s="23">
        <v>0.23124677115675921</v>
      </c>
      <c r="D9549" s="23">
        <v>0.19075568598679399</v>
      </c>
      <c r="E9549" s="23">
        <v>3.3277870216306203E-2</v>
      </c>
      <c r="F9549" s="23">
        <v>0.67146282973621096</v>
      </c>
      <c r="G9549">
        <v>11</v>
      </c>
      <c r="H9549">
        <v>11</v>
      </c>
    </row>
    <row r="9550" spans="1:8" x14ac:dyDescent="0.3">
      <c r="C9550" s="23"/>
      <c r="D9550" s="23"/>
      <c r="E9550" s="23"/>
      <c r="F9550" s="23"/>
    </row>
    <row r="9551" spans="1:8" ht="86.4" x14ac:dyDescent="0.3">
      <c r="A9551" s="22" t="s">
        <v>2048</v>
      </c>
      <c r="C9551" s="23"/>
      <c r="D9551" s="23"/>
      <c r="E9551" s="23"/>
      <c r="F9551" s="23"/>
    </row>
    <row r="9552" spans="1:8" x14ac:dyDescent="0.3">
      <c r="A9552" s="22" t="s">
        <v>57</v>
      </c>
      <c r="B9552" t="s">
        <v>66</v>
      </c>
      <c r="C9552" s="23" t="s">
        <v>58</v>
      </c>
      <c r="D9552" s="23" t="s">
        <v>59</v>
      </c>
      <c r="E9552" s="23" t="s">
        <v>60</v>
      </c>
      <c r="F9552" s="23" t="s">
        <v>61</v>
      </c>
      <c r="G9552" t="s">
        <v>62</v>
      </c>
      <c r="H9552" t="s">
        <v>63</v>
      </c>
    </row>
    <row r="9553" spans="1:8" x14ac:dyDescent="0.3">
      <c r="A9553" s="22" t="s">
        <v>64</v>
      </c>
      <c r="B9553" t="s">
        <v>67</v>
      </c>
      <c r="C9553" s="23">
        <v>0.23124677115675921</v>
      </c>
      <c r="D9553" s="23">
        <v>0.19075568598679399</v>
      </c>
      <c r="E9553" s="23">
        <v>3.3277870216306203E-2</v>
      </c>
      <c r="F9553" s="23">
        <v>0.67146282973621096</v>
      </c>
      <c r="G9553">
        <v>11</v>
      </c>
      <c r="H9553">
        <v>11</v>
      </c>
    </row>
    <row r="9554" spans="1:8" x14ac:dyDescent="0.3">
      <c r="C9554" s="23"/>
      <c r="D9554" s="23"/>
      <c r="E9554" s="23"/>
      <c r="F9554" s="23"/>
    </row>
    <row r="9555" spans="1:8" ht="72" x14ac:dyDescent="0.3">
      <c r="A9555" s="22" t="s">
        <v>2049</v>
      </c>
      <c r="C9555" s="23"/>
      <c r="D9555" s="23"/>
      <c r="E9555" s="23"/>
      <c r="F9555" s="23"/>
    </row>
    <row r="9556" spans="1:8" x14ac:dyDescent="0.3">
      <c r="A9556" s="22" t="s">
        <v>57</v>
      </c>
      <c r="B9556" t="s">
        <v>66</v>
      </c>
      <c r="C9556" s="23" t="s">
        <v>58</v>
      </c>
      <c r="D9556" s="23" t="s">
        <v>59</v>
      </c>
      <c r="E9556" s="23" t="s">
        <v>60</v>
      </c>
      <c r="F9556" s="23" t="s">
        <v>61</v>
      </c>
      <c r="G9556" t="s">
        <v>62</v>
      </c>
      <c r="H9556" t="s">
        <v>63</v>
      </c>
    </row>
    <row r="9557" spans="1:8" x14ac:dyDescent="0.3">
      <c r="A9557" s="22" t="s">
        <v>64</v>
      </c>
      <c r="B9557" t="s">
        <v>67</v>
      </c>
      <c r="C9557" s="23">
        <v>0.23534329537726789</v>
      </c>
      <c r="D9557" s="23">
        <v>0.16025641025640999</v>
      </c>
      <c r="E9557" s="23">
        <v>5.8823529411764698E-2</v>
      </c>
      <c r="F9557" s="23">
        <v>0.67146282973621096</v>
      </c>
      <c r="G9557">
        <v>6</v>
      </c>
      <c r="H9557">
        <v>11</v>
      </c>
    </row>
    <row r="9558" spans="1:8" x14ac:dyDescent="0.3">
      <c r="A9558" s="22" t="s">
        <v>64</v>
      </c>
      <c r="B9558" t="s">
        <v>68</v>
      </c>
      <c r="C9558" s="23">
        <v>0.2263309420921488</v>
      </c>
      <c r="D9558" s="23">
        <v>0.44444444444444398</v>
      </c>
      <c r="E9558" s="23">
        <v>3.3277870216306203E-2</v>
      </c>
      <c r="F9558" s="23">
        <v>0.46511627906976699</v>
      </c>
      <c r="G9558">
        <v>5</v>
      </c>
      <c r="H9558">
        <v>11</v>
      </c>
    </row>
    <row r="9559" spans="1:8" x14ac:dyDescent="0.3">
      <c r="C9559" s="23"/>
      <c r="D9559" s="23"/>
      <c r="E9559" s="23"/>
      <c r="F9559" s="23"/>
    </row>
    <row r="9560" spans="1:8" ht="86.4" x14ac:dyDescent="0.3">
      <c r="A9560" s="22" t="s">
        <v>2050</v>
      </c>
      <c r="C9560" s="23"/>
      <c r="D9560" s="23"/>
      <c r="E9560" s="23"/>
      <c r="F9560" s="23"/>
    </row>
    <row r="9561" spans="1:8" x14ac:dyDescent="0.3">
      <c r="A9561" s="22" t="s">
        <v>57</v>
      </c>
      <c r="B9561" t="s">
        <v>66</v>
      </c>
      <c r="C9561" s="23" t="s">
        <v>58</v>
      </c>
      <c r="D9561" s="23" t="s">
        <v>59</v>
      </c>
      <c r="E9561" s="23" t="s">
        <v>60</v>
      </c>
      <c r="F9561" s="23" t="s">
        <v>61</v>
      </c>
      <c r="G9561" t="s">
        <v>62</v>
      </c>
      <c r="H9561" t="s">
        <v>63</v>
      </c>
    </row>
    <row r="9562" spans="1:8" x14ac:dyDescent="0.3">
      <c r="A9562" s="22" t="s">
        <v>64</v>
      </c>
      <c r="B9562" t="s">
        <v>67</v>
      </c>
      <c r="C9562" s="23">
        <v>0.24848909533125871</v>
      </c>
      <c r="D9562" s="23">
        <v>0.16025641025640999</v>
      </c>
      <c r="E9562" s="23">
        <v>3.3277870216306203E-2</v>
      </c>
      <c r="F9562" s="23">
        <v>0.67146282973621096</v>
      </c>
      <c r="G9562">
        <v>10</v>
      </c>
      <c r="H9562">
        <v>11</v>
      </c>
    </row>
    <row r="9563" spans="1:8" x14ac:dyDescent="0.3">
      <c r="A9563" s="22" t="s">
        <v>64</v>
      </c>
      <c r="B9563" t="s">
        <v>68</v>
      </c>
      <c r="C9563" s="23">
        <v>5.8823529411764698E-2</v>
      </c>
      <c r="D9563" s="23">
        <v>5.8823529411764698E-2</v>
      </c>
      <c r="E9563" s="23">
        <v>5.8823529411764698E-2</v>
      </c>
      <c r="F9563" s="23">
        <v>5.8823529411764698E-2</v>
      </c>
      <c r="G9563">
        <v>1</v>
      </c>
      <c r="H9563">
        <v>11</v>
      </c>
    </row>
    <row r="9564" spans="1:8" x14ac:dyDescent="0.3">
      <c r="C9564" s="23"/>
      <c r="D9564" s="23"/>
      <c r="E9564" s="23"/>
      <c r="F9564" s="23"/>
    </row>
    <row r="9565" spans="1:8" ht="72" x14ac:dyDescent="0.3">
      <c r="A9565" s="22" t="s">
        <v>2051</v>
      </c>
      <c r="C9565" s="23"/>
      <c r="D9565" s="23"/>
      <c r="E9565" s="23"/>
      <c r="F9565" s="23"/>
    </row>
    <row r="9566" spans="1:8" x14ac:dyDescent="0.3">
      <c r="A9566" s="22" t="s">
        <v>57</v>
      </c>
      <c r="B9566" t="s">
        <v>66</v>
      </c>
      <c r="C9566" t="s">
        <v>58</v>
      </c>
      <c r="D9566" t="s">
        <v>59</v>
      </c>
      <c r="E9566" t="s">
        <v>60</v>
      </c>
      <c r="F9566" t="s">
        <v>61</v>
      </c>
      <c r="G9566" t="s">
        <v>62</v>
      </c>
      <c r="H9566" t="s">
        <v>63</v>
      </c>
    </row>
    <row r="9567" spans="1:8" x14ac:dyDescent="0.3">
      <c r="A9567" s="22" t="s">
        <v>64</v>
      </c>
      <c r="B9567" t="s">
        <v>81</v>
      </c>
      <c r="C9567" s="23">
        <v>0.30529983243936559</v>
      </c>
      <c r="D9567" s="23">
        <v>0.67146282973621096</v>
      </c>
      <c r="E9567" s="23">
        <v>5.3680981595091999E-2</v>
      </c>
      <c r="F9567" s="23">
        <v>0.67146282973621096</v>
      </c>
      <c r="G9567">
        <v>3</v>
      </c>
      <c r="H9567">
        <v>11</v>
      </c>
    </row>
    <row r="9568" spans="1:8" x14ac:dyDescent="0.3">
      <c r="A9568" s="22" t="s">
        <v>64</v>
      </c>
      <c r="B9568" t="s">
        <v>82</v>
      </c>
      <c r="C9568" s="23">
        <v>0.34485357450473703</v>
      </c>
      <c r="D9568" s="23">
        <v>0.46511627906976699</v>
      </c>
      <c r="E9568" s="23">
        <v>0.125</v>
      </c>
      <c r="F9568" s="23">
        <v>0.46511627906976699</v>
      </c>
      <c r="G9568">
        <v>3</v>
      </c>
      <c r="H9568">
        <v>11</v>
      </c>
    </row>
    <row r="9569" spans="1:8" x14ac:dyDescent="0.3">
      <c r="A9569" s="22" t="s">
        <v>64</v>
      </c>
      <c r="B9569" t="s">
        <v>83</v>
      </c>
      <c r="C9569" s="23">
        <v>0.167050954087991</v>
      </c>
      <c r="D9569" s="23">
        <v>0.20576131687242799</v>
      </c>
      <c r="E9569" s="23">
        <v>0.135135135135135</v>
      </c>
      <c r="F9569" s="23">
        <v>0.20576131687242799</v>
      </c>
      <c r="G9569">
        <v>3</v>
      </c>
      <c r="H9569">
        <v>11</v>
      </c>
    </row>
    <row r="9570" spans="1:8" x14ac:dyDescent="0.3">
      <c r="A9570" s="22" t="s">
        <v>64</v>
      </c>
      <c r="B9570" t="s">
        <v>84</v>
      </c>
      <c r="C9570" s="23">
        <v>4.6050699814035451E-2</v>
      </c>
      <c r="D9570" s="23">
        <v>3.3277870216306203E-2</v>
      </c>
      <c r="E9570" s="23">
        <v>3.3277870216306203E-2</v>
      </c>
      <c r="F9570" s="23">
        <v>5.8823529411764698E-2</v>
      </c>
      <c r="G9570">
        <v>2</v>
      </c>
      <c r="H9570">
        <v>11</v>
      </c>
    </row>
    <row r="9571" spans="1:8" x14ac:dyDescent="0.3">
      <c r="C9571" s="23"/>
      <c r="D9571" s="23"/>
      <c r="E9571" s="23"/>
      <c r="F9571" s="23"/>
    </row>
    <row r="9572" spans="1:8" ht="57.6" x14ac:dyDescent="0.3">
      <c r="A9572" s="22" t="s">
        <v>2052</v>
      </c>
      <c r="C9572" s="23"/>
      <c r="D9572" s="23"/>
      <c r="E9572" s="23"/>
      <c r="F9572" s="23"/>
    </row>
    <row r="9573" spans="1:8" x14ac:dyDescent="0.3">
      <c r="A9573" s="22" t="s">
        <v>57</v>
      </c>
      <c r="B9573" t="s">
        <v>58</v>
      </c>
      <c r="C9573" s="23" t="s">
        <v>59</v>
      </c>
      <c r="D9573" s="23" t="s">
        <v>60</v>
      </c>
      <c r="E9573" s="23" t="s">
        <v>61</v>
      </c>
      <c r="F9573" s="23" t="s">
        <v>62</v>
      </c>
      <c r="G9573" t="s">
        <v>63</v>
      </c>
    </row>
    <row r="9574" spans="1:8" x14ac:dyDescent="0.3">
      <c r="A9574" s="22" t="s">
        <v>64</v>
      </c>
      <c r="B9574" s="23">
        <v>0.13620983670317019</v>
      </c>
      <c r="C9574" s="23">
        <v>0.15974440894568701</v>
      </c>
      <c r="D9574" s="23">
        <v>9.9833610648918505E-2</v>
      </c>
      <c r="E9574" s="23">
        <v>0.15974440894568701</v>
      </c>
      <c r="F9574" s="24">
        <v>3</v>
      </c>
      <c r="G9574">
        <v>3</v>
      </c>
    </row>
    <row r="9575" spans="1:8" x14ac:dyDescent="0.3">
      <c r="C9575" s="23"/>
      <c r="D9575" s="23"/>
      <c r="E9575" s="23"/>
      <c r="F9575" s="23"/>
    </row>
    <row r="9576" spans="1:8" ht="72" x14ac:dyDescent="0.3">
      <c r="A9576" s="22" t="s">
        <v>2053</v>
      </c>
      <c r="C9576" s="23"/>
      <c r="D9576" s="23"/>
      <c r="E9576" s="23"/>
      <c r="F9576" s="23"/>
    </row>
    <row r="9577" spans="1:8" x14ac:dyDescent="0.3">
      <c r="A9577" s="22" t="s">
        <v>57</v>
      </c>
      <c r="B9577" t="s">
        <v>66</v>
      </c>
      <c r="C9577" s="23" t="s">
        <v>58</v>
      </c>
      <c r="D9577" s="23" t="s">
        <v>59</v>
      </c>
      <c r="E9577" s="23" t="s">
        <v>60</v>
      </c>
      <c r="F9577" s="23" t="s">
        <v>61</v>
      </c>
      <c r="G9577" t="s">
        <v>62</v>
      </c>
      <c r="H9577" t="s">
        <v>63</v>
      </c>
    </row>
    <row r="9578" spans="1:8" x14ac:dyDescent="0.3">
      <c r="A9578" s="22" t="s">
        <v>64</v>
      </c>
      <c r="B9578" t="s">
        <v>67</v>
      </c>
      <c r="C9578" s="23">
        <v>0.12978900979730279</v>
      </c>
      <c r="D9578" s="23">
        <v>9.9833610648918505E-2</v>
      </c>
      <c r="E9578" s="23">
        <v>9.9833610648918505E-2</v>
      </c>
      <c r="F9578" s="23">
        <v>0.15974440894568701</v>
      </c>
      <c r="G9578">
        <v>2</v>
      </c>
      <c r="H9578">
        <v>3</v>
      </c>
    </row>
    <row r="9579" spans="1:8" x14ac:dyDescent="0.3">
      <c r="A9579" s="22" t="s">
        <v>64</v>
      </c>
      <c r="B9579" t="s">
        <v>68</v>
      </c>
      <c r="C9579" s="23">
        <v>0.14905149051490499</v>
      </c>
      <c r="D9579" s="23">
        <v>0.14905149051490499</v>
      </c>
      <c r="E9579" s="23">
        <v>0.14905149051490499</v>
      </c>
      <c r="F9579" s="23">
        <v>0.14905149051490499</v>
      </c>
      <c r="G9579">
        <v>1</v>
      </c>
      <c r="H9579">
        <v>3</v>
      </c>
    </row>
    <row r="9580" spans="1:8" x14ac:dyDescent="0.3">
      <c r="C9580" s="23"/>
      <c r="D9580" s="23"/>
      <c r="E9580" s="23"/>
      <c r="F9580" s="23"/>
    </row>
    <row r="9581" spans="1:8" x14ac:dyDescent="0.3">
      <c r="A9581"/>
      <c r="C9581" s="23"/>
      <c r="D9581" s="23"/>
      <c r="E9581" s="23"/>
      <c r="F9581" s="23"/>
    </row>
    <row r="9582" spans="1:8" x14ac:dyDescent="0.3">
      <c r="A9582"/>
      <c r="C9582" s="23"/>
      <c r="D9582" s="23"/>
      <c r="E9582" s="23"/>
      <c r="F9582" s="23"/>
    </row>
    <row r="9583" spans="1:8" x14ac:dyDescent="0.3">
      <c r="A9583"/>
      <c r="C9583" s="23"/>
      <c r="D9583" s="23"/>
      <c r="E9583" s="23"/>
      <c r="F9583" s="23"/>
    </row>
    <row r="9584" spans="1:8" x14ac:dyDescent="0.3">
      <c r="C9584" s="23"/>
      <c r="D9584" s="23"/>
      <c r="E9584" s="23"/>
      <c r="F9584" s="23"/>
    </row>
    <row r="9585" spans="1:8" ht="72" x14ac:dyDescent="0.3">
      <c r="A9585" s="22" t="s">
        <v>2054</v>
      </c>
      <c r="C9585" s="23"/>
      <c r="D9585" s="23"/>
      <c r="E9585" s="23"/>
      <c r="F9585" s="23"/>
    </row>
    <row r="9586" spans="1:8" x14ac:dyDescent="0.3">
      <c r="A9586" s="22" t="s">
        <v>57</v>
      </c>
      <c r="B9586" t="s">
        <v>66</v>
      </c>
      <c r="C9586" s="23" t="s">
        <v>58</v>
      </c>
      <c r="D9586" s="23" t="s">
        <v>59</v>
      </c>
      <c r="E9586" s="23" t="s">
        <v>60</v>
      </c>
      <c r="F9586" s="23" t="s">
        <v>61</v>
      </c>
      <c r="G9586" t="s">
        <v>62</v>
      </c>
      <c r="H9586" t="s">
        <v>63</v>
      </c>
    </row>
    <row r="9587" spans="1:8" x14ac:dyDescent="0.3">
      <c r="A9587" s="22" t="s">
        <v>64</v>
      </c>
      <c r="B9587" t="s">
        <v>67</v>
      </c>
      <c r="C9587" s="23">
        <v>0.13620983670317019</v>
      </c>
      <c r="D9587" s="23">
        <v>0.15974440894568701</v>
      </c>
      <c r="E9587" s="23">
        <v>9.9833610648918505E-2</v>
      </c>
      <c r="F9587" s="23">
        <v>0.15974440894568701</v>
      </c>
      <c r="G9587">
        <v>3</v>
      </c>
      <c r="H9587">
        <v>3</v>
      </c>
    </row>
    <row r="9588" spans="1:8" x14ac:dyDescent="0.3">
      <c r="C9588" s="23"/>
      <c r="D9588" s="23"/>
      <c r="E9588" s="23"/>
      <c r="F9588" s="23"/>
    </row>
    <row r="9589" spans="1:8" ht="72" x14ac:dyDescent="0.3">
      <c r="A9589" s="22" t="s">
        <v>2055</v>
      </c>
      <c r="C9589" s="23"/>
      <c r="D9589" s="23"/>
      <c r="E9589" s="23"/>
      <c r="F9589" s="23"/>
    </row>
    <row r="9590" spans="1:8" x14ac:dyDescent="0.3">
      <c r="A9590" s="22" t="s">
        <v>57</v>
      </c>
      <c r="B9590" t="s">
        <v>66</v>
      </c>
      <c r="C9590" s="23" t="s">
        <v>58</v>
      </c>
      <c r="D9590" s="23" t="s">
        <v>59</v>
      </c>
      <c r="E9590" s="23" t="s">
        <v>60</v>
      </c>
      <c r="F9590" s="23" t="s">
        <v>61</v>
      </c>
      <c r="G9590" t="s">
        <v>62</v>
      </c>
      <c r="H9590" t="s">
        <v>63</v>
      </c>
    </row>
    <row r="9591" spans="1:8" x14ac:dyDescent="0.3">
      <c r="A9591" s="22" t="s">
        <v>64</v>
      </c>
      <c r="B9591" t="s">
        <v>67</v>
      </c>
      <c r="C9591" s="23">
        <v>0.13620983670317019</v>
      </c>
      <c r="D9591" s="23">
        <v>0.15974440894568701</v>
      </c>
      <c r="E9591" s="23">
        <v>9.9833610648918505E-2</v>
      </c>
      <c r="F9591" s="23">
        <v>0.15974440894568701</v>
      </c>
      <c r="G9591">
        <v>3</v>
      </c>
      <c r="H9591">
        <v>3</v>
      </c>
    </row>
    <row r="9592" spans="1:8" x14ac:dyDescent="0.3">
      <c r="C9592" s="23"/>
      <c r="D9592" s="23"/>
      <c r="E9592" s="23"/>
      <c r="F9592" s="23"/>
    </row>
    <row r="9593" spans="1:8" ht="72" x14ac:dyDescent="0.3">
      <c r="A9593" s="22" t="s">
        <v>2056</v>
      </c>
      <c r="C9593" s="23"/>
      <c r="D9593" s="23"/>
      <c r="E9593" s="23"/>
      <c r="F9593" s="23"/>
    </row>
    <row r="9594" spans="1:8" x14ac:dyDescent="0.3">
      <c r="A9594" s="22" t="s">
        <v>57</v>
      </c>
      <c r="B9594" t="s">
        <v>66</v>
      </c>
      <c r="C9594" s="23" t="s">
        <v>58</v>
      </c>
      <c r="D9594" s="23" t="s">
        <v>59</v>
      </c>
      <c r="E9594" s="23" t="s">
        <v>60</v>
      </c>
      <c r="F9594" s="23" t="s">
        <v>61</v>
      </c>
      <c r="G9594" t="s">
        <v>62</v>
      </c>
      <c r="H9594" t="s">
        <v>63</v>
      </c>
    </row>
    <row r="9595" spans="1:8" x14ac:dyDescent="0.3">
      <c r="A9595" s="22" t="s">
        <v>64</v>
      </c>
      <c r="B9595" t="s">
        <v>67</v>
      </c>
      <c r="C9595" s="23">
        <v>0.13620983670317019</v>
      </c>
      <c r="D9595" s="23">
        <v>0.15974440894568701</v>
      </c>
      <c r="E9595" s="23">
        <v>9.9833610648918505E-2</v>
      </c>
      <c r="F9595" s="23">
        <v>0.15974440894568701</v>
      </c>
      <c r="G9595">
        <v>3</v>
      </c>
      <c r="H9595">
        <v>3</v>
      </c>
    </row>
    <row r="9596" spans="1:8" x14ac:dyDescent="0.3">
      <c r="C9596" s="23"/>
      <c r="D9596" s="23"/>
      <c r="E9596" s="23"/>
      <c r="F9596" s="23"/>
    </row>
    <row r="9597" spans="1:8" ht="72" x14ac:dyDescent="0.3">
      <c r="A9597" s="22" t="s">
        <v>2057</v>
      </c>
      <c r="C9597" s="23"/>
      <c r="D9597" s="23"/>
      <c r="E9597" s="23"/>
      <c r="F9597" s="23"/>
    </row>
    <row r="9598" spans="1:8" x14ac:dyDescent="0.3">
      <c r="A9598" s="22" t="s">
        <v>57</v>
      </c>
      <c r="B9598" t="s">
        <v>66</v>
      </c>
      <c r="C9598" s="23" t="s">
        <v>58</v>
      </c>
      <c r="D9598" s="23" t="s">
        <v>59</v>
      </c>
      <c r="E9598" s="23" t="s">
        <v>60</v>
      </c>
      <c r="F9598" s="23" t="s">
        <v>61</v>
      </c>
      <c r="G9598" t="s">
        <v>62</v>
      </c>
      <c r="H9598" t="s">
        <v>63</v>
      </c>
    </row>
    <row r="9599" spans="1:8" x14ac:dyDescent="0.3">
      <c r="A9599" s="22" t="s">
        <v>64</v>
      </c>
      <c r="B9599" t="s">
        <v>67</v>
      </c>
      <c r="C9599" s="23">
        <v>0.15974440894568701</v>
      </c>
      <c r="D9599" s="23">
        <v>0.15974440894568701</v>
      </c>
      <c r="E9599" s="23">
        <v>0.15974440894568701</v>
      </c>
      <c r="F9599" s="23">
        <v>0.15974440894568701</v>
      </c>
      <c r="G9599">
        <v>1</v>
      </c>
      <c r="H9599">
        <v>3</v>
      </c>
    </row>
    <row r="9600" spans="1:8" x14ac:dyDescent="0.3">
      <c r="A9600" s="22" t="s">
        <v>64</v>
      </c>
      <c r="B9600" t="s">
        <v>68</v>
      </c>
      <c r="C9600" s="23">
        <v>0.1244425505819118</v>
      </c>
      <c r="D9600" s="23">
        <v>9.9833610648918505E-2</v>
      </c>
      <c r="E9600" s="23">
        <v>9.9833610648918505E-2</v>
      </c>
      <c r="F9600" s="23">
        <v>0.14905149051490499</v>
      </c>
      <c r="G9600">
        <v>2</v>
      </c>
      <c r="H9600">
        <v>3</v>
      </c>
    </row>
    <row r="9601" spans="1:8" x14ac:dyDescent="0.3">
      <c r="C9601" s="23"/>
      <c r="D9601" s="23"/>
      <c r="E9601" s="23"/>
      <c r="F9601" s="23"/>
    </row>
    <row r="9602" spans="1:8" ht="72" x14ac:dyDescent="0.3">
      <c r="A9602" s="22" t="s">
        <v>2058</v>
      </c>
      <c r="C9602" s="23"/>
      <c r="D9602" s="23"/>
      <c r="E9602" s="23"/>
      <c r="F9602" s="23"/>
    </row>
    <row r="9603" spans="1:8" x14ac:dyDescent="0.3">
      <c r="A9603" s="22" t="s">
        <v>57</v>
      </c>
      <c r="B9603" t="s">
        <v>66</v>
      </c>
      <c r="C9603" s="23" t="s">
        <v>58</v>
      </c>
      <c r="D9603" s="23" t="s">
        <v>59</v>
      </c>
      <c r="E9603" s="23" t="s">
        <v>60</v>
      </c>
      <c r="F9603" s="23" t="s">
        <v>61</v>
      </c>
      <c r="G9603" t="s">
        <v>62</v>
      </c>
      <c r="H9603" t="s">
        <v>63</v>
      </c>
    </row>
    <row r="9604" spans="1:8" x14ac:dyDescent="0.3">
      <c r="A9604" s="22" t="s">
        <v>64</v>
      </c>
      <c r="B9604" t="s">
        <v>67</v>
      </c>
      <c r="C9604" s="23">
        <v>0.13620983670317019</v>
      </c>
      <c r="D9604" s="23">
        <v>0.15974440894568701</v>
      </c>
      <c r="E9604" s="23">
        <v>9.9833610648918505E-2</v>
      </c>
      <c r="F9604" s="23">
        <v>0.15974440894568701</v>
      </c>
      <c r="G9604">
        <v>3</v>
      </c>
      <c r="H9604">
        <v>3</v>
      </c>
    </row>
    <row r="9605" spans="1:8" x14ac:dyDescent="0.3">
      <c r="C9605" s="23"/>
      <c r="D9605" s="23"/>
      <c r="E9605" s="23"/>
      <c r="F9605" s="23"/>
    </row>
    <row r="9606" spans="1:8" ht="72" x14ac:dyDescent="0.3">
      <c r="A9606" s="22" t="s">
        <v>2059</v>
      </c>
      <c r="C9606" s="23"/>
      <c r="D9606" s="23"/>
      <c r="E9606" s="23"/>
      <c r="F9606" s="23"/>
    </row>
    <row r="9607" spans="1:8" x14ac:dyDescent="0.3">
      <c r="A9607" s="22" t="s">
        <v>57</v>
      </c>
      <c r="B9607" t="s">
        <v>66</v>
      </c>
      <c r="C9607" s="23" t="s">
        <v>58</v>
      </c>
      <c r="D9607" s="23" t="s">
        <v>59</v>
      </c>
      <c r="E9607" s="23" t="s">
        <v>60</v>
      </c>
      <c r="F9607" s="23" t="s">
        <v>61</v>
      </c>
      <c r="G9607" t="s">
        <v>62</v>
      </c>
      <c r="H9607" t="s">
        <v>63</v>
      </c>
    </row>
    <row r="9608" spans="1:8" x14ac:dyDescent="0.3">
      <c r="A9608" s="22" t="s">
        <v>64</v>
      </c>
      <c r="B9608" t="s">
        <v>67</v>
      </c>
      <c r="C9608" s="23">
        <v>9.9833610648918505E-2</v>
      </c>
      <c r="D9608" s="23">
        <v>9.9833610648918505E-2</v>
      </c>
      <c r="E9608" s="23">
        <v>9.9833610648918505E-2</v>
      </c>
      <c r="F9608" s="23">
        <v>9.9833610648918505E-2</v>
      </c>
      <c r="G9608">
        <v>1</v>
      </c>
      <c r="H9608">
        <v>3</v>
      </c>
    </row>
    <row r="9609" spans="1:8" x14ac:dyDescent="0.3">
      <c r="A9609" s="22" t="s">
        <v>64</v>
      </c>
      <c r="B9609" t="s">
        <v>68</v>
      </c>
      <c r="C9609" s="23">
        <v>0.154397949730296</v>
      </c>
      <c r="D9609" s="23">
        <v>0.14905149051490499</v>
      </c>
      <c r="E9609" s="23">
        <v>0.14905149051490499</v>
      </c>
      <c r="F9609" s="23">
        <v>0.15974440894568701</v>
      </c>
      <c r="G9609">
        <v>2</v>
      </c>
      <c r="H9609">
        <v>3</v>
      </c>
    </row>
    <row r="9610" spans="1:8" x14ac:dyDescent="0.3">
      <c r="C9610" s="23"/>
      <c r="D9610" s="23"/>
      <c r="E9610" s="23"/>
      <c r="F9610" s="23"/>
    </row>
    <row r="9611" spans="1:8" ht="72" x14ac:dyDescent="0.3">
      <c r="A9611" s="22" t="s">
        <v>2060</v>
      </c>
      <c r="C9611" s="23"/>
      <c r="D9611" s="23"/>
      <c r="E9611" s="23"/>
      <c r="F9611" s="23"/>
    </row>
    <row r="9612" spans="1:8" x14ac:dyDescent="0.3">
      <c r="A9612" s="22" t="s">
        <v>57</v>
      </c>
      <c r="B9612" t="s">
        <v>66</v>
      </c>
      <c r="C9612" s="23" t="s">
        <v>58</v>
      </c>
      <c r="D9612" s="23" t="s">
        <v>59</v>
      </c>
      <c r="E9612" s="23" t="s">
        <v>60</v>
      </c>
      <c r="F9612" s="23" t="s">
        <v>61</v>
      </c>
      <c r="G9612" t="s">
        <v>62</v>
      </c>
      <c r="H9612" t="s">
        <v>63</v>
      </c>
    </row>
    <row r="9613" spans="1:8" x14ac:dyDescent="0.3">
      <c r="A9613" s="22" t="s">
        <v>64</v>
      </c>
      <c r="B9613" t="s">
        <v>67</v>
      </c>
      <c r="C9613" s="23">
        <v>0.1244425505819118</v>
      </c>
      <c r="D9613" s="23">
        <v>9.9833610648918505E-2</v>
      </c>
      <c r="E9613" s="23">
        <v>9.9833610648918505E-2</v>
      </c>
      <c r="F9613" s="23">
        <v>0.14905149051490499</v>
      </c>
      <c r="G9613">
        <v>2</v>
      </c>
      <c r="H9613">
        <v>3</v>
      </c>
    </row>
    <row r="9614" spans="1:8" x14ac:dyDescent="0.3">
      <c r="A9614" s="22" t="s">
        <v>64</v>
      </c>
      <c r="B9614" t="s">
        <v>68</v>
      </c>
      <c r="C9614" s="23">
        <v>0.15974440894568701</v>
      </c>
      <c r="D9614" s="23">
        <v>0.15974440894568701</v>
      </c>
      <c r="E9614" s="23">
        <v>0.15974440894568701</v>
      </c>
      <c r="F9614" s="23">
        <v>0.15974440894568701</v>
      </c>
      <c r="G9614">
        <v>1</v>
      </c>
      <c r="H9614">
        <v>3</v>
      </c>
    </row>
    <row r="9615" spans="1:8" x14ac:dyDescent="0.3">
      <c r="C9615" s="23"/>
      <c r="D9615" s="23"/>
      <c r="E9615" s="23"/>
      <c r="F9615" s="23"/>
    </row>
    <row r="9616" spans="1:8" ht="86.4" x14ac:dyDescent="0.3">
      <c r="A9616" s="22" t="s">
        <v>2061</v>
      </c>
      <c r="C9616" s="23"/>
      <c r="D9616" s="23"/>
      <c r="E9616" s="23"/>
      <c r="F9616" s="23"/>
    </row>
    <row r="9617" spans="1:8" x14ac:dyDescent="0.3">
      <c r="A9617" s="22" t="s">
        <v>57</v>
      </c>
      <c r="B9617" t="s">
        <v>66</v>
      </c>
      <c r="C9617" s="23" t="s">
        <v>58</v>
      </c>
      <c r="D9617" s="23" t="s">
        <v>59</v>
      </c>
      <c r="E9617" s="23" t="s">
        <v>60</v>
      </c>
      <c r="F9617" s="23" t="s">
        <v>61</v>
      </c>
      <c r="G9617" t="s">
        <v>62</v>
      </c>
      <c r="H9617" t="s">
        <v>63</v>
      </c>
    </row>
    <row r="9618" spans="1:8" x14ac:dyDescent="0.3">
      <c r="A9618" s="22" t="s">
        <v>64</v>
      </c>
      <c r="B9618" t="s">
        <v>67</v>
      </c>
      <c r="C9618" s="23">
        <v>0.13620983670317019</v>
      </c>
      <c r="D9618" s="23">
        <v>0.15974440894568701</v>
      </c>
      <c r="E9618" s="23">
        <v>9.9833610648918505E-2</v>
      </c>
      <c r="F9618" s="23">
        <v>0.15974440894568701</v>
      </c>
      <c r="G9618">
        <v>3</v>
      </c>
      <c r="H9618">
        <v>3</v>
      </c>
    </row>
    <row r="9619" spans="1:8" x14ac:dyDescent="0.3">
      <c r="C9619" s="23"/>
      <c r="D9619" s="23"/>
      <c r="E9619" s="23"/>
      <c r="F9619" s="23"/>
    </row>
    <row r="9620" spans="1:8" ht="86.4" x14ac:dyDescent="0.3">
      <c r="A9620" s="22" t="s">
        <v>2062</v>
      </c>
      <c r="C9620" s="23"/>
      <c r="D9620" s="23"/>
      <c r="E9620" s="23"/>
      <c r="F9620" s="23"/>
    </row>
    <row r="9621" spans="1:8" x14ac:dyDescent="0.3">
      <c r="A9621" s="22" t="s">
        <v>57</v>
      </c>
      <c r="B9621" t="s">
        <v>66</v>
      </c>
      <c r="C9621" t="s">
        <v>58</v>
      </c>
      <c r="D9621" t="s">
        <v>59</v>
      </c>
      <c r="E9621" t="s">
        <v>60</v>
      </c>
      <c r="F9621" t="s">
        <v>61</v>
      </c>
      <c r="G9621" t="s">
        <v>62</v>
      </c>
      <c r="H9621" t="s">
        <v>63</v>
      </c>
    </row>
    <row r="9622" spans="1:8" x14ac:dyDescent="0.3">
      <c r="A9622" s="22" t="s">
        <v>64</v>
      </c>
      <c r="B9622" t="s">
        <v>67</v>
      </c>
      <c r="C9622" s="23">
        <v>0.13620983670317019</v>
      </c>
      <c r="D9622" s="23">
        <v>0.15974440894568701</v>
      </c>
      <c r="E9622" s="23">
        <v>9.9833610648918505E-2</v>
      </c>
      <c r="F9622" s="23">
        <v>0.15974440894568701</v>
      </c>
      <c r="G9622">
        <v>3</v>
      </c>
      <c r="H9622">
        <v>3</v>
      </c>
    </row>
    <row r="9624" spans="1:8" ht="72" x14ac:dyDescent="0.3">
      <c r="A9624" s="22" t="s">
        <v>2063</v>
      </c>
    </row>
    <row r="9625" spans="1:8" x14ac:dyDescent="0.3">
      <c r="A9625" s="22" t="s">
        <v>57</v>
      </c>
      <c r="B9625" t="s">
        <v>66</v>
      </c>
      <c r="C9625" t="s">
        <v>58</v>
      </c>
      <c r="D9625" t="s">
        <v>59</v>
      </c>
      <c r="E9625" t="s">
        <v>60</v>
      </c>
      <c r="F9625" t="s">
        <v>61</v>
      </c>
      <c r="G9625" t="s">
        <v>62</v>
      </c>
      <c r="H9625" t="s">
        <v>63</v>
      </c>
    </row>
    <row r="9626" spans="1:8" x14ac:dyDescent="0.3">
      <c r="A9626" s="22" t="s">
        <v>64</v>
      </c>
      <c r="B9626" t="s">
        <v>67</v>
      </c>
      <c r="C9626" s="23">
        <v>0.154397949730296</v>
      </c>
      <c r="D9626" s="23">
        <v>0.14905149051490499</v>
      </c>
      <c r="E9626" s="23">
        <v>0.14905149051490499</v>
      </c>
      <c r="F9626" s="23">
        <v>0.15974440894568701</v>
      </c>
      <c r="G9626">
        <v>2</v>
      </c>
      <c r="H9626">
        <v>3</v>
      </c>
    </row>
    <row r="9627" spans="1:8" x14ac:dyDescent="0.3">
      <c r="A9627" s="22" t="s">
        <v>64</v>
      </c>
      <c r="B9627" t="s">
        <v>68</v>
      </c>
      <c r="C9627" s="23">
        <v>9.9833610648918505E-2</v>
      </c>
      <c r="D9627" s="23">
        <v>9.9833610648918505E-2</v>
      </c>
      <c r="E9627" s="23">
        <v>9.9833610648918505E-2</v>
      </c>
      <c r="F9627" s="23">
        <v>9.9833610648918505E-2</v>
      </c>
      <c r="G9627">
        <v>1</v>
      </c>
      <c r="H9627">
        <v>3</v>
      </c>
    </row>
    <row r="9629" spans="1:8" ht="72" x14ac:dyDescent="0.3">
      <c r="A9629" s="22" t="s">
        <v>2064</v>
      </c>
    </row>
    <row r="9630" spans="1:8" x14ac:dyDescent="0.3">
      <c r="A9630" s="22" t="s">
        <v>57</v>
      </c>
      <c r="B9630" t="s">
        <v>66</v>
      </c>
      <c r="C9630" t="s">
        <v>58</v>
      </c>
      <c r="D9630" t="s">
        <v>59</v>
      </c>
      <c r="E9630" t="s">
        <v>60</v>
      </c>
      <c r="F9630" t="s">
        <v>61</v>
      </c>
      <c r="G9630" t="s">
        <v>62</v>
      </c>
      <c r="H9630" t="s">
        <v>63</v>
      </c>
    </row>
    <row r="9631" spans="1:8" x14ac:dyDescent="0.3">
      <c r="A9631" s="22" t="s">
        <v>64</v>
      </c>
      <c r="B9631" t="s">
        <v>67</v>
      </c>
      <c r="C9631" s="23">
        <v>0.13620983670317019</v>
      </c>
      <c r="D9631" s="23">
        <v>0.15974440894568701</v>
      </c>
      <c r="E9631" s="23">
        <v>9.9833610648918505E-2</v>
      </c>
      <c r="F9631" s="23">
        <v>0.15974440894568701</v>
      </c>
      <c r="G9631">
        <v>3</v>
      </c>
      <c r="H9631">
        <v>3</v>
      </c>
    </row>
    <row r="9632" spans="1:8" x14ac:dyDescent="0.3">
      <c r="C9632" s="23"/>
      <c r="D9632" s="23"/>
      <c r="E9632" s="23"/>
      <c r="F9632" s="23"/>
    </row>
    <row r="9633" spans="1:8" ht="57.6" x14ac:dyDescent="0.3">
      <c r="A9633" s="22" t="s">
        <v>2065</v>
      </c>
    </row>
    <row r="9634" spans="1:8" x14ac:dyDescent="0.3">
      <c r="A9634" s="22" t="s">
        <v>57</v>
      </c>
      <c r="B9634" t="s">
        <v>66</v>
      </c>
      <c r="C9634" t="s">
        <v>58</v>
      </c>
      <c r="D9634" t="s">
        <v>59</v>
      </c>
      <c r="E9634" t="s">
        <v>60</v>
      </c>
      <c r="F9634" t="s">
        <v>61</v>
      </c>
      <c r="G9634" t="s">
        <v>62</v>
      </c>
      <c r="H9634" t="s">
        <v>63</v>
      </c>
    </row>
    <row r="9635" spans="1:8" x14ac:dyDescent="0.3">
      <c r="A9635" s="22" t="s">
        <v>64</v>
      </c>
      <c r="B9635" t="s">
        <v>81</v>
      </c>
      <c r="C9635" s="23">
        <v>0.154397949730296</v>
      </c>
      <c r="D9635" s="23">
        <v>0.14905149051490499</v>
      </c>
      <c r="E9635" s="23">
        <v>0.14905149051490499</v>
      </c>
      <c r="F9635" s="23">
        <v>0.15974440894568701</v>
      </c>
      <c r="G9635">
        <v>2</v>
      </c>
      <c r="H9635">
        <v>3</v>
      </c>
    </row>
    <row r="9636" spans="1:8" x14ac:dyDescent="0.3">
      <c r="A9636" s="22" t="s">
        <v>64</v>
      </c>
      <c r="B9636" t="s">
        <v>84</v>
      </c>
      <c r="C9636" s="23">
        <v>9.9833610648918505E-2</v>
      </c>
      <c r="D9636" s="23">
        <v>9.9833610648918505E-2</v>
      </c>
      <c r="E9636" s="23">
        <v>9.9833610648918505E-2</v>
      </c>
      <c r="F9636" s="23">
        <v>9.9833610648918505E-2</v>
      </c>
      <c r="G9636">
        <v>1</v>
      </c>
      <c r="H9636">
        <v>3</v>
      </c>
    </row>
    <row r="9638" spans="1:8" ht="57.6" x14ac:dyDescent="0.3">
      <c r="A9638" s="22" t="s">
        <v>2066</v>
      </c>
    </row>
    <row r="9639" spans="1:8" x14ac:dyDescent="0.3">
      <c r="A9639" s="22" t="s">
        <v>57</v>
      </c>
      <c r="B9639" t="s">
        <v>58</v>
      </c>
      <c r="C9639" t="s">
        <v>59</v>
      </c>
      <c r="D9639" t="s">
        <v>60</v>
      </c>
      <c r="E9639" t="s">
        <v>61</v>
      </c>
      <c r="F9639" t="s">
        <v>62</v>
      </c>
      <c r="G9639" t="s">
        <v>63</v>
      </c>
    </row>
    <row r="9640" spans="1:8" x14ac:dyDescent="0.3">
      <c r="A9640" s="22" t="s">
        <v>64</v>
      </c>
      <c r="B9640" s="23">
        <v>9.3296023843943962E-2</v>
      </c>
      <c r="C9640" s="23">
        <v>0.14285714285714299</v>
      </c>
      <c r="D9640" s="23">
        <v>4.3572984749455299E-2</v>
      </c>
      <c r="E9640" s="23">
        <v>0.14285714285714299</v>
      </c>
      <c r="F9640">
        <v>3</v>
      </c>
      <c r="G9640">
        <v>3</v>
      </c>
    </row>
    <row r="9642" spans="1:8" ht="72" x14ac:dyDescent="0.3">
      <c r="A9642" s="22" t="s">
        <v>2067</v>
      </c>
    </row>
    <row r="9643" spans="1:8" x14ac:dyDescent="0.3">
      <c r="A9643" s="22" t="s">
        <v>57</v>
      </c>
      <c r="B9643" t="s">
        <v>66</v>
      </c>
      <c r="C9643" t="s">
        <v>58</v>
      </c>
      <c r="D9643" t="s">
        <v>59</v>
      </c>
      <c r="E9643" t="s">
        <v>60</v>
      </c>
      <c r="F9643" t="s">
        <v>61</v>
      </c>
      <c r="G9643" t="s">
        <v>62</v>
      </c>
      <c r="H9643" t="s">
        <v>63</v>
      </c>
    </row>
    <row r="9644" spans="1:8" x14ac:dyDescent="0.3">
      <c r="A9644" s="22" t="s">
        <v>64</v>
      </c>
      <c r="B9644" t="s">
        <v>67</v>
      </c>
      <c r="C9644" s="23">
        <v>9.3296023843943962E-2</v>
      </c>
      <c r="D9644" s="23">
        <v>0.14285714285714299</v>
      </c>
      <c r="E9644" s="23">
        <v>4.3572984749455299E-2</v>
      </c>
      <c r="F9644" s="23">
        <v>0.14285714285714299</v>
      </c>
      <c r="G9644">
        <v>3</v>
      </c>
      <c r="H9644">
        <v>3</v>
      </c>
    </row>
    <row r="9646" spans="1:8" x14ac:dyDescent="0.3">
      <c r="A9646"/>
    </row>
    <row r="9647" spans="1:8" x14ac:dyDescent="0.3">
      <c r="A9647"/>
    </row>
    <row r="9648" spans="1:8" x14ac:dyDescent="0.3">
      <c r="A9648"/>
    </row>
    <row r="9650" spans="1:8" ht="72" x14ac:dyDescent="0.3">
      <c r="A9650" s="22" t="s">
        <v>2068</v>
      </c>
    </row>
    <row r="9651" spans="1:8" x14ac:dyDescent="0.3">
      <c r="A9651" s="22" t="s">
        <v>57</v>
      </c>
      <c r="B9651" t="s">
        <v>66</v>
      </c>
      <c r="C9651" t="s">
        <v>58</v>
      </c>
      <c r="D9651" t="s">
        <v>59</v>
      </c>
      <c r="E9651" t="s">
        <v>60</v>
      </c>
      <c r="F9651" t="s">
        <v>61</v>
      </c>
      <c r="G9651" t="s">
        <v>62</v>
      </c>
      <c r="H9651" t="s">
        <v>63</v>
      </c>
    </row>
    <row r="9652" spans="1:8" x14ac:dyDescent="0.3">
      <c r="A9652" s="22" t="s">
        <v>64</v>
      </c>
      <c r="B9652" t="s">
        <v>67</v>
      </c>
      <c r="C9652" s="23">
        <v>9.3296023843943962E-2</v>
      </c>
      <c r="D9652" s="23">
        <v>0.14285714285714299</v>
      </c>
      <c r="E9652" s="23">
        <v>4.3572984749455299E-2</v>
      </c>
      <c r="F9652" s="23">
        <v>0.14285714285714299</v>
      </c>
      <c r="G9652">
        <v>3</v>
      </c>
      <c r="H9652">
        <v>3</v>
      </c>
    </row>
    <row r="9654" spans="1:8" ht="72" x14ac:dyDescent="0.3">
      <c r="A9654" s="22" t="s">
        <v>2069</v>
      </c>
    </row>
    <row r="9655" spans="1:8" x14ac:dyDescent="0.3">
      <c r="A9655" s="22" t="s">
        <v>57</v>
      </c>
      <c r="B9655" t="s">
        <v>66</v>
      </c>
      <c r="C9655" t="s">
        <v>58</v>
      </c>
      <c r="D9655" t="s">
        <v>59</v>
      </c>
      <c r="E9655" t="s">
        <v>60</v>
      </c>
      <c r="F9655" t="s">
        <v>61</v>
      </c>
      <c r="G9655" t="s">
        <v>62</v>
      </c>
      <c r="H9655" t="s">
        <v>63</v>
      </c>
    </row>
    <row r="9656" spans="1:8" x14ac:dyDescent="0.3">
      <c r="A9656" s="22" t="s">
        <v>64</v>
      </c>
      <c r="B9656" t="s">
        <v>67</v>
      </c>
      <c r="C9656" s="23">
        <v>9.3296023843943962E-2</v>
      </c>
      <c r="D9656" s="23">
        <v>0.14285714285714299</v>
      </c>
      <c r="E9656" s="23">
        <v>4.3572984749455299E-2</v>
      </c>
      <c r="F9656" s="23">
        <v>0.14285714285714299</v>
      </c>
      <c r="G9656">
        <v>3</v>
      </c>
      <c r="H9656">
        <v>3</v>
      </c>
    </row>
    <row r="9658" spans="1:8" ht="72" x14ac:dyDescent="0.3">
      <c r="A9658" s="22" t="s">
        <v>2070</v>
      </c>
    </row>
    <row r="9659" spans="1:8" x14ac:dyDescent="0.3">
      <c r="A9659" s="22" t="s">
        <v>57</v>
      </c>
      <c r="B9659" t="s">
        <v>66</v>
      </c>
      <c r="C9659" t="s">
        <v>58</v>
      </c>
      <c r="D9659" t="s">
        <v>59</v>
      </c>
      <c r="E9659" t="s">
        <v>60</v>
      </c>
      <c r="F9659" t="s">
        <v>61</v>
      </c>
      <c r="G9659" t="s">
        <v>62</v>
      </c>
      <c r="H9659" t="s">
        <v>63</v>
      </c>
    </row>
    <row r="9660" spans="1:8" x14ac:dyDescent="0.3">
      <c r="A9660" s="22" t="s">
        <v>64</v>
      </c>
      <c r="B9660" t="s">
        <v>67</v>
      </c>
      <c r="C9660" s="23">
        <v>9.3296023843943962E-2</v>
      </c>
      <c r="D9660" s="23">
        <v>0.14285714285714299</v>
      </c>
      <c r="E9660" s="23">
        <v>4.3572984749455299E-2</v>
      </c>
      <c r="F9660" s="23">
        <v>0.14285714285714299</v>
      </c>
      <c r="G9660">
        <v>3</v>
      </c>
      <c r="H9660">
        <v>3</v>
      </c>
    </row>
    <row r="9662" spans="1:8" ht="72" x14ac:dyDescent="0.3">
      <c r="A9662" s="22" t="s">
        <v>2071</v>
      </c>
    </row>
    <row r="9663" spans="1:8" x14ac:dyDescent="0.3">
      <c r="A9663" s="22" t="s">
        <v>57</v>
      </c>
      <c r="B9663" t="s">
        <v>66</v>
      </c>
      <c r="C9663" t="s">
        <v>58</v>
      </c>
      <c r="D9663" t="s">
        <v>59</v>
      </c>
      <c r="E9663" t="s">
        <v>60</v>
      </c>
      <c r="F9663" t="s">
        <v>61</v>
      </c>
      <c r="G9663" t="s">
        <v>62</v>
      </c>
      <c r="H9663" t="s">
        <v>63</v>
      </c>
    </row>
    <row r="9664" spans="1:8" x14ac:dyDescent="0.3">
      <c r="A9664" s="22" t="s">
        <v>64</v>
      </c>
      <c r="B9664" t="s">
        <v>68</v>
      </c>
      <c r="C9664" s="23">
        <v>9.3296023843943962E-2</v>
      </c>
      <c r="D9664" s="23">
        <v>0.14285714285714299</v>
      </c>
      <c r="E9664" s="23">
        <v>4.3572984749455299E-2</v>
      </c>
      <c r="F9664" s="23">
        <v>0.14285714285714299</v>
      </c>
      <c r="G9664">
        <v>3</v>
      </c>
      <c r="H9664">
        <v>3</v>
      </c>
    </row>
    <row r="9666" spans="1:8" ht="72" x14ac:dyDescent="0.3">
      <c r="A9666" s="22" t="s">
        <v>2072</v>
      </c>
    </row>
    <row r="9667" spans="1:8" x14ac:dyDescent="0.3">
      <c r="A9667" s="22" t="s">
        <v>57</v>
      </c>
      <c r="B9667" t="s">
        <v>66</v>
      </c>
      <c r="C9667" t="s">
        <v>58</v>
      </c>
      <c r="D9667" t="s">
        <v>59</v>
      </c>
      <c r="E9667" t="s">
        <v>60</v>
      </c>
      <c r="F9667" t="s">
        <v>61</v>
      </c>
      <c r="G9667" t="s">
        <v>62</v>
      </c>
      <c r="H9667" t="s">
        <v>63</v>
      </c>
    </row>
    <row r="9668" spans="1:8" x14ac:dyDescent="0.3">
      <c r="A9668" s="22" t="s">
        <v>64</v>
      </c>
      <c r="B9668" t="s">
        <v>67</v>
      </c>
      <c r="C9668" s="23">
        <v>9.3296023843943962E-2</v>
      </c>
      <c r="D9668" s="23">
        <v>0.14285714285714299</v>
      </c>
      <c r="E9668" s="23">
        <v>4.3572984749455299E-2</v>
      </c>
      <c r="F9668" s="23">
        <v>0.14285714285714299</v>
      </c>
      <c r="G9668">
        <v>3</v>
      </c>
      <c r="H9668">
        <v>3</v>
      </c>
    </row>
    <row r="9670" spans="1:8" ht="72" x14ac:dyDescent="0.3">
      <c r="A9670" s="22" t="s">
        <v>2073</v>
      </c>
    </row>
    <row r="9671" spans="1:8" x14ac:dyDescent="0.3">
      <c r="A9671" s="22" t="s">
        <v>57</v>
      </c>
      <c r="B9671" t="s">
        <v>66</v>
      </c>
      <c r="C9671" t="s">
        <v>58</v>
      </c>
      <c r="D9671" t="s">
        <v>59</v>
      </c>
      <c r="E9671" t="s">
        <v>60</v>
      </c>
      <c r="F9671" t="s">
        <v>61</v>
      </c>
      <c r="G9671" t="s">
        <v>62</v>
      </c>
      <c r="H9671" t="s">
        <v>63</v>
      </c>
    </row>
    <row r="9672" spans="1:8" x14ac:dyDescent="0.3">
      <c r="A9672" s="22" t="s">
        <v>64</v>
      </c>
      <c r="B9672" t="s">
        <v>67</v>
      </c>
      <c r="C9672" s="23">
        <v>9.3296023843943962E-2</v>
      </c>
      <c r="D9672" s="23">
        <v>0.14285714285714299</v>
      </c>
      <c r="E9672" s="23">
        <v>4.3572984749455299E-2</v>
      </c>
      <c r="F9672" s="23">
        <v>0.14285714285714299</v>
      </c>
      <c r="G9672">
        <v>3</v>
      </c>
      <c r="H9672">
        <v>3</v>
      </c>
    </row>
    <row r="9674" spans="1:8" ht="72" x14ac:dyDescent="0.3">
      <c r="A9674" s="22" t="s">
        <v>2074</v>
      </c>
    </row>
    <row r="9675" spans="1:8" x14ac:dyDescent="0.3">
      <c r="A9675" s="22" t="s">
        <v>57</v>
      </c>
      <c r="B9675" t="s">
        <v>66</v>
      </c>
      <c r="C9675" t="s">
        <v>58</v>
      </c>
      <c r="D9675" t="s">
        <v>59</v>
      </c>
      <c r="E9675" t="s">
        <v>60</v>
      </c>
      <c r="F9675" t="s">
        <v>61</v>
      </c>
      <c r="G9675" t="s">
        <v>62</v>
      </c>
      <c r="H9675" t="s">
        <v>63</v>
      </c>
    </row>
    <row r="9676" spans="1:8" x14ac:dyDescent="0.3">
      <c r="A9676" s="22" t="s">
        <v>64</v>
      </c>
      <c r="B9676" t="s">
        <v>67</v>
      </c>
      <c r="C9676" s="23">
        <v>4.3572984749455299E-2</v>
      </c>
      <c r="D9676" s="23">
        <v>4.3572984749455299E-2</v>
      </c>
      <c r="E9676" s="23">
        <v>4.3572984749455299E-2</v>
      </c>
      <c r="F9676" s="23">
        <v>4.3572984749455299E-2</v>
      </c>
      <c r="G9676">
        <v>1</v>
      </c>
      <c r="H9676">
        <v>3</v>
      </c>
    </row>
    <row r="9677" spans="1:8" x14ac:dyDescent="0.3">
      <c r="A9677" s="22" t="s">
        <v>64</v>
      </c>
      <c r="B9677" t="s">
        <v>68</v>
      </c>
      <c r="C9677" s="23">
        <v>0.11815754339118829</v>
      </c>
      <c r="D9677" s="23">
        <v>9.34579439252336E-2</v>
      </c>
      <c r="E9677" s="23">
        <v>9.34579439252336E-2</v>
      </c>
      <c r="F9677" s="23">
        <v>0.14285714285714299</v>
      </c>
      <c r="G9677">
        <v>2</v>
      </c>
      <c r="H9677">
        <v>3</v>
      </c>
    </row>
    <row r="9679" spans="1:8" ht="86.4" x14ac:dyDescent="0.3">
      <c r="A9679" s="22" t="s">
        <v>2075</v>
      </c>
    </row>
    <row r="9680" spans="1:8" x14ac:dyDescent="0.3">
      <c r="A9680" s="22" t="s">
        <v>57</v>
      </c>
      <c r="B9680" t="s">
        <v>66</v>
      </c>
      <c r="C9680" t="s">
        <v>58</v>
      </c>
      <c r="D9680" t="s">
        <v>59</v>
      </c>
      <c r="E9680" t="s">
        <v>60</v>
      </c>
      <c r="F9680" t="s">
        <v>61</v>
      </c>
      <c r="G9680" t="s">
        <v>62</v>
      </c>
      <c r="H9680" t="s">
        <v>63</v>
      </c>
    </row>
    <row r="9681" spans="1:8" x14ac:dyDescent="0.3">
      <c r="A9681" s="22" t="s">
        <v>64</v>
      </c>
      <c r="B9681" t="s">
        <v>67</v>
      </c>
      <c r="C9681" s="23">
        <v>6.8515464337344456E-2</v>
      </c>
      <c r="D9681" s="23">
        <v>4.3572984749455299E-2</v>
      </c>
      <c r="E9681" s="23">
        <v>4.3572984749455299E-2</v>
      </c>
      <c r="F9681" s="23">
        <v>9.34579439252336E-2</v>
      </c>
      <c r="G9681">
        <v>2</v>
      </c>
      <c r="H9681">
        <v>3</v>
      </c>
    </row>
    <row r="9682" spans="1:8" x14ac:dyDescent="0.3">
      <c r="A9682" s="22" t="s">
        <v>64</v>
      </c>
      <c r="B9682" t="s">
        <v>68</v>
      </c>
      <c r="C9682" s="23">
        <v>0.14285714285714299</v>
      </c>
      <c r="D9682" s="23">
        <v>0.14285714285714299</v>
      </c>
      <c r="E9682" s="23">
        <v>0.14285714285714299</v>
      </c>
      <c r="F9682" s="23">
        <v>0.14285714285714299</v>
      </c>
      <c r="G9682">
        <v>1</v>
      </c>
      <c r="H9682">
        <v>3</v>
      </c>
    </row>
    <row r="9684" spans="1:8" ht="86.4" x14ac:dyDescent="0.3">
      <c r="A9684" s="22" t="s">
        <v>2076</v>
      </c>
    </row>
    <row r="9685" spans="1:8" x14ac:dyDescent="0.3">
      <c r="A9685" s="22" t="s">
        <v>57</v>
      </c>
      <c r="B9685" t="s">
        <v>66</v>
      </c>
      <c r="C9685" t="s">
        <v>58</v>
      </c>
      <c r="D9685" t="s">
        <v>59</v>
      </c>
      <c r="E9685" t="s">
        <v>60</v>
      </c>
      <c r="F9685" t="s">
        <v>61</v>
      </c>
      <c r="G9685" t="s">
        <v>62</v>
      </c>
      <c r="H9685" t="s">
        <v>63</v>
      </c>
    </row>
    <row r="9686" spans="1:8" x14ac:dyDescent="0.3">
      <c r="A9686" s="22" t="s">
        <v>64</v>
      </c>
      <c r="B9686" t="s">
        <v>67</v>
      </c>
      <c r="C9686" s="23">
        <v>9.3296023843943962E-2</v>
      </c>
      <c r="D9686" s="23">
        <v>0.14285714285714299</v>
      </c>
      <c r="E9686" s="23">
        <v>4.3572984749455299E-2</v>
      </c>
      <c r="F9686" s="23">
        <v>0.14285714285714299</v>
      </c>
      <c r="G9686">
        <v>3</v>
      </c>
      <c r="H9686">
        <v>3</v>
      </c>
    </row>
    <row r="9688" spans="1:8" ht="72" x14ac:dyDescent="0.3">
      <c r="A9688" s="22" t="s">
        <v>2077</v>
      </c>
    </row>
    <row r="9689" spans="1:8" x14ac:dyDescent="0.3">
      <c r="A9689" s="22" t="s">
        <v>57</v>
      </c>
      <c r="B9689" t="s">
        <v>66</v>
      </c>
      <c r="C9689" t="s">
        <v>58</v>
      </c>
      <c r="D9689" t="s">
        <v>59</v>
      </c>
      <c r="E9689" t="s">
        <v>60</v>
      </c>
      <c r="F9689" t="s">
        <v>61</v>
      </c>
      <c r="G9689" t="s">
        <v>62</v>
      </c>
      <c r="H9689" t="s">
        <v>63</v>
      </c>
    </row>
    <row r="9690" spans="1:8" x14ac:dyDescent="0.3">
      <c r="A9690" s="22" t="s">
        <v>64</v>
      </c>
      <c r="B9690" t="s">
        <v>68</v>
      </c>
      <c r="C9690" s="23">
        <v>9.3296023843943962E-2</v>
      </c>
      <c r="D9690" s="23">
        <v>0.14285714285714299</v>
      </c>
      <c r="E9690" s="23">
        <v>4.3572984749455299E-2</v>
      </c>
      <c r="F9690" s="23">
        <v>0.14285714285714299</v>
      </c>
      <c r="G9690">
        <v>3</v>
      </c>
      <c r="H9690">
        <v>3</v>
      </c>
    </row>
    <row r="9692" spans="1:8" ht="86.4" x14ac:dyDescent="0.3">
      <c r="A9692" s="22" t="s">
        <v>2078</v>
      </c>
    </row>
    <row r="9693" spans="1:8" x14ac:dyDescent="0.3">
      <c r="A9693" s="22" t="s">
        <v>57</v>
      </c>
      <c r="B9693" t="s">
        <v>66</v>
      </c>
      <c r="C9693" t="s">
        <v>58</v>
      </c>
      <c r="D9693" t="s">
        <v>59</v>
      </c>
      <c r="E9693" t="s">
        <v>60</v>
      </c>
      <c r="F9693" t="s">
        <v>61</v>
      </c>
      <c r="G9693" t="s">
        <v>62</v>
      </c>
      <c r="H9693" t="s">
        <v>63</v>
      </c>
    </row>
    <row r="9694" spans="1:8" x14ac:dyDescent="0.3">
      <c r="A9694" s="22" t="s">
        <v>64</v>
      </c>
      <c r="B9694" t="s">
        <v>67</v>
      </c>
      <c r="C9694" s="23">
        <v>9.3296023843943962E-2</v>
      </c>
      <c r="D9694" s="23">
        <v>0.14285714285714299</v>
      </c>
      <c r="E9694" s="23">
        <v>4.3572984749455299E-2</v>
      </c>
      <c r="F9694" s="23">
        <v>0.14285714285714299</v>
      </c>
      <c r="G9694">
        <v>3</v>
      </c>
      <c r="H9694">
        <v>3</v>
      </c>
    </row>
    <row r="9696" spans="1:8" ht="72" x14ac:dyDescent="0.3">
      <c r="A9696" s="22" t="s">
        <v>2079</v>
      </c>
    </row>
    <row r="9697" spans="1:8" x14ac:dyDescent="0.3">
      <c r="A9697" s="22" t="s">
        <v>57</v>
      </c>
      <c r="B9697" t="s">
        <v>66</v>
      </c>
      <c r="C9697" t="s">
        <v>58</v>
      </c>
      <c r="D9697" t="s">
        <v>59</v>
      </c>
      <c r="E9697" t="s">
        <v>60</v>
      </c>
      <c r="F9697" t="s">
        <v>61</v>
      </c>
      <c r="G9697" t="s">
        <v>62</v>
      </c>
      <c r="H9697" t="s">
        <v>63</v>
      </c>
    </row>
    <row r="9698" spans="1:8" x14ac:dyDescent="0.3">
      <c r="A9698" s="22" t="s">
        <v>64</v>
      </c>
      <c r="B9698" t="s">
        <v>83</v>
      </c>
      <c r="C9698" s="23">
        <v>4.3572984749455299E-2</v>
      </c>
      <c r="D9698" s="23">
        <v>4.3572984749455299E-2</v>
      </c>
      <c r="E9698" s="23">
        <v>4.3572984749455299E-2</v>
      </c>
      <c r="F9698" s="23">
        <v>4.3572984749455299E-2</v>
      </c>
      <c r="G9698">
        <v>1</v>
      </c>
      <c r="H9698">
        <v>3</v>
      </c>
    </row>
    <row r="9699" spans="1:8" x14ac:dyDescent="0.3">
      <c r="A9699" s="22" t="s">
        <v>64</v>
      </c>
      <c r="B9699" t="s">
        <v>84</v>
      </c>
      <c r="C9699" s="23">
        <v>0.11815754339118829</v>
      </c>
      <c r="D9699" s="23">
        <v>9.34579439252336E-2</v>
      </c>
      <c r="E9699" s="23">
        <v>9.34579439252336E-2</v>
      </c>
      <c r="F9699" s="23">
        <v>0.14285714285714299</v>
      </c>
      <c r="G9699">
        <v>2</v>
      </c>
      <c r="H9699">
        <v>3</v>
      </c>
    </row>
    <row r="9701" spans="1:8" ht="57.6" x14ac:dyDescent="0.3">
      <c r="A9701" s="22" t="s">
        <v>2080</v>
      </c>
    </row>
    <row r="9702" spans="1:8" x14ac:dyDescent="0.3">
      <c r="A9702" s="22" t="s">
        <v>57</v>
      </c>
      <c r="B9702" t="s">
        <v>58</v>
      </c>
      <c r="C9702" t="s">
        <v>59</v>
      </c>
      <c r="D9702" t="s">
        <v>60</v>
      </c>
      <c r="E9702" t="s">
        <v>61</v>
      </c>
      <c r="F9702" t="s">
        <v>62</v>
      </c>
      <c r="G9702" t="s">
        <v>63</v>
      </c>
    </row>
    <row r="9703" spans="1:8" x14ac:dyDescent="0.3">
      <c r="A9703" s="22" t="s">
        <v>64</v>
      </c>
      <c r="B9703" s="23">
        <v>8.2240077862761635E-2</v>
      </c>
      <c r="C9703" s="23">
        <v>6.13496932515337E-2</v>
      </c>
      <c r="D9703" s="23">
        <v>2.1126760563380299E-2</v>
      </c>
      <c r="E9703" s="23">
        <v>0.39215686274509798</v>
      </c>
      <c r="F9703">
        <v>21</v>
      </c>
      <c r="G9703">
        <v>21</v>
      </c>
    </row>
    <row r="9705" spans="1:8" ht="72" x14ac:dyDescent="0.3">
      <c r="A9705" s="22" t="s">
        <v>2081</v>
      </c>
    </row>
    <row r="9706" spans="1:8" x14ac:dyDescent="0.3">
      <c r="A9706" s="22" t="s">
        <v>57</v>
      </c>
      <c r="B9706" t="s">
        <v>66</v>
      </c>
      <c r="C9706" t="s">
        <v>58</v>
      </c>
      <c r="D9706" t="s">
        <v>59</v>
      </c>
      <c r="E9706" t="s">
        <v>60</v>
      </c>
      <c r="F9706" t="s">
        <v>61</v>
      </c>
      <c r="G9706" t="s">
        <v>62</v>
      </c>
      <c r="H9706" t="s">
        <v>63</v>
      </c>
    </row>
    <row r="9707" spans="1:8" x14ac:dyDescent="0.3">
      <c r="A9707" s="22" t="s">
        <v>64</v>
      </c>
      <c r="B9707" t="s">
        <v>67</v>
      </c>
      <c r="C9707" s="23">
        <v>8.3682534996619928E-2</v>
      </c>
      <c r="D9707" s="23">
        <v>6.13496932515337E-2</v>
      </c>
      <c r="E9707" s="23">
        <v>2.1126760563380299E-2</v>
      </c>
      <c r="F9707" s="23">
        <v>0.39215686274509798</v>
      </c>
      <c r="G9707">
        <v>19</v>
      </c>
      <c r="H9707">
        <v>21</v>
      </c>
    </row>
    <row r="9708" spans="1:8" x14ac:dyDescent="0.3">
      <c r="A9708" s="22" t="s">
        <v>64</v>
      </c>
      <c r="B9708" t="s">
        <v>68</v>
      </c>
      <c r="C9708" s="23">
        <v>6.8536735091107859E-2</v>
      </c>
      <c r="D9708" s="23">
        <v>5.4200542005420099E-2</v>
      </c>
      <c r="E9708" s="23">
        <v>5.4200542005420099E-2</v>
      </c>
      <c r="F9708" s="23">
        <v>8.2872928176795604E-2</v>
      </c>
      <c r="G9708">
        <v>2</v>
      </c>
      <c r="H9708">
        <v>21</v>
      </c>
    </row>
    <row r="9710" spans="1:8" x14ac:dyDescent="0.3">
      <c r="A9710"/>
    </row>
    <row r="9711" spans="1:8" x14ac:dyDescent="0.3">
      <c r="A9711"/>
    </row>
    <row r="9712" spans="1:8" x14ac:dyDescent="0.3">
      <c r="A9712"/>
    </row>
    <row r="9714" spans="1:8" ht="72" x14ac:dyDescent="0.3">
      <c r="A9714" s="22" t="s">
        <v>2082</v>
      </c>
    </row>
    <row r="9715" spans="1:8" x14ac:dyDescent="0.3">
      <c r="A9715" s="22" t="s">
        <v>57</v>
      </c>
      <c r="B9715" t="s">
        <v>66</v>
      </c>
      <c r="C9715" t="s">
        <v>58</v>
      </c>
      <c r="D9715" t="s">
        <v>59</v>
      </c>
      <c r="E9715" t="s">
        <v>60</v>
      </c>
      <c r="F9715" t="s">
        <v>61</v>
      </c>
      <c r="G9715" t="s">
        <v>62</v>
      </c>
      <c r="H9715" t="s">
        <v>63</v>
      </c>
    </row>
    <row r="9716" spans="1:8" x14ac:dyDescent="0.3">
      <c r="A9716" s="22" t="s">
        <v>64</v>
      </c>
      <c r="B9716" t="s">
        <v>67</v>
      </c>
      <c r="C9716" s="23">
        <v>8.5153040988513631E-2</v>
      </c>
      <c r="D9716" s="23">
        <v>5.4200542005420099E-2</v>
      </c>
      <c r="E9716" s="23">
        <v>2.1126760563380299E-2</v>
      </c>
      <c r="F9716" s="23">
        <v>0.39215686274509798</v>
      </c>
      <c r="G9716">
        <v>20</v>
      </c>
      <c r="H9716">
        <v>21</v>
      </c>
    </row>
    <row r="9717" spans="1:8" x14ac:dyDescent="0.3">
      <c r="A9717" s="22" t="s">
        <v>64</v>
      </c>
      <c r="B9717" t="s">
        <v>68</v>
      </c>
      <c r="C9717" s="23">
        <v>2.3980815347721798E-2</v>
      </c>
      <c r="D9717" s="23">
        <v>2.3980815347721798E-2</v>
      </c>
      <c r="E9717" s="23">
        <v>2.3980815347721798E-2</v>
      </c>
      <c r="F9717" s="23">
        <v>2.3980815347721798E-2</v>
      </c>
      <c r="G9717">
        <v>1</v>
      </c>
      <c r="H9717">
        <v>21</v>
      </c>
    </row>
    <row r="9719" spans="1:8" ht="72" x14ac:dyDescent="0.3">
      <c r="A9719" s="22" t="s">
        <v>2083</v>
      </c>
    </row>
    <row r="9720" spans="1:8" x14ac:dyDescent="0.3">
      <c r="A9720" s="22" t="s">
        <v>57</v>
      </c>
      <c r="B9720" t="s">
        <v>66</v>
      </c>
      <c r="C9720" t="s">
        <v>58</v>
      </c>
      <c r="D9720" t="s">
        <v>59</v>
      </c>
      <c r="E9720" t="s">
        <v>60</v>
      </c>
      <c r="F9720" t="s">
        <v>61</v>
      </c>
      <c r="G9720" t="s">
        <v>62</v>
      </c>
      <c r="H9720" t="s">
        <v>63</v>
      </c>
    </row>
    <row r="9721" spans="1:8" x14ac:dyDescent="0.3">
      <c r="A9721" s="22" t="s">
        <v>64</v>
      </c>
      <c r="B9721" t="s">
        <v>67</v>
      </c>
      <c r="C9721" s="23">
        <v>8.2240077862761635E-2</v>
      </c>
      <c r="D9721" s="23">
        <v>6.13496932515337E-2</v>
      </c>
      <c r="E9721" s="23">
        <v>2.1126760563380299E-2</v>
      </c>
      <c r="F9721" s="23">
        <v>0.39215686274509798</v>
      </c>
      <c r="G9721">
        <v>21</v>
      </c>
      <c r="H9721">
        <v>21</v>
      </c>
    </row>
    <row r="9723" spans="1:8" ht="72" x14ac:dyDescent="0.3">
      <c r="A9723" s="22" t="s">
        <v>2084</v>
      </c>
    </row>
    <row r="9724" spans="1:8" x14ac:dyDescent="0.3">
      <c r="A9724" s="22" t="s">
        <v>57</v>
      </c>
      <c r="B9724" t="s">
        <v>66</v>
      </c>
      <c r="C9724" t="s">
        <v>58</v>
      </c>
      <c r="D9724" t="s">
        <v>59</v>
      </c>
      <c r="E9724" t="s">
        <v>60</v>
      </c>
      <c r="F9724" t="s">
        <v>61</v>
      </c>
      <c r="G9724" t="s">
        <v>62</v>
      </c>
      <c r="H9724" t="s">
        <v>63</v>
      </c>
    </row>
    <row r="9725" spans="1:8" x14ac:dyDescent="0.3">
      <c r="A9725" s="22" t="s">
        <v>64</v>
      </c>
      <c r="B9725" t="s">
        <v>67</v>
      </c>
      <c r="C9725" s="23">
        <v>8.52680083296085E-2</v>
      </c>
      <c r="D9725" s="23">
        <v>6.13496932515337E-2</v>
      </c>
      <c r="E9725" s="23">
        <v>2.1126760563380299E-2</v>
      </c>
      <c r="F9725" s="23">
        <v>0.39215686274509798</v>
      </c>
      <c r="G9725">
        <v>19</v>
      </c>
      <c r="H9725">
        <v>21</v>
      </c>
    </row>
    <row r="9726" spans="1:8" x14ac:dyDescent="0.3">
      <c r="A9726" s="22" t="s">
        <v>64</v>
      </c>
      <c r="B9726" t="s">
        <v>68</v>
      </c>
      <c r="C9726" s="23">
        <v>5.3474738427716488E-2</v>
      </c>
      <c r="D9726" s="23">
        <v>3.3057851239669402E-2</v>
      </c>
      <c r="E9726" s="23">
        <v>3.3057851239669402E-2</v>
      </c>
      <c r="F9726" s="23">
        <v>7.3891625615763595E-2</v>
      </c>
      <c r="G9726">
        <v>2</v>
      </c>
      <c r="H9726">
        <v>21</v>
      </c>
    </row>
    <row r="9728" spans="1:8" ht="72" x14ac:dyDescent="0.3">
      <c r="A9728" s="22" t="s">
        <v>2085</v>
      </c>
    </row>
    <row r="9729" spans="1:8" x14ac:dyDescent="0.3">
      <c r="A9729" s="22" t="s">
        <v>57</v>
      </c>
      <c r="B9729" t="s">
        <v>66</v>
      </c>
      <c r="C9729" t="s">
        <v>58</v>
      </c>
      <c r="D9729" t="s">
        <v>59</v>
      </c>
      <c r="E9729" t="s">
        <v>60</v>
      </c>
      <c r="F9729" t="s">
        <v>61</v>
      </c>
      <c r="G9729" t="s">
        <v>62</v>
      </c>
      <c r="H9729" t="s">
        <v>63</v>
      </c>
    </row>
    <row r="9730" spans="1:8" x14ac:dyDescent="0.3">
      <c r="A9730" s="22" t="s">
        <v>64</v>
      </c>
      <c r="B9730" t="s">
        <v>68</v>
      </c>
      <c r="C9730" s="23">
        <v>8.2240077862761635E-2</v>
      </c>
      <c r="D9730" s="23">
        <v>6.13496932515337E-2</v>
      </c>
      <c r="E9730" s="23">
        <v>2.1126760563380299E-2</v>
      </c>
      <c r="F9730" s="23">
        <v>0.39215686274509798</v>
      </c>
      <c r="G9730">
        <v>21</v>
      </c>
      <c r="H9730">
        <v>21</v>
      </c>
    </row>
    <row r="9732" spans="1:8" ht="72" x14ac:dyDescent="0.3">
      <c r="A9732" s="22" t="s">
        <v>2086</v>
      </c>
    </row>
    <row r="9733" spans="1:8" x14ac:dyDescent="0.3">
      <c r="A9733" s="22" t="s">
        <v>57</v>
      </c>
      <c r="B9733" t="s">
        <v>66</v>
      </c>
      <c r="C9733" t="s">
        <v>58</v>
      </c>
      <c r="D9733" t="s">
        <v>59</v>
      </c>
      <c r="E9733" t="s">
        <v>60</v>
      </c>
      <c r="F9733" t="s">
        <v>61</v>
      </c>
      <c r="G9733" t="s">
        <v>62</v>
      </c>
      <c r="H9733" t="s">
        <v>63</v>
      </c>
    </row>
    <row r="9734" spans="1:8" x14ac:dyDescent="0.3">
      <c r="A9734" s="22" t="s">
        <v>64</v>
      </c>
      <c r="B9734" t="s">
        <v>67</v>
      </c>
      <c r="C9734" s="23">
        <v>8.9312772319623576E-2</v>
      </c>
      <c r="D9734" s="23">
        <v>6.13496932515337E-2</v>
      </c>
      <c r="E9734" s="23">
        <v>2.2556390977443601E-2</v>
      </c>
      <c r="F9734" s="23">
        <v>0.39215686274509798</v>
      </c>
      <c r="G9734">
        <v>18</v>
      </c>
      <c r="H9734">
        <v>21</v>
      </c>
    </row>
    <row r="9735" spans="1:8" x14ac:dyDescent="0.3">
      <c r="A9735" s="22" t="s">
        <v>64</v>
      </c>
      <c r="B9735" t="s">
        <v>68</v>
      </c>
      <c r="C9735" s="23">
        <v>3.9803911121590027E-2</v>
      </c>
      <c r="D9735" s="23">
        <v>5.0590219224283299E-2</v>
      </c>
      <c r="E9735" s="23">
        <v>2.1126760563380299E-2</v>
      </c>
      <c r="F9735" s="23">
        <v>5.0590219224283299E-2</v>
      </c>
      <c r="G9735">
        <v>3</v>
      </c>
      <c r="H9735">
        <v>21</v>
      </c>
    </row>
    <row r="9737" spans="1:8" ht="72" x14ac:dyDescent="0.3">
      <c r="A9737" s="22" t="s">
        <v>2087</v>
      </c>
    </row>
    <row r="9738" spans="1:8" x14ac:dyDescent="0.3">
      <c r="A9738" s="22" t="s">
        <v>57</v>
      </c>
      <c r="B9738" t="s">
        <v>66</v>
      </c>
      <c r="C9738" t="s">
        <v>58</v>
      </c>
      <c r="D9738" t="s">
        <v>59</v>
      </c>
      <c r="E9738" t="s">
        <v>60</v>
      </c>
      <c r="F9738" t="s">
        <v>61</v>
      </c>
      <c r="G9738" t="s">
        <v>62</v>
      </c>
      <c r="H9738" t="s">
        <v>63</v>
      </c>
    </row>
    <row r="9739" spans="1:8" x14ac:dyDescent="0.3">
      <c r="A9739" s="22" t="s">
        <v>64</v>
      </c>
      <c r="B9739" t="s">
        <v>67</v>
      </c>
      <c r="C9739" s="23">
        <v>9.1525234469153754E-2</v>
      </c>
      <c r="D9739" s="23">
        <v>8.31946755407654E-2</v>
      </c>
      <c r="E9739" s="23">
        <v>2.2556390977443601E-2</v>
      </c>
      <c r="F9739" s="23">
        <v>0.39215686274509798</v>
      </c>
      <c r="G9739">
        <v>13</v>
      </c>
      <c r="H9739">
        <v>21</v>
      </c>
    </row>
    <row r="9740" spans="1:8" x14ac:dyDescent="0.3">
      <c r="A9740" s="22" t="s">
        <v>64</v>
      </c>
      <c r="B9740" t="s">
        <v>68</v>
      </c>
      <c r="C9740" s="23">
        <v>6.7151698377374419E-2</v>
      </c>
      <c r="D9740" s="23">
        <v>5.4200542005420099E-2</v>
      </c>
      <c r="E9740" s="23">
        <v>2.1126760563380299E-2</v>
      </c>
      <c r="F9740" s="23">
        <v>0.15151515151515199</v>
      </c>
      <c r="G9740">
        <v>8</v>
      </c>
      <c r="H9740">
        <v>21</v>
      </c>
    </row>
    <row r="9742" spans="1:8" ht="72" x14ac:dyDescent="0.3">
      <c r="A9742" s="22" t="s">
        <v>2088</v>
      </c>
    </row>
    <row r="9743" spans="1:8" x14ac:dyDescent="0.3">
      <c r="A9743" s="22" t="s">
        <v>57</v>
      </c>
      <c r="B9743" t="s">
        <v>66</v>
      </c>
      <c r="C9743" t="s">
        <v>58</v>
      </c>
      <c r="D9743" t="s">
        <v>59</v>
      </c>
      <c r="E9743" t="s">
        <v>60</v>
      </c>
      <c r="F9743" t="s">
        <v>61</v>
      </c>
      <c r="G9743" t="s">
        <v>62</v>
      </c>
      <c r="H9743" t="s">
        <v>63</v>
      </c>
    </row>
    <row r="9744" spans="1:8" x14ac:dyDescent="0.3">
      <c r="A9744" s="22" t="s">
        <v>64</v>
      </c>
      <c r="B9744" t="s">
        <v>67</v>
      </c>
      <c r="C9744" s="23">
        <v>8.4588305763459132E-2</v>
      </c>
      <c r="D9744" s="23">
        <v>5.4200542005420099E-2</v>
      </c>
      <c r="E9744" s="23">
        <v>2.1126760563380299E-2</v>
      </c>
      <c r="F9744" s="23">
        <v>0.39215686274509798</v>
      </c>
      <c r="G9744">
        <v>15</v>
      </c>
      <c r="H9744">
        <v>21</v>
      </c>
    </row>
    <row r="9745" spans="1:8" x14ac:dyDescent="0.3">
      <c r="A9745" s="22" t="s">
        <v>64</v>
      </c>
      <c r="B9745" t="s">
        <v>68</v>
      </c>
      <c r="C9745" s="23">
        <v>7.6369508111017864E-2</v>
      </c>
      <c r="D9745" s="23">
        <v>7.3891625615763595E-2</v>
      </c>
      <c r="E9745" s="23">
        <v>2.2556390977443601E-2</v>
      </c>
      <c r="F9745" s="23">
        <v>0.15151515151515199</v>
      </c>
      <c r="G9745">
        <v>6</v>
      </c>
      <c r="H9745">
        <v>21</v>
      </c>
    </row>
    <row r="9747" spans="1:8" ht="86.4" x14ac:dyDescent="0.3">
      <c r="A9747" s="22" t="s">
        <v>2089</v>
      </c>
    </row>
    <row r="9748" spans="1:8" x14ac:dyDescent="0.3">
      <c r="A9748" s="22" t="s">
        <v>57</v>
      </c>
      <c r="B9748" t="s">
        <v>66</v>
      </c>
      <c r="C9748" t="s">
        <v>58</v>
      </c>
      <c r="D9748" t="s">
        <v>59</v>
      </c>
      <c r="E9748" t="s">
        <v>60</v>
      </c>
      <c r="F9748" t="s">
        <v>61</v>
      </c>
      <c r="G9748" t="s">
        <v>62</v>
      </c>
      <c r="H9748" t="s">
        <v>63</v>
      </c>
    </row>
    <row r="9749" spans="1:8" x14ac:dyDescent="0.3">
      <c r="A9749" s="22" t="s">
        <v>64</v>
      </c>
      <c r="B9749" t="s">
        <v>67</v>
      </c>
      <c r="C9749" s="23">
        <v>8.2240077862761635E-2</v>
      </c>
      <c r="D9749" s="23">
        <v>6.13496932515337E-2</v>
      </c>
      <c r="E9749" s="23">
        <v>2.1126760563380299E-2</v>
      </c>
      <c r="F9749" s="23">
        <v>0.39215686274509798</v>
      </c>
      <c r="G9749">
        <v>21</v>
      </c>
      <c r="H9749">
        <v>21</v>
      </c>
    </row>
    <row r="9751" spans="1:8" ht="86.4" x14ac:dyDescent="0.3">
      <c r="A9751" s="22" t="s">
        <v>2090</v>
      </c>
    </row>
    <row r="9752" spans="1:8" x14ac:dyDescent="0.3">
      <c r="A9752" s="22" t="s">
        <v>57</v>
      </c>
      <c r="B9752" t="s">
        <v>66</v>
      </c>
      <c r="C9752" t="s">
        <v>58</v>
      </c>
      <c r="D9752" t="s">
        <v>59</v>
      </c>
      <c r="E9752" t="s">
        <v>60</v>
      </c>
      <c r="F9752" t="s">
        <v>61</v>
      </c>
      <c r="G9752" t="s">
        <v>62</v>
      </c>
      <c r="H9752" t="s">
        <v>63</v>
      </c>
    </row>
    <row r="9753" spans="1:8" x14ac:dyDescent="0.3">
      <c r="A9753" s="22" t="s">
        <v>64</v>
      </c>
      <c r="B9753" t="s">
        <v>67</v>
      </c>
      <c r="C9753" s="23">
        <v>8.2240077862761635E-2</v>
      </c>
      <c r="D9753" s="23">
        <v>6.13496932515337E-2</v>
      </c>
      <c r="E9753" s="23">
        <v>2.1126760563380299E-2</v>
      </c>
      <c r="F9753" s="23">
        <v>0.39215686274509798</v>
      </c>
      <c r="G9753">
        <v>21</v>
      </c>
      <c r="H9753">
        <v>21</v>
      </c>
    </row>
    <row r="9755" spans="1:8" ht="72" x14ac:dyDescent="0.3">
      <c r="A9755" s="22" t="s">
        <v>2091</v>
      </c>
    </row>
    <row r="9756" spans="1:8" x14ac:dyDescent="0.3">
      <c r="A9756" s="22" t="s">
        <v>57</v>
      </c>
      <c r="B9756" t="s">
        <v>66</v>
      </c>
      <c r="C9756" t="s">
        <v>58</v>
      </c>
      <c r="D9756" t="s">
        <v>59</v>
      </c>
      <c r="E9756" t="s">
        <v>60</v>
      </c>
      <c r="F9756" t="s">
        <v>61</v>
      </c>
      <c r="G9756" t="s">
        <v>62</v>
      </c>
      <c r="H9756" t="s">
        <v>63</v>
      </c>
    </row>
    <row r="9757" spans="1:8" x14ac:dyDescent="0.3">
      <c r="A9757" s="22" t="s">
        <v>64</v>
      </c>
      <c r="B9757" t="s">
        <v>67</v>
      </c>
      <c r="C9757" s="23">
        <v>9.2262959277056661E-2</v>
      </c>
      <c r="D9757" s="23">
        <v>5.4200542005420099E-2</v>
      </c>
      <c r="E9757" s="23">
        <v>2.1126760563380299E-2</v>
      </c>
      <c r="F9757" s="23">
        <v>0.39215686274509798</v>
      </c>
      <c r="G9757">
        <v>16</v>
      </c>
      <c r="H9757">
        <v>21</v>
      </c>
    </row>
    <row r="9758" spans="1:8" x14ac:dyDescent="0.3">
      <c r="A9758" s="22" t="s">
        <v>64</v>
      </c>
      <c r="B9758" t="s">
        <v>68</v>
      </c>
      <c r="C9758" s="23">
        <v>5.0166857337017548E-2</v>
      </c>
      <c r="D9758" s="23">
        <v>6.13496932515337E-2</v>
      </c>
      <c r="E9758" s="23">
        <v>2.2556390977443601E-2</v>
      </c>
      <c r="F9758" s="23">
        <v>8.31946755407654E-2</v>
      </c>
      <c r="G9758">
        <v>5</v>
      </c>
      <c r="H9758">
        <v>21</v>
      </c>
    </row>
    <row r="9760" spans="1:8" ht="86.4" x14ac:dyDescent="0.3">
      <c r="A9760" s="22" t="s">
        <v>2092</v>
      </c>
    </row>
    <row r="9761" spans="1:8" x14ac:dyDescent="0.3">
      <c r="A9761" s="22" t="s">
        <v>57</v>
      </c>
      <c r="B9761" t="s">
        <v>66</v>
      </c>
      <c r="C9761" t="s">
        <v>58</v>
      </c>
      <c r="D9761" t="s">
        <v>59</v>
      </c>
      <c r="E9761" t="s">
        <v>60</v>
      </c>
      <c r="F9761" t="s">
        <v>61</v>
      </c>
      <c r="G9761" t="s">
        <v>62</v>
      </c>
      <c r="H9761" t="s">
        <v>63</v>
      </c>
    </row>
    <row r="9762" spans="1:8" x14ac:dyDescent="0.3">
      <c r="A9762" s="22" t="s">
        <v>64</v>
      </c>
      <c r="B9762" t="s">
        <v>67</v>
      </c>
      <c r="C9762" s="23">
        <v>8.2240077862761635E-2</v>
      </c>
      <c r="D9762" s="23">
        <v>6.13496932515337E-2</v>
      </c>
      <c r="E9762" s="23">
        <v>2.1126760563380299E-2</v>
      </c>
      <c r="F9762" s="23">
        <v>0.39215686274509798</v>
      </c>
      <c r="G9762">
        <v>21</v>
      </c>
      <c r="H9762">
        <v>21</v>
      </c>
    </row>
    <row r="9763" spans="1:8" x14ac:dyDescent="0.3">
      <c r="D9763" s="23"/>
      <c r="E9763" s="23"/>
      <c r="F9763" s="23"/>
    </row>
    <row r="9764" spans="1:8" ht="72" x14ac:dyDescent="0.3">
      <c r="A9764" s="22" t="s">
        <v>2093</v>
      </c>
    </row>
    <row r="9765" spans="1:8" x14ac:dyDescent="0.3">
      <c r="A9765" s="22" t="s">
        <v>57</v>
      </c>
      <c r="B9765" t="s">
        <v>66</v>
      </c>
      <c r="C9765" t="s">
        <v>58</v>
      </c>
      <c r="D9765" t="s">
        <v>59</v>
      </c>
      <c r="E9765" t="s">
        <v>60</v>
      </c>
      <c r="F9765" t="s">
        <v>61</v>
      </c>
      <c r="G9765" t="s">
        <v>62</v>
      </c>
      <c r="H9765" t="s">
        <v>63</v>
      </c>
    </row>
    <row r="9766" spans="1:8" x14ac:dyDescent="0.3">
      <c r="A9766" s="22" t="s">
        <v>64</v>
      </c>
      <c r="B9766" t="s">
        <v>81</v>
      </c>
      <c r="C9766" s="23">
        <v>4.523962136379691E-2</v>
      </c>
      <c r="D9766" s="23">
        <v>5.4200542005420099E-2</v>
      </c>
      <c r="E9766" s="23">
        <v>2.1126760563380299E-2</v>
      </c>
      <c r="F9766" s="23">
        <v>8.2872928176795604E-2</v>
      </c>
      <c r="G9766">
        <v>7</v>
      </c>
      <c r="H9766">
        <v>21</v>
      </c>
    </row>
    <row r="9767" spans="1:8" x14ac:dyDescent="0.3">
      <c r="A9767" s="22" t="s">
        <v>64</v>
      </c>
      <c r="B9767" t="s">
        <v>82</v>
      </c>
      <c r="C9767" s="23">
        <v>8.2481777968845316E-2</v>
      </c>
      <c r="D9767" s="23">
        <v>4.7694753577106501E-2</v>
      </c>
      <c r="E9767" s="23">
        <v>3.65497076023392E-2</v>
      </c>
      <c r="F9767" s="23">
        <v>0.16666666666666699</v>
      </c>
      <c r="G9767">
        <v>6</v>
      </c>
      <c r="H9767">
        <v>21</v>
      </c>
    </row>
    <row r="9768" spans="1:8" x14ac:dyDescent="0.3">
      <c r="A9768" s="22" t="s">
        <v>64</v>
      </c>
      <c r="B9768" t="s">
        <v>83</v>
      </c>
      <c r="C9768" s="23">
        <v>0.14506589307242909</v>
      </c>
      <c r="D9768" s="23">
        <v>0.15151515151515199</v>
      </c>
      <c r="E9768" s="23">
        <v>4.52674897119342E-2</v>
      </c>
      <c r="F9768" s="23">
        <v>0.39215686274509798</v>
      </c>
      <c r="G9768">
        <v>5</v>
      </c>
      <c r="H9768">
        <v>21</v>
      </c>
    </row>
    <row r="9769" spans="1:8" x14ac:dyDescent="0.3">
      <c r="A9769" s="22" t="s">
        <v>64</v>
      </c>
      <c r="B9769" t="s">
        <v>84</v>
      </c>
      <c r="C9769" s="23">
        <v>6.3381384132066135E-2</v>
      </c>
      <c r="D9769" s="23">
        <v>8.31946755407654E-2</v>
      </c>
      <c r="E9769" s="23">
        <v>3.3057851239669402E-2</v>
      </c>
      <c r="F9769" s="23">
        <v>8.31946755407654E-2</v>
      </c>
      <c r="G9769">
        <v>3</v>
      </c>
      <c r="H9769">
        <v>21</v>
      </c>
    </row>
    <row r="9771" spans="1:8" ht="57.6" x14ac:dyDescent="0.3">
      <c r="A9771" s="22" t="s">
        <v>2094</v>
      </c>
    </row>
    <row r="9772" spans="1:8" x14ac:dyDescent="0.3">
      <c r="A9772" s="22" t="s">
        <v>57</v>
      </c>
      <c r="B9772" t="s">
        <v>58</v>
      </c>
      <c r="C9772" t="s">
        <v>59</v>
      </c>
      <c r="D9772" t="s">
        <v>60</v>
      </c>
      <c r="E9772" t="s">
        <v>61</v>
      </c>
      <c r="F9772" t="s">
        <v>62</v>
      </c>
      <c r="G9772" t="s">
        <v>63</v>
      </c>
    </row>
    <row r="9773" spans="1:8" x14ac:dyDescent="0.3">
      <c r="A9773" s="22" t="s">
        <v>64</v>
      </c>
      <c r="B9773" s="23">
        <v>6.6213923766207827E-2</v>
      </c>
      <c r="C9773" s="23">
        <v>5.6910569105691103E-2</v>
      </c>
      <c r="D9773" s="23">
        <v>1.1990407673860899E-2</v>
      </c>
      <c r="E9773" s="23">
        <v>0.240384615384615</v>
      </c>
      <c r="F9773">
        <v>73</v>
      </c>
      <c r="G9773">
        <v>73</v>
      </c>
    </row>
    <row r="9775" spans="1:8" ht="72" x14ac:dyDescent="0.3">
      <c r="A9775" s="22" t="s">
        <v>2095</v>
      </c>
    </row>
    <row r="9776" spans="1:8" x14ac:dyDescent="0.3">
      <c r="A9776" s="22" t="s">
        <v>57</v>
      </c>
      <c r="B9776" t="s">
        <v>66</v>
      </c>
      <c r="C9776" t="s">
        <v>58</v>
      </c>
      <c r="D9776" t="s">
        <v>59</v>
      </c>
      <c r="E9776" t="s">
        <v>60</v>
      </c>
      <c r="F9776" t="s">
        <v>61</v>
      </c>
      <c r="G9776" t="s">
        <v>62</v>
      </c>
      <c r="H9776" t="s">
        <v>63</v>
      </c>
    </row>
    <row r="9777" spans="1:8" x14ac:dyDescent="0.3">
      <c r="A9777" s="22" t="s">
        <v>64</v>
      </c>
      <c r="B9777" t="s">
        <v>67</v>
      </c>
      <c r="C9777" s="23">
        <v>6.3467337011455641E-2</v>
      </c>
      <c r="D9777" s="23">
        <v>5.1669316375198698E-2</v>
      </c>
      <c r="E9777" s="23">
        <v>1.1990407673860899E-2</v>
      </c>
      <c r="F9777" s="23">
        <v>0.240384615384615</v>
      </c>
      <c r="G9777">
        <v>68</v>
      </c>
      <c r="H9777">
        <v>73</v>
      </c>
    </row>
    <row r="9778" spans="1:8" x14ac:dyDescent="0.3">
      <c r="A9778" s="22" t="s">
        <v>64</v>
      </c>
      <c r="B9778" t="s">
        <v>68</v>
      </c>
      <c r="C9778" s="23">
        <v>0.1035675036308375</v>
      </c>
      <c r="D9778" s="23">
        <v>0.16666666666666699</v>
      </c>
      <c r="E9778" s="23">
        <v>3.3149171270718203E-2</v>
      </c>
      <c r="F9778" s="23">
        <v>0.16666666666666699</v>
      </c>
      <c r="G9778">
        <v>5</v>
      </c>
      <c r="H9778">
        <v>73</v>
      </c>
    </row>
    <row r="9780" spans="1:8" x14ac:dyDescent="0.3">
      <c r="A9780"/>
    </row>
    <row r="9781" spans="1:8" x14ac:dyDescent="0.3">
      <c r="A9781"/>
    </row>
    <row r="9782" spans="1:8" x14ac:dyDescent="0.3">
      <c r="A9782"/>
    </row>
    <row r="9784" spans="1:8" ht="72" x14ac:dyDescent="0.3">
      <c r="A9784" s="22" t="s">
        <v>2096</v>
      </c>
    </row>
    <row r="9785" spans="1:8" x14ac:dyDescent="0.3">
      <c r="A9785" s="22" t="s">
        <v>57</v>
      </c>
      <c r="B9785" t="s">
        <v>66</v>
      </c>
      <c r="C9785" t="s">
        <v>58</v>
      </c>
      <c r="D9785" t="s">
        <v>59</v>
      </c>
      <c r="E9785" t="s">
        <v>60</v>
      </c>
      <c r="F9785" t="s">
        <v>61</v>
      </c>
      <c r="G9785" t="s">
        <v>62</v>
      </c>
      <c r="H9785" t="s">
        <v>63</v>
      </c>
    </row>
    <row r="9786" spans="1:8" x14ac:dyDescent="0.3">
      <c r="A9786" s="22" t="s">
        <v>64</v>
      </c>
      <c r="B9786" t="s">
        <v>67</v>
      </c>
      <c r="C9786" s="23">
        <v>6.7390824667692348E-2</v>
      </c>
      <c r="D9786" s="23">
        <v>5.7142857142857099E-2</v>
      </c>
      <c r="E9786" s="23">
        <v>1.4792899408284E-2</v>
      </c>
      <c r="F9786" s="23">
        <v>0.240384615384615</v>
      </c>
      <c r="G9786">
        <v>69</v>
      </c>
      <c r="H9786">
        <v>73</v>
      </c>
    </row>
    <row r="9787" spans="1:8" x14ac:dyDescent="0.3">
      <c r="A9787" s="22" t="s">
        <v>64</v>
      </c>
      <c r="B9787" t="s">
        <v>68</v>
      </c>
      <c r="C9787" s="23">
        <v>4.5912383215599449E-2</v>
      </c>
      <c r="D9787" s="23">
        <v>1.9607843137254902E-2</v>
      </c>
      <c r="E9787" s="23">
        <v>1.1990407673860899E-2</v>
      </c>
      <c r="F9787" s="23">
        <v>0.12</v>
      </c>
      <c r="G9787">
        <v>4</v>
      </c>
      <c r="H9787">
        <v>73</v>
      </c>
    </row>
    <row r="9789" spans="1:8" ht="72" x14ac:dyDescent="0.3">
      <c r="A9789" s="22" t="s">
        <v>2097</v>
      </c>
    </row>
    <row r="9790" spans="1:8" x14ac:dyDescent="0.3">
      <c r="A9790" s="22" t="s">
        <v>57</v>
      </c>
      <c r="B9790" t="s">
        <v>66</v>
      </c>
      <c r="C9790" t="s">
        <v>58</v>
      </c>
      <c r="D9790" t="s">
        <v>59</v>
      </c>
      <c r="E9790" t="s">
        <v>60</v>
      </c>
      <c r="F9790" t="s">
        <v>61</v>
      </c>
      <c r="G9790" t="s">
        <v>62</v>
      </c>
      <c r="H9790" t="s">
        <v>63</v>
      </c>
    </row>
    <row r="9791" spans="1:8" x14ac:dyDescent="0.3">
      <c r="A9791" s="22" t="s">
        <v>64</v>
      </c>
      <c r="B9791" t="s">
        <v>67</v>
      </c>
      <c r="C9791" s="23">
        <v>6.572631734764009E-2</v>
      </c>
      <c r="D9791" s="23">
        <v>5.4054054054054099E-2</v>
      </c>
      <c r="E9791" s="23">
        <v>1.1990407673860899E-2</v>
      </c>
      <c r="F9791" s="23">
        <v>0.240384615384615</v>
      </c>
      <c r="G9791">
        <v>72</v>
      </c>
      <c r="H9791">
        <v>73</v>
      </c>
    </row>
    <row r="9792" spans="1:8" x14ac:dyDescent="0.3">
      <c r="A9792" s="22" t="s">
        <v>64</v>
      </c>
      <c r="B9792" t="s">
        <v>68</v>
      </c>
      <c r="C9792" s="23">
        <v>0.101321585903084</v>
      </c>
      <c r="D9792" s="23">
        <v>0.101321585903084</v>
      </c>
      <c r="E9792" s="23">
        <v>0.101321585903084</v>
      </c>
      <c r="F9792" s="23">
        <v>0.101321585903084</v>
      </c>
      <c r="G9792">
        <v>1</v>
      </c>
      <c r="H9792">
        <v>73</v>
      </c>
    </row>
    <row r="9794" spans="1:8" ht="72" x14ac:dyDescent="0.3">
      <c r="A9794" s="22" t="s">
        <v>2098</v>
      </c>
    </row>
    <row r="9795" spans="1:8" x14ac:dyDescent="0.3">
      <c r="A9795" s="22" t="s">
        <v>57</v>
      </c>
      <c r="B9795" t="s">
        <v>66</v>
      </c>
      <c r="C9795" t="s">
        <v>58</v>
      </c>
      <c r="D9795" t="s">
        <v>59</v>
      </c>
      <c r="E9795" t="s">
        <v>60</v>
      </c>
      <c r="F9795" t="s">
        <v>61</v>
      </c>
      <c r="G9795" t="s">
        <v>62</v>
      </c>
      <c r="H9795" t="s">
        <v>63</v>
      </c>
    </row>
    <row r="9796" spans="1:8" x14ac:dyDescent="0.3">
      <c r="A9796" s="22" t="s">
        <v>64</v>
      </c>
      <c r="B9796" t="s">
        <v>67</v>
      </c>
      <c r="C9796" s="23">
        <v>6.5877579078607362E-2</v>
      </c>
      <c r="D9796" s="23">
        <v>5.4054054054054099E-2</v>
      </c>
      <c r="E9796" s="23">
        <v>1.1990407673860899E-2</v>
      </c>
      <c r="F9796" s="23">
        <v>0.240384615384615</v>
      </c>
      <c r="G9796">
        <v>68</v>
      </c>
      <c r="H9796">
        <v>73</v>
      </c>
    </row>
    <row r="9797" spans="1:8" x14ac:dyDescent="0.3">
      <c r="A9797" s="22" t="s">
        <v>64</v>
      </c>
      <c r="B9797" t="s">
        <v>68</v>
      </c>
      <c r="C9797" s="23">
        <v>7.0788211517574098E-2</v>
      </c>
      <c r="D9797" s="23">
        <v>9.44444444444444E-2</v>
      </c>
      <c r="E9797" s="23">
        <v>3.9408866995073899E-2</v>
      </c>
      <c r="F9797" s="23">
        <v>9.8765432098765399E-2</v>
      </c>
      <c r="G9797">
        <v>5</v>
      </c>
      <c r="H9797">
        <v>73</v>
      </c>
    </row>
    <row r="9799" spans="1:8" ht="72" x14ac:dyDescent="0.3">
      <c r="A9799" s="22" t="s">
        <v>2099</v>
      </c>
    </row>
    <row r="9800" spans="1:8" x14ac:dyDescent="0.3">
      <c r="A9800" s="22" t="s">
        <v>57</v>
      </c>
      <c r="B9800" t="s">
        <v>66</v>
      </c>
      <c r="C9800" t="s">
        <v>58</v>
      </c>
      <c r="D9800" t="s">
        <v>59</v>
      </c>
      <c r="E9800" t="s">
        <v>60</v>
      </c>
      <c r="F9800" t="s">
        <v>61</v>
      </c>
      <c r="G9800" t="s">
        <v>62</v>
      </c>
      <c r="H9800" t="s">
        <v>63</v>
      </c>
    </row>
    <row r="9801" spans="1:8" x14ac:dyDescent="0.3">
      <c r="A9801" s="22" t="s">
        <v>64</v>
      </c>
      <c r="B9801" t="s">
        <v>67</v>
      </c>
      <c r="C9801" s="23">
        <v>5.4446219382321602E-2</v>
      </c>
      <c r="D9801" s="23">
        <v>2.55591054313099E-2</v>
      </c>
      <c r="E9801" s="23">
        <v>2.55591054313099E-2</v>
      </c>
      <c r="F9801" s="23">
        <v>8.3333333333333301E-2</v>
      </c>
      <c r="G9801">
        <v>2</v>
      </c>
      <c r="H9801">
        <v>73</v>
      </c>
    </row>
    <row r="9802" spans="1:8" x14ac:dyDescent="0.3">
      <c r="A9802" s="22" t="s">
        <v>64</v>
      </c>
      <c r="B9802" t="s">
        <v>68</v>
      </c>
      <c r="C9802" s="23">
        <v>6.6545408396739836E-2</v>
      </c>
      <c r="D9802" s="23">
        <v>5.6910569105691103E-2</v>
      </c>
      <c r="E9802" s="23">
        <v>1.1990407673860899E-2</v>
      </c>
      <c r="F9802" s="23">
        <v>0.240384615384615</v>
      </c>
      <c r="G9802">
        <v>71</v>
      </c>
      <c r="H9802">
        <v>73</v>
      </c>
    </row>
    <row r="9804" spans="1:8" ht="72" x14ac:dyDescent="0.3">
      <c r="A9804" s="22" t="s">
        <v>2100</v>
      </c>
    </row>
    <row r="9805" spans="1:8" x14ac:dyDescent="0.3">
      <c r="A9805" s="22" t="s">
        <v>57</v>
      </c>
      <c r="B9805" t="s">
        <v>66</v>
      </c>
      <c r="C9805" t="s">
        <v>58</v>
      </c>
      <c r="D9805" t="s">
        <v>59</v>
      </c>
      <c r="E9805" t="s">
        <v>60</v>
      </c>
      <c r="F9805" t="s">
        <v>61</v>
      </c>
      <c r="G9805" t="s">
        <v>62</v>
      </c>
      <c r="H9805" t="s">
        <v>63</v>
      </c>
    </row>
    <row r="9806" spans="1:8" x14ac:dyDescent="0.3">
      <c r="A9806" s="22" t="s">
        <v>64</v>
      </c>
      <c r="B9806" t="s">
        <v>67</v>
      </c>
      <c r="C9806" s="23">
        <v>6.7294988123401081E-2</v>
      </c>
      <c r="D9806" s="23">
        <v>5.6910569105691103E-2</v>
      </c>
      <c r="E9806" s="23">
        <v>1.1990407673860899E-2</v>
      </c>
      <c r="F9806" s="23">
        <v>0.240384615384615</v>
      </c>
      <c r="G9806">
        <v>62</v>
      </c>
      <c r="H9806">
        <v>73</v>
      </c>
    </row>
    <row r="9807" spans="1:8" x14ac:dyDescent="0.3">
      <c r="A9807" s="22" t="s">
        <v>64</v>
      </c>
      <c r="B9807" t="s">
        <v>68</v>
      </c>
      <c r="C9807" s="23">
        <v>6.012065193475493E-2</v>
      </c>
      <c r="D9807" s="23">
        <v>5.1669316375198698E-2</v>
      </c>
      <c r="E9807" s="23">
        <v>2.3529411764705899E-2</v>
      </c>
      <c r="F9807" s="23">
        <v>0.155502392344498</v>
      </c>
      <c r="G9807">
        <v>11</v>
      </c>
      <c r="H9807">
        <v>73</v>
      </c>
    </row>
    <row r="9809" spans="1:8" ht="72" x14ac:dyDescent="0.3">
      <c r="A9809" s="22" t="s">
        <v>2101</v>
      </c>
    </row>
    <row r="9810" spans="1:8" x14ac:dyDescent="0.3">
      <c r="A9810" s="22" t="s">
        <v>57</v>
      </c>
      <c r="B9810" t="s">
        <v>66</v>
      </c>
      <c r="C9810" t="s">
        <v>58</v>
      </c>
      <c r="D9810" t="s">
        <v>59</v>
      </c>
      <c r="E9810" t="s">
        <v>60</v>
      </c>
      <c r="F9810" t="s">
        <v>61</v>
      </c>
      <c r="G9810" t="s">
        <v>62</v>
      </c>
      <c r="H9810" t="s">
        <v>63</v>
      </c>
    </row>
    <row r="9811" spans="1:8" x14ac:dyDescent="0.3">
      <c r="A9811" s="22" t="s">
        <v>64</v>
      </c>
      <c r="B9811" t="s">
        <v>67</v>
      </c>
      <c r="C9811" s="23">
        <v>6.8095627663704084E-2</v>
      </c>
      <c r="D9811" s="23">
        <v>5.7142857142857099E-2</v>
      </c>
      <c r="E9811" s="23">
        <v>1.1990407673860899E-2</v>
      </c>
      <c r="F9811" s="23">
        <v>0.23529411764705899</v>
      </c>
      <c r="G9811">
        <v>54</v>
      </c>
      <c r="H9811">
        <v>73</v>
      </c>
    </row>
    <row r="9812" spans="1:8" x14ac:dyDescent="0.3">
      <c r="A9812" s="22" t="s">
        <v>64</v>
      </c>
      <c r="B9812" t="s">
        <v>68</v>
      </c>
      <c r="C9812" s="23">
        <v>6.0865923215428941E-2</v>
      </c>
      <c r="D9812" s="23">
        <v>4.92957746478873E-2</v>
      </c>
      <c r="E9812" s="23">
        <v>1.4792899408284E-2</v>
      </c>
      <c r="F9812" s="23">
        <v>0.240384615384615</v>
      </c>
      <c r="G9812">
        <v>19</v>
      </c>
      <c r="H9812">
        <v>73</v>
      </c>
    </row>
    <row r="9814" spans="1:8" ht="72" x14ac:dyDescent="0.3">
      <c r="A9814" s="22" t="s">
        <v>2102</v>
      </c>
    </row>
    <row r="9815" spans="1:8" x14ac:dyDescent="0.3">
      <c r="A9815" s="22" t="s">
        <v>57</v>
      </c>
      <c r="B9815" t="s">
        <v>66</v>
      </c>
      <c r="C9815" t="s">
        <v>58</v>
      </c>
      <c r="D9815" t="s">
        <v>59</v>
      </c>
      <c r="E9815" t="s">
        <v>60</v>
      </c>
      <c r="F9815" t="s">
        <v>61</v>
      </c>
      <c r="G9815" t="s">
        <v>62</v>
      </c>
      <c r="H9815" t="s">
        <v>63</v>
      </c>
    </row>
    <row r="9816" spans="1:8" x14ac:dyDescent="0.3">
      <c r="A9816" s="22" t="s">
        <v>64</v>
      </c>
      <c r="B9816" t="s">
        <v>67</v>
      </c>
      <c r="C9816" s="23">
        <v>6.3405209147067224E-2</v>
      </c>
      <c r="D9816" s="23">
        <v>5.7142857142857099E-2</v>
      </c>
      <c r="E9816" s="23">
        <v>1.1990407673860899E-2</v>
      </c>
      <c r="F9816" s="23">
        <v>0.16666666666666699</v>
      </c>
      <c r="G9816">
        <v>55</v>
      </c>
      <c r="H9816">
        <v>73</v>
      </c>
    </row>
    <row r="9817" spans="1:8" x14ac:dyDescent="0.3">
      <c r="A9817" s="22" t="s">
        <v>64</v>
      </c>
      <c r="B9817" t="s">
        <v>68</v>
      </c>
      <c r="C9817" s="23">
        <v>7.4796107324692968E-2</v>
      </c>
      <c r="D9817" s="23">
        <v>4.3478260869565202E-2</v>
      </c>
      <c r="E9817" s="23">
        <v>2.04081632653061E-2</v>
      </c>
      <c r="F9817" s="23">
        <v>0.240384615384615</v>
      </c>
      <c r="G9817">
        <v>18</v>
      </c>
      <c r="H9817">
        <v>73</v>
      </c>
    </row>
    <row r="9819" spans="1:8" ht="86.4" x14ac:dyDescent="0.3">
      <c r="A9819" s="22" t="s">
        <v>2103</v>
      </c>
    </row>
    <row r="9820" spans="1:8" x14ac:dyDescent="0.3">
      <c r="A9820" s="22" t="s">
        <v>57</v>
      </c>
      <c r="B9820" t="s">
        <v>66</v>
      </c>
      <c r="C9820" t="s">
        <v>58</v>
      </c>
      <c r="D9820" t="s">
        <v>59</v>
      </c>
      <c r="E9820" t="s">
        <v>60</v>
      </c>
      <c r="F9820" t="s">
        <v>61</v>
      </c>
      <c r="G9820" t="s">
        <v>62</v>
      </c>
      <c r="H9820" t="s">
        <v>63</v>
      </c>
    </row>
    <row r="9821" spans="1:8" x14ac:dyDescent="0.3">
      <c r="A9821" s="22" t="s">
        <v>64</v>
      </c>
      <c r="B9821" t="s">
        <v>67</v>
      </c>
      <c r="C9821" s="23">
        <v>6.6203143034560721E-2</v>
      </c>
      <c r="D9821" s="23">
        <v>5.4054054054054099E-2</v>
      </c>
      <c r="E9821" s="23">
        <v>1.1990407673860899E-2</v>
      </c>
      <c r="F9821" s="23">
        <v>0.240384615384615</v>
      </c>
      <c r="G9821">
        <v>68</v>
      </c>
      <c r="H9821">
        <v>73</v>
      </c>
    </row>
    <row r="9822" spans="1:8" x14ac:dyDescent="0.3">
      <c r="A9822" s="22" t="s">
        <v>64</v>
      </c>
      <c r="B9822" t="s">
        <v>68</v>
      </c>
      <c r="C9822" s="23">
        <v>6.6360541716608296E-2</v>
      </c>
      <c r="D9822" s="23">
        <v>0.08</v>
      </c>
      <c r="E9822" s="23">
        <v>1.4792899408284E-2</v>
      </c>
      <c r="F9822" s="23">
        <v>0.128205128205128</v>
      </c>
      <c r="G9822">
        <v>5</v>
      </c>
      <c r="H9822">
        <v>73</v>
      </c>
    </row>
    <row r="9824" spans="1:8" ht="86.4" x14ac:dyDescent="0.3">
      <c r="A9824" s="22" t="s">
        <v>2104</v>
      </c>
    </row>
    <row r="9825" spans="1:8" x14ac:dyDescent="0.3">
      <c r="A9825" s="22" t="s">
        <v>57</v>
      </c>
      <c r="B9825" t="s">
        <v>66</v>
      </c>
      <c r="C9825" t="s">
        <v>58</v>
      </c>
      <c r="D9825" t="s">
        <v>59</v>
      </c>
      <c r="E9825" t="s">
        <v>60</v>
      </c>
      <c r="F9825" t="s">
        <v>61</v>
      </c>
      <c r="G9825" t="s">
        <v>62</v>
      </c>
      <c r="H9825" t="s">
        <v>63</v>
      </c>
    </row>
    <row r="9826" spans="1:8" x14ac:dyDescent="0.3">
      <c r="A9826" s="22" t="s">
        <v>64</v>
      </c>
      <c r="B9826" t="s">
        <v>67</v>
      </c>
      <c r="C9826" s="23">
        <v>6.6213923766207827E-2</v>
      </c>
      <c r="D9826" s="23">
        <v>5.6910569105691103E-2</v>
      </c>
      <c r="E9826" s="23">
        <v>1.1990407673860899E-2</v>
      </c>
      <c r="F9826" s="23">
        <v>0.240384615384615</v>
      </c>
      <c r="G9826">
        <v>73</v>
      </c>
      <c r="H9826">
        <v>73</v>
      </c>
    </row>
    <row r="9828" spans="1:8" ht="72" x14ac:dyDescent="0.3">
      <c r="A9828" s="22" t="s">
        <v>2105</v>
      </c>
    </row>
    <row r="9829" spans="1:8" x14ac:dyDescent="0.3">
      <c r="A9829" s="22" t="s">
        <v>57</v>
      </c>
      <c r="B9829" t="s">
        <v>66</v>
      </c>
      <c r="C9829" t="s">
        <v>58</v>
      </c>
      <c r="D9829" t="s">
        <v>59</v>
      </c>
      <c r="E9829" t="s">
        <v>60</v>
      </c>
      <c r="F9829" t="s">
        <v>61</v>
      </c>
      <c r="G9829" t="s">
        <v>62</v>
      </c>
      <c r="H9829" t="s">
        <v>63</v>
      </c>
    </row>
    <row r="9830" spans="1:8" x14ac:dyDescent="0.3">
      <c r="A9830" s="22" t="s">
        <v>64</v>
      </c>
      <c r="B9830" t="s">
        <v>67</v>
      </c>
      <c r="C9830" s="23">
        <v>6.8199078796972332E-2</v>
      </c>
      <c r="D9830" s="23">
        <v>5.7142857142857099E-2</v>
      </c>
      <c r="E9830" s="23">
        <v>1.1990407673860899E-2</v>
      </c>
      <c r="F9830" s="23">
        <v>0.240384615384615</v>
      </c>
      <c r="G9830">
        <v>49</v>
      </c>
      <c r="H9830">
        <v>73</v>
      </c>
    </row>
    <row r="9831" spans="1:8" x14ac:dyDescent="0.3">
      <c r="A9831" s="22" t="s">
        <v>64</v>
      </c>
      <c r="B9831" t="s">
        <v>68</v>
      </c>
      <c r="C9831" s="23">
        <v>6.2160898911730302E-2</v>
      </c>
      <c r="D9831" s="23">
        <v>4.5112781954887202E-2</v>
      </c>
      <c r="E9831" s="23">
        <v>1.4792899408284E-2</v>
      </c>
      <c r="F9831" s="23">
        <v>0.16666666666666699</v>
      </c>
      <c r="G9831">
        <v>24</v>
      </c>
      <c r="H9831">
        <v>73</v>
      </c>
    </row>
    <row r="9833" spans="1:8" ht="86.4" x14ac:dyDescent="0.3">
      <c r="A9833" s="22" t="s">
        <v>2106</v>
      </c>
    </row>
    <row r="9834" spans="1:8" x14ac:dyDescent="0.3">
      <c r="A9834" s="22" t="s">
        <v>57</v>
      </c>
      <c r="B9834" t="s">
        <v>66</v>
      </c>
      <c r="C9834" t="s">
        <v>58</v>
      </c>
      <c r="D9834" t="s">
        <v>59</v>
      </c>
      <c r="E9834" t="s">
        <v>60</v>
      </c>
      <c r="F9834" t="s">
        <v>61</v>
      </c>
      <c r="G9834" t="s">
        <v>62</v>
      </c>
      <c r="H9834" t="s">
        <v>63</v>
      </c>
    </row>
    <row r="9835" spans="1:8" x14ac:dyDescent="0.3">
      <c r="A9835" s="22" t="s">
        <v>64</v>
      </c>
      <c r="B9835" t="s">
        <v>67</v>
      </c>
      <c r="C9835" s="23">
        <v>6.4655892011310154E-2</v>
      </c>
      <c r="D9835" s="23">
        <v>5.7142857142857099E-2</v>
      </c>
      <c r="E9835" s="23">
        <v>1.1990407673860899E-2</v>
      </c>
      <c r="F9835" s="23">
        <v>0.240384615384615</v>
      </c>
      <c r="G9835">
        <v>63</v>
      </c>
      <c r="H9835">
        <v>73</v>
      </c>
    </row>
    <row r="9836" spans="1:8" x14ac:dyDescent="0.3">
      <c r="A9836" s="22" t="s">
        <v>64</v>
      </c>
      <c r="B9836" t="s">
        <v>68</v>
      </c>
      <c r="C9836" s="23">
        <v>7.6029523822063183E-2</v>
      </c>
      <c r="D9836" s="23">
        <v>4.3478260869565202E-2</v>
      </c>
      <c r="E9836" s="23">
        <v>2.32558139534884E-2</v>
      </c>
      <c r="F9836" s="23">
        <v>0.23529411764705899</v>
      </c>
      <c r="G9836">
        <v>10</v>
      </c>
      <c r="H9836">
        <v>73</v>
      </c>
    </row>
    <row r="9838" spans="1:8" ht="72" x14ac:dyDescent="0.3">
      <c r="A9838" s="22" t="s">
        <v>2107</v>
      </c>
    </row>
    <row r="9839" spans="1:8" x14ac:dyDescent="0.3">
      <c r="A9839" s="22" t="s">
        <v>57</v>
      </c>
      <c r="B9839" t="s">
        <v>66</v>
      </c>
      <c r="C9839" t="s">
        <v>58</v>
      </c>
      <c r="D9839" t="s">
        <v>59</v>
      </c>
      <c r="E9839" t="s">
        <v>60</v>
      </c>
      <c r="F9839" t="s">
        <v>61</v>
      </c>
      <c r="G9839" t="s">
        <v>62</v>
      </c>
      <c r="H9839" t="s">
        <v>63</v>
      </c>
    </row>
    <row r="9840" spans="1:8" x14ac:dyDescent="0.3">
      <c r="A9840" s="22" t="s">
        <v>64</v>
      </c>
      <c r="B9840" t="s">
        <v>81</v>
      </c>
      <c r="C9840" s="23">
        <v>5.7929925182204939E-2</v>
      </c>
      <c r="D9840" s="23">
        <v>4.5112781954887202E-2</v>
      </c>
      <c r="E9840" s="23">
        <v>1.1990407673860899E-2</v>
      </c>
      <c r="F9840" s="23">
        <v>0.155502392344498</v>
      </c>
      <c r="G9840">
        <v>18</v>
      </c>
      <c r="H9840">
        <v>73</v>
      </c>
    </row>
    <row r="9841" spans="1:8" x14ac:dyDescent="0.3">
      <c r="A9841" s="22" t="s">
        <v>64</v>
      </c>
      <c r="B9841" t="s">
        <v>82</v>
      </c>
      <c r="C9841" s="23">
        <v>7.3435730800425064E-2</v>
      </c>
      <c r="D9841" s="23">
        <v>7.10382513661202E-2</v>
      </c>
      <c r="E9841" s="23">
        <v>1.9607843137254902E-2</v>
      </c>
      <c r="F9841" s="23">
        <v>0.240384615384615</v>
      </c>
      <c r="G9841">
        <v>17</v>
      </c>
      <c r="H9841">
        <v>73</v>
      </c>
    </row>
    <row r="9842" spans="1:8" x14ac:dyDescent="0.3">
      <c r="A9842" s="22" t="s">
        <v>64</v>
      </c>
      <c r="B9842" t="s">
        <v>83</v>
      </c>
      <c r="C9842" s="23">
        <v>5.2739683530775169E-2</v>
      </c>
      <c r="D9842" s="23">
        <v>4.1420118343195297E-2</v>
      </c>
      <c r="E9842" s="23">
        <v>1.4792899408284E-2</v>
      </c>
      <c r="F9842" s="23">
        <v>0.16666666666666699</v>
      </c>
      <c r="G9842">
        <v>19</v>
      </c>
      <c r="H9842">
        <v>73</v>
      </c>
    </row>
    <row r="9843" spans="1:8" x14ac:dyDescent="0.3">
      <c r="A9843" s="22" t="s">
        <v>64</v>
      </c>
      <c r="B9843" t="s">
        <v>84</v>
      </c>
      <c r="C9843" s="23">
        <v>8.1074545840080434E-2</v>
      </c>
      <c r="D9843" s="23">
        <v>6.4102564102564097E-2</v>
      </c>
      <c r="E9843" s="23">
        <v>2.32558139534884E-2</v>
      </c>
      <c r="F9843" s="23">
        <v>0.23529411764705899</v>
      </c>
      <c r="G9843">
        <v>19</v>
      </c>
      <c r="H9843">
        <v>73</v>
      </c>
    </row>
    <row r="9845" spans="1:8" ht="57.6" x14ac:dyDescent="0.3">
      <c r="A9845" s="22" t="s">
        <v>2108</v>
      </c>
    </row>
    <row r="9846" spans="1:8" x14ac:dyDescent="0.3">
      <c r="A9846" s="22" t="s">
        <v>57</v>
      </c>
      <c r="B9846" t="s">
        <v>58</v>
      </c>
      <c r="C9846" t="s">
        <v>59</v>
      </c>
      <c r="D9846" t="s">
        <v>60</v>
      </c>
      <c r="E9846" t="s">
        <v>61</v>
      </c>
      <c r="F9846" t="s">
        <v>62</v>
      </c>
      <c r="G9846" t="s">
        <v>63</v>
      </c>
    </row>
    <row r="9847" spans="1:8" x14ac:dyDescent="0.3">
      <c r="A9847" s="22" t="s">
        <v>64</v>
      </c>
      <c r="B9847" s="23">
        <v>0.21930308182829661</v>
      </c>
      <c r="C9847" s="23">
        <v>0.13953488372093001</v>
      </c>
      <c r="D9847" s="23">
        <v>1.68918918918919E-2</v>
      </c>
      <c r="E9847" s="23">
        <v>0.68027210884353695</v>
      </c>
      <c r="F9847">
        <v>7</v>
      </c>
      <c r="G9847">
        <v>7</v>
      </c>
    </row>
    <row r="9849" spans="1:8" ht="72" x14ac:dyDescent="0.3">
      <c r="A9849" s="22" t="s">
        <v>2109</v>
      </c>
    </row>
    <row r="9850" spans="1:8" x14ac:dyDescent="0.3">
      <c r="A9850" s="22" t="s">
        <v>57</v>
      </c>
      <c r="B9850" t="s">
        <v>66</v>
      </c>
      <c r="C9850" t="s">
        <v>58</v>
      </c>
      <c r="D9850" t="s">
        <v>59</v>
      </c>
      <c r="E9850" t="s">
        <v>60</v>
      </c>
      <c r="F9850" t="s">
        <v>61</v>
      </c>
      <c r="G9850" t="s">
        <v>62</v>
      </c>
      <c r="H9850" t="s">
        <v>63</v>
      </c>
    </row>
    <row r="9851" spans="1:8" x14ac:dyDescent="0.3">
      <c r="A9851" s="22" t="s">
        <v>64</v>
      </c>
      <c r="B9851" t="s">
        <v>67</v>
      </c>
      <c r="C9851" s="23">
        <v>0.24907852771566849</v>
      </c>
      <c r="D9851" s="23">
        <v>0.12903225806451599</v>
      </c>
      <c r="E9851" s="23">
        <v>1.68918918918919E-2</v>
      </c>
      <c r="F9851" s="23">
        <v>0.68027210884353695</v>
      </c>
      <c r="G9851">
        <v>6</v>
      </c>
      <c r="H9851">
        <v>7</v>
      </c>
    </row>
    <row r="9852" spans="1:8" x14ac:dyDescent="0.3">
      <c r="A9852" s="22" t="s">
        <v>64</v>
      </c>
      <c r="B9852" t="s">
        <v>68</v>
      </c>
      <c r="C9852" s="23">
        <v>4.0650406504064998E-2</v>
      </c>
      <c r="D9852" s="23">
        <v>4.0650406504064998E-2</v>
      </c>
      <c r="E9852" s="23">
        <v>4.0650406504064998E-2</v>
      </c>
      <c r="F9852" s="23">
        <v>4.0650406504064998E-2</v>
      </c>
      <c r="G9852">
        <v>1</v>
      </c>
      <c r="H9852">
        <v>7</v>
      </c>
    </row>
    <row r="9854" spans="1:8" x14ac:dyDescent="0.3">
      <c r="A9854"/>
    </row>
    <row r="9855" spans="1:8" x14ac:dyDescent="0.3">
      <c r="A9855"/>
    </row>
    <row r="9856" spans="1:8" x14ac:dyDescent="0.3">
      <c r="A9856"/>
    </row>
    <row r="9857" spans="1:8" x14ac:dyDescent="0.3">
      <c r="A9857"/>
    </row>
    <row r="9858" spans="1:8" ht="72" x14ac:dyDescent="0.3">
      <c r="A9858" s="22" t="s">
        <v>2110</v>
      </c>
    </row>
    <row r="9859" spans="1:8" x14ac:dyDescent="0.3">
      <c r="A9859" s="22" t="s">
        <v>57</v>
      </c>
      <c r="B9859" t="s">
        <v>66</v>
      </c>
      <c r="C9859" t="s">
        <v>58</v>
      </c>
      <c r="D9859" t="s">
        <v>59</v>
      </c>
      <c r="E9859" t="s">
        <v>60</v>
      </c>
      <c r="F9859" t="s">
        <v>61</v>
      </c>
      <c r="G9859" t="s">
        <v>62</v>
      </c>
      <c r="H9859" t="s">
        <v>63</v>
      </c>
    </row>
    <row r="9860" spans="1:8" x14ac:dyDescent="0.3">
      <c r="A9860" s="22" t="s">
        <v>64</v>
      </c>
      <c r="B9860" t="s">
        <v>67</v>
      </c>
      <c r="C9860" s="23">
        <v>0.25051171512446557</v>
      </c>
      <c r="D9860" s="23">
        <v>0.12903225806451599</v>
      </c>
      <c r="E9860" s="23">
        <v>1.68918918918919E-2</v>
      </c>
      <c r="F9860" s="23">
        <v>0.68027210884353695</v>
      </c>
      <c r="G9860">
        <v>6</v>
      </c>
      <c r="H9860">
        <v>7</v>
      </c>
    </row>
    <row r="9861" spans="1:8" x14ac:dyDescent="0.3">
      <c r="A9861" s="22" t="s">
        <v>64</v>
      </c>
      <c r="B9861" t="s">
        <v>68</v>
      </c>
      <c r="C9861" s="23">
        <v>3.2051282051282E-2</v>
      </c>
      <c r="D9861" s="23">
        <v>3.2051282051282E-2</v>
      </c>
      <c r="E9861" s="23">
        <v>3.2051282051282E-2</v>
      </c>
      <c r="F9861" s="23">
        <v>3.2051282051282E-2</v>
      </c>
      <c r="G9861">
        <v>1</v>
      </c>
      <c r="H9861">
        <v>7</v>
      </c>
    </row>
    <row r="9863" spans="1:8" ht="72" x14ac:dyDescent="0.3">
      <c r="A9863" s="22" t="s">
        <v>2111</v>
      </c>
    </row>
    <row r="9864" spans="1:8" x14ac:dyDescent="0.3">
      <c r="A9864" s="22" t="s">
        <v>57</v>
      </c>
      <c r="B9864" t="s">
        <v>66</v>
      </c>
      <c r="C9864" t="s">
        <v>58</v>
      </c>
      <c r="D9864" t="s">
        <v>59</v>
      </c>
      <c r="E9864" t="s">
        <v>60</v>
      </c>
      <c r="F9864" t="s">
        <v>61</v>
      </c>
      <c r="G9864" t="s">
        <v>62</v>
      </c>
      <c r="H9864" t="s">
        <v>63</v>
      </c>
    </row>
    <row r="9865" spans="1:8" x14ac:dyDescent="0.3">
      <c r="A9865" s="22" t="s">
        <v>64</v>
      </c>
      <c r="B9865" t="s">
        <v>67</v>
      </c>
      <c r="C9865" s="23">
        <v>0.21930308182829661</v>
      </c>
      <c r="D9865" s="23">
        <v>0.13953488372093001</v>
      </c>
      <c r="E9865" s="23">
        <v>1.68918918918919E-2</v>
      </c>
      <c r="F9865" s="23">
        <v>0.68027210884353695</v>
      </c>
      <c r="G9865">
        <v>7</v>
      </c>
      <c r="H9865">
        <v>7</v>
      </c>
    </row>
    <row r="9867" spans="1:8" ht="72" x14ac:dyDescent="0.3">
      <c r="A9867" s="22" t="s">
        <v>2112</v>
      </c>
    </row>
    <row r="9868" spans="1:8" x14ac:dyDescent="0.3">
      <c r="A9868" s="22" t="s">
        <v>57</v>
      </c>
      <c r="B9868" t="s">
        <v>66</v>
      </c>
      <c r="C9868" t="s">
        <v>58</v>
      </c>
      <c r="D9868" t="s">
        <v>59</v>
      </c>
      <c r="E9868" t="s">
        <v>60</v>
      </c>
      <c r="F9868" t="s">
        <v>61</v>
      </c>
      <c r="G9868" t="s">
        <v>62</v>
      </c>
      <c r="H9868" t="s">
        <v>63</v>
      </c>
    </row>
    <row r="9869" spans="1:8" x14ac:dyDescent="0.3">
      <c r="A9869" s="22" t="s">
        <v>64</v>
      </c>
      <c r="B9869" t="s">
        <v>67</v>
      </c>
      <c r="C9869" s="23">
        <v>0.17307213851270359</v>
      </c>
      <c r="D9869" s="23">
        <v>4.0650406504064998E-2</v>
      </c>
      <c r="E9869" s="23">
        <v>1.68918918918919E-2</v>
      </c>
      <c r="F9869" s="23">
        <v>0.68027210884353695</v>
      </c>
      <c r="G9869">
        <v>6</v>
      </c>
      <c r="H9869">
        <v>7</v>
      </c>
    </row>
    <row r="9870" spans="1:8" x14ac:dyDescent="0.3">
      <c r="A9870" s="22" t="s">
        <v>64</v>
      </c>
      <c r="B9870" t="s">
        <v>68</v>
      </c>
      <c r="C9870" s="23">
        <v>0.49668874172185401</v>
      </c>
      <c r="D9870" s="23">
        <v>0.49668874172185401</v>
      </c>
      <c r="E9870" s="23">
        <v>0.49668874172185401</v>
      </c>
      <c r="F9870" s="23">
        <v>0.49668874172185401</v>
      </c>
      <c r="G9870">
        <v>1</v>
      </c>
      <c r="H9870">
        <v>7</v>
      </c>
    </row>
    <row r="9872" spans="1:8" ht="72" x14ac:dyDescent="0.3">
      <c r="A9872" s="22" t="s">
        <v>2113</v>
      </c>
    </row>
    <row r="9873" spans="1:8" x14ac:dyDescent="0.3">
      <c r="A9873" s="22" t="s">
        <v>57</v>
      </c>
      <c r="B9873" t="s">
        <v>66</v>
      </c>
      <c r="C9873" t="s">
        <v>58</v>
      </c>
      <c r="D9873" t="s">
        <v>59</v>
      </c>
      <c r="E9873" t="s">
        <v>60</v>
      </c>
      <c r="F9873" t="s">
        <v>61</v>
      </c>
      <c r="G9873" t="s">
        <v>62</v>
      </c>
      <c r="H9873" t="s">
        <v>63</v>
      </c>
    </row>
    <row r="9874" spans="1:8" x14ac:dyDescent="0.3">
      <c r="A9874" s="22" t="s">
        <v>64</v>
      </c>
      <c r="B9874" t="s">
        <v>68</v>
      </c>
      <c r="C9874" s="23">
        <v>0.21930308182829661</v>
      </c>
      <c r="D9874" s="23">
        <v>0.13953488372093001</v>
      </c>
      <c r="E9874" s="23">
        <v>1.68918918918919E-2</v>
      </c>
      <c r="F9874" s="23">
        <v>0.68027210884353695</v>
      </c>
      <c r="G9874">
        <v>7</v>
      </c>
      <c r="H9874">
        <v>7</v>
      </c>
    </row>
    <row r="9876" spans="1:8" ht="72" x14ac:dyDescent="0.3">
      <c r="A9876" s="22" t="s">
        <v>2114</v>
      </c>
    </row>
    <row r="9877" spans="1:8" x14ac:dyDescent="0.3">
      <c r="A9877" s="22" t="s">
        <v>57</v>
      </c>
      <c r="B9877" t="s">
        <v>66</v>
      </c>
      <c r="C9877" t="s">
        <v>58</v>
      </c>
      <c r="D9877" t="s">
        <v>59</v>
      </c>
      <c r="E9877" t="s">
        <v>60</v>
      </c>
      <c r="F9877" t="s">
        <v>61</v>
      </c>
      <c r="G9877" t="s">
        <v>62</v>
      </c>
      <c r="H9877" t="s">
        <v>63</v>
      </c>
    </row>
    <row r="9878" spans="1:8" x14ac:dyDescent="0.3">
      <c r="A9878" s="22" t="s">
        <v>64</v>
      </c>
      <c r="B9878" t="s">
        <v>67</v>
      </c>
      <c r="C9878" s="23">
        <v>0.21930308182829661</v>
      </c>
      <c r="D9878" s="23">
        <v>0.13953488372093001</v>
      </c>
      <c r="E9878" s="23">
        <v>1.68918918918919E-2</v>
      </c>
      <c r="F9878" s="23">
        <v>0.68027210884353695</v>
      </c>
      <c r="G9878">
        <v>7</v>
      </c>
      <c r="H9878">
        <v>7</v>
      </c>
    </row>
    <row r="9880" spans="1:8" ht="72" x14ac:dyDescent="0.3">
      <c r="A9880" s="22" t="s">
        <v>2115</v>
      </c>
    </row>
    <row r="9881" spans="1:8" x14ac:dyDescent="0.3">
      <c r="A9881" s="22" t="s">
        <v>57</v>
      </c>
      <c r="B9881" t="s">
        <v>66</v>
      </c>
      <c r="C9881" t="s">
        <v>58</v>
      </c>
      <c r="D9881" t="s">
        <v>59</v>
      </c>
      <c r="E9881" t="s">
        <v>60</v>
      </c>
      <c r="F9881" t="s">
        <v>61</v>
      </c>
      <c r="G9881" t="s">
        <v>62</v>
      </c>
      <c r="H9881" t="s">
        <v>63</v>
      </c>
    </row>
    <row r="9882" spans="1:8" x14ac:dyDescent="0.3">
      <c r="A9882" s="22" t="s">
        <v>64</v>
      </c>
      <c r="B9882" t="s">
        <v>67</v>
      </c>
      <c r="C9882" s="23">
        <v>0.1628398114900948</v>
      </c>
      <c r="D9882" s="23">
        <v>0.13953488372093001</v>
      </c>
      <c r="E9882" s="23">
        <v>1.68918918918919E-2</v>
      </c>
      <c r="F9882" s="23">
        <v>0.49668874172185401</v>
      </c>
      <c r="G9882">
        <v>5</v>
      </c>
      <c r="H9882">
        <v>7</v>
      </c>
    </row>
    <row r="9883" spans="1:8" x14ac:dyDescent="0.3">
      <c r="A9883" s="22" t="s">
        <v>64</v>
      </c>
      <c r="B9883" t="s">
        <v>68</v>
      </c>
      <c r="C9883" s="23">
        <v>0.36046125767380099</v>
      </c>
      <c r="D9883" s="23">
        <v>4.0650406504064998E-2</v>
      </c>
      <c r="E9883" s="23">
        <v>4.0650406504064998E-2</v>
      </c>
      <c r="F9883" s="23">
        <v>0.68027210884353695</v>
      </c>
      <c r="G9883">
        <v>2</v>
      </c>
      <c r="H9883">
        <v>7</v>
      </c>
    </row>
    <row r="9885" spans="1:8" ht="72" x14ac:dyDescent="0.3">
      <c r="A9885" s="22" t="s">
        <v>2116</v>
      </c>
    </row>
    <row r="9886" spans="1:8" x14ac:dyDescent="0.3">
      <c r="A9886" s="22" t="s">
        <v>57</v>
      </c>
      <c r="B9886" t="s">
        <v>66</v>
      </c>
      <c r="C9886" t="s">
        <v>58</v>
      </c>
      <c r="D9886" t="s">
        <v>59</v>
      </c>
      <c r="E9886" t="s">
        <v>60</v>
      </c>
      <c r="F9886" t="s">
        <v>61</v>
      </c>
      <c r="G9886" t="s">
        <v>62</v>
      </c>
      <c r="H9886" t="s">
        <v>63</v>
      </c>
    </row>
    <row r="9887" spans="1:8" x14ac:dyDescent="0.3">
      <c r="A9887" s="22" t="s">
        <v>64</v>
      </c>
      <c r="B9887" t="s">
        <v>67</v>
      </c>
      <c r="C9887" s="23">
        <v>0.14247491065908979</v>
      </c>
      <c r="D9887" s="23">
        <v>4.0650406504064998E-2</v>
      </c>
      <c r="E9887" s="23">
        <v>1.68918918918919E-2</v>
      </c>
      <c r="F9887" s="23">
        <v>0.49668874172185401</v>
      </c>
      <c r="G9887">
        <v>6</v>
      </c>
      <c r="H9887">
        <v>7</v>
      </c>
    </row>
    <row r="9888" spans="1:8" x14ac:dyDescent="0.3">
      <c r="A9888" s="22" t="s">
        <v>64</v>
      </c>
      <c r="B9888" t="s">
        <v>68</v>
      </c>
      <c r="C9888" s="23">
        <v>0.68027210884353695</v>
      </c>
      <c r="D9888" s="23">
        <v>0.68027210884353695</v>
      </c>
      <c r="E9888" s="23">
        <v>0.68027210884353695</v>
      </c>
      <c r="F9888" s="23">
        <v>0.68027210884353695</v>
      </c>
      <c r="G9888">
        <v>1</v>
      </c>
      <c r="H9888">
        <v>7</v>
      </c>
    </row>
    <row r="9890" spans="1:8" ht="86.4" x14ac:dyDescent="0.3">
      <c r="A9890" s="22" t="s">
        <v>2117</v>
      </c>
    </row>
    <row r="9891" spans="1:8" x14ac:dyDescent="0.3">
      <c r="A9891" s="22" t="s">
        <v>57</v>
      </c>
      <c r="B9891" t="s">
        <v>66</v>
      </c>
      <c r="C9891" t="s">
        <v>58</v>
      </c>
      <c r="D9891" t="s">
        <v>59</v>
      </c>
      <c r="E9891" t="s">
        <v>60</v>
      </c>
      <c r="F9891" t="s">
        <v>61</v>
      </c>
      <c r="G9891" t="s">
        <v>62</v>
      </c>
      <c r="H9891" t="s">
        <v>63</v>
      </c>
    </row>
    <row r="9892" spans="1:8" x14ac:dyDescent="0.3">
      <c r="A9892" s="22" t="s">
        <v>64</v>
      </c>
      <c r="B9892" t="s">
        <v>67</v>
      </c>
      <c r="C9892" s="23">
        <v>0.17307213851270359</v>
      </c>
      <c r="D9892" s="23">
        <v>4.0650406504064998E-2</v>
      </c>
      <c r="E9892" s="23">
        <v>1.68918918918919E-2</v>
      </c>
      <c r="F9892" s="23">
        <v>0.68027210884353695</v>
      </c>
      <c r="G9892">
        <v>6</v>
      </c>
      <c r="H9892">
        <v>7</v>
      </c>
    </row>
    <row r="9893" spans="1:8" x14ac:dyDescent="0.3">
      <c r="A9893" s="22" t="s">
        <v>64</v>
      </c>
      <c r="B9893" t="s">
        <v>68</v>
      </c>
      <c r="C9893" s="23">
        <v>0.49668874172185401</v>
      </c>
      <c r="D9893" s="23">
        <v>0.49668874172185401</v>
      </c>
      <c r="E9893" s="23">
        <v>0.49668874172185401</v>
      </c>
      <c r="F9893" s="23">
        <v>0.49668874172185401</v>
      </c>
      <c r="G9893">
        <v>1</v>
      </c>
      <c r="H9893">
        <v>7</v>
      </c>
    </row>
    <row r="9895" spans="1:8" ht="86.4" x14ac:dyDescent="0.3">
      <c r="A9895" s="22" t="s">
        <v>2118</v>
      </c>
    </row>
    <row r="9896" spans="1:8" x14ac:dyDescent="0.3">
      <c r="A9896" s="22" t="s">
        <v>57</v>
      </c>
      <c r="B9896" t="s">
        <v>66</v>
      </c>
      <c r="C9896" t="s">
        <v>58</v>
      </c>
      <c r="D9896" t="s">
        <v>59</v>
      </c>
      <c r="E9896" t="s">
        <v>60</v>
      </c>
      <c r="F9896" t="s">
        <v>61</v>
      </c>
      <c r="G9896" t="s">
        <v>62</v>
      </c>
      <c r="H9896" t="s">
        <v>63</v>
      </c>
    </row>
    <row r="9897" spans="1:8" x14ac:dyDescent="0.3">
      <c r="A9897" s="22" t="s">
        <v>64</v>
      </c>
      <c r="B9897" t="s">
        <v>67</v>
      </c>
      <c r="C9897" s="23">
        <v>0.21930308182829661</v>
      </c>
      <c r="D9897" s="23">
        <v>0.13953488372093001</v>
      </c>
      <c r="E9897" s="23">
        <v>1.68918918918919E-2</v>
      </c>
      <c r="F9897" s="23">
        <v>0.68027210884353695</v>
      </c>
      <c r="G9897">
        <v>7</v>
      </c>
      <c r="H9897">
        <v>7</v>
      </c>
    </row>
    <row r="9899" spans="1:8" ht="72" x14ac:dyDescent="0.3">
      <c r="A9899" s="22" t="s">
        <v>2119</v>
      </c>
    </row>
    <row r="9900" spans="1:8" x14ac:dyDescent="0.3">
      <c r="A9900" s="22" t="s">
        <v>57</v>
      </c>
      <c r="B9900" t="s">
        <v>66</v>
      </c>
      <c r="C9900" t="s">
        <v>58</v>
      </c>
      <c r="D9900" t="s">
        <v>59</v>
      </c>
      <c r="E9900" t="s">
        <v>60</v>
      </c>
      <c r="F9900" t="s">
        <v>61</v>
      </c>
      <c r="G9900" t="s">
        <v>62</v>
      </c>
      <c r="H9900" t="s">
        <v>63</v>
      </c>
    </row>
    <row r="9901" spans="1:8" x14ac:dyDescent="0.3">
      <c r="A9901" s="22" t="s">
        <v>64</v>
      </c>
      <c r="B9901" t="s">
        <v>67</v>
      </c>
      <c r="C9901" s="23">
        <v>8.5317207585198257E-2</v>
      </c>
      <c r="D9901" s="23">
        <v>4.0650406504064998E-2</v>
      </c>
      <c r="E9901" s="23">
        <v>3.2051282051282E-2</v>
      </c>
      <c r="F9901" s="23">
        <v>0.13953488372093001</v>
      </c>
      <c r="G9901">
        <v>4</v>
      </c>
      <c r="H9901">
        <v>7</v>
      </c>
    </row>
    <row r="9902" spans="1:8" x14ac:dyDescent="0.3">
      <c r="A9902" s="22" t="s">
        <v>64</v>
      </c>
      <c r="B9902" t="s">
        <v>68</v>
      </c>
      <c r="C9902" s="23">
        <v>0.39795091415242762</v>
      </c>
      <c r="D9902" s="23">
        <v>0.68027210884353695</v>
      </c>
      <c r="E9902" s="23">
        <v>1.68918918918919E-2</v>
      </c>
      <c r="F9902" s="23">
        <v>0.68027210884353695</v>
      </c>
      <c r="G9902">
        <v>3</v>
      </c>
      <c r="H9902">
        <v>7</v>
      </c>
    </row>
    <row r="9904" spans="1:8" ht="86.4" x14ac:dyDescent="0.3">
      <c r="A9904" s="22" t="s">
        <v>2120</v>
      </c>
    </row>
    <row r="9905" spans="1:8" x14ac:dyDescent="0.3">
      <c r="A9905" s="22" t="s">
        <v>57</v>
      </c>
      <c r="B9905" t="s">
        <v>66</v>
      </c>
      <c r="C9905" t="s">
        <v>58</v>
      </c>
      <c r="D9905" t="s">
        <v>59</v>
      </c>
      <c r="E9905" t="s">
        <v>60</v>
      </c>
      <c r="F9905" t="s">
        <v>61</v>
      </c>
      <c r="G9905" t="s">
        <v>62</v>
      </c>
      <c r="H9905" t="s">
        <v>63</v>
      </c>
    </row>
    <row r="9906" spans="1:8" x14ac:dyDescent="0.3">
      <c r="A9906" s="22" t="s">
        <v>64</v>
      </c>
      <c r="B9906" t="s">
        <v>67</v>
      </c>
      <c r="C9906" s="23">
        <v>0.17307213851270359</v>
      </c>
      <c r="D9906" s="23">
        <v>4.0650406504064998E-2</v>
      </c>
      <c r="E9906" s="23">
        <v>1.68918918918919E-2</v>
      </c>
      <c r="F9906" s="23">
        <v>0.68027210884353695</v>
      </c>
      <c r="G9906">
        <v>6</v>
      </c>
      <c r="H9906">
        <v>7</v>
      </c>
    </row>
    <row r="9907" spans="1:8" x14ac:dyDescent="0.3">
      <c r="A9907" s="22" t="s">
        <v>64</v>
      </c>
      <c r="B9907" t="s">
        <v>68</v>
      </c>
      <c r="C9907" s="23">
        <v>0.49668874172185401</v>
      </c>
      <c r="D9907" s="23">
        <v>0.49668874172185401</v>
      </c>
      <c r="E9907" s="23">
        <v>0.49668874172185401</v>
      </c>
      <c r="F9907" s="23">
        <v>0.49668874172185401</v>
      </c>
      <c r="G9907">
        <v>1</v>
      </c>
      <c r="H9907">
        <v>7</v>
      </c>
    </row>
    <row r="9909" spans="1:8" ht="72" x14ac:dyDescent="0.3">
      <c r="A9909" s="22" t="s">
        <v>2121</v>
      </c>
    </row>
    <row r="9910" spans="1:8" x14ac:dyDescent="0.3">
      <c r="A9910" s="22" t="s">
        <v>57</v>
      </c>
      <c r="B9910" t="s">
        <v>66</v>
      </c>
      <c r="C9910" t="s">
        <v>58</v>
      </c>
      <c r="D9910" t="s">
        <v>59</v>
      </c>
      <c r="E9910" t="s">
        <v>60</v>
      </c>
      <c r="F9910" t="s">
        <v>61</v>
      </c>
      <c r="G9910" t="s">
        <v>62</v>
      </c>
      <c r="H9910" t="s">
        <v>63</v>
      </c>
    </row>
    <row r="9911" spans="1:8" x14ac:dyDescent="0.3">
      <c r="A9911" s="22" t="s">
        <v>64</v>
      </c>
      <c r="B9911" t="s">
        <v>81</v>
      </c>
      <c r="C9911" s="23">
        <v>4.0650406504064998E-2</v>
      </c>
      <c r="D9911" s="23">
        <v>4.0650406504064998E-2</v>
      </c>
      <c r="E9911" s="23">
        <v>4.0650406504064998E-2</v>
      </c>
      <c r="F9911" s="23">
        <v>4.0650406504064998E-2</v>
      </c>
      <c r="G9911">
        <v>1</v>
      </c>
      <c r="H9911">
        <v>7</v>
      </c>
    </row>
    <row r="9912" spans="1:8" x14ac:dyDescent="0.3">
      <c r="A9912" s="22" t="s">
        <v>64</v>
      </c>
      <c r="B9912" t="s">
        <v>82</v>
      </c>
      <c r="C9912" s="23">
        <v>0.40990349628223349</v>
      </c>
      <c r="D9912" s="23">
        <v>0.13953488372093001</v>
      </c>
      <c r="E9912" s="23">
        <v>0.13953488372093001</v>
      </c>
      <c r="F9912" s="23">
        <v>0.68027210884353695</v>
      </c>
      <c r="G9912">
        <v>2</v>
      </c>
      <c r="H9912">
        <v>7</v>
      </c>
    </row>
    <row r="9913" spans="1:8" x14ac:dyDescent="0.3">
      <c r="A9913" s="22" t="s">
        <v>64</v>
      </c>
      <c r="B9913" t="s">
        <v>83</v>
      </c>
      <c r="C9913" s="23">
        <v>5.93251440025633E-2</v>
      </c>
      <c r="D9913" s="23">
        <v>0.12903225806451599</v>
      </c>
      <c r="E9913" s="23">
        <v>1.68918918918919E-2</v>
      </c>
      <c r="F9913" s="23">
        <v>0.12903225806451599</v>
      </c>
      <c r="G9913">
        <v>3</v>
      </c>
      <c r="H9913">
        <v>7</v>
      </c>
    </row>
    <row r="9914" spans="1:8" x14ac:dyDescent="0.3">
      <c r="A9914" s="22" t="s">
        <v>64</v>
      </c>
      <c r="B9914" t="s">
        <v>84</v>
      </c>
      <c r="C9914" s="23">
        <v>0.49668874172185401</v>
      </c>
      <c r="D9914" s="23">
        <v>0.49668874172185401</v>
      </c>
      <c r="E9914" s="23">
        <v>0.49668874172185401</v>
      </c>
      <c r="F9914" s="23">
        <v>0.49668874172185401</v>
      </c>
      <c r="G9914">
        <v>1</v>
      </c>
      <c r="H9914">
        <v>7</v>
      </c>
    </row>
  </sheetData>
  <conditionalFormatting sqref="A2">
    <cfRule type="containsText" dxfId="1957" priority="8" operator="containsText" text="per capita">
      <formula>NOT(ISERROR(SEARCH("per capita",A2)))</formula>
    </cfRule>
    <cfRule type="containsText" dxfId="1956" priority="9" operator="containsText" text="household">
      <formula>NOT(ISERROR(SEARCH("household",A2)))</formula>
    </cfRule>
  </conditionalFormatting>
  <conditionalFormatting sqref="A6">
    <cfRule type="containsText" dxfId="1955" priority="11" operator="containsText" text="household">
      <formula>NOT(ISERROR(SEARCH("household",A6)))</formula>
    </cfRule>
    <cfRule type="containsText" dxfId="1954" priority="10" operator="containsText" text="per capita">
      <formula>NOT(ISERROR(SEARCH("per capita",A6)))</formula>
    </cfRule>
  </conditionalFormatting>
  <conditionalFormatting sqref="A15">
    <cfRule type="containsText" dxfId="1953" priority="4" operator="containsText" text="per capita">
      <formula>NOT(ISERROR(SEARCH("per capita",A15)))</formula>
    </cfRule>
    <cfRule type="containsText" dxfId="1952" priority="5" operator="containsText" text="Household">
      <formula>NOT(ISERROR(SEARCH("Household",A15)))</formula>
    </cfRule>
  </conditionalFormatting>
  <conditionalFormatting sqref="A20:A84 A88:A158 A162:A232 A236:A306 A310:A380 A384:A454 A458:A528 A532:A602 A606:A676 A680:A750 A754:A824 A828:A898 A902:A972 A976:A1046 A1050:A1120 A1124:A1194 A1198:A1268 A1273:A1342 A1346:A1416 A1420:A1490 A1494:A1564 A1568:A1638 A1642:A1724 A1728:A1798 A1803:A1872 A1876:A1946 A1950:A2020 A2024:A2094 A2098:A2168 A2173:A2240 A2244:A2314 A2318:A2385 A2389:A2450 A2454:A2516 A2520:A2589 A2594:A2661 A2665:A2722 A2726:A2795 A2799:A2855 A2859:A2922 A2926:A2995 A2999:A3064 A3068:A3133 A3138:A3197 A3202:A3258 A3262:A3328 A3333:A3402 A3407:A3474 A3478:A3546 A3550:A3617 A3621:A3688 A3692:A3759 A3763:A3832 A3837:A3905 A3909:A3969 A3973:A4042 A4046:A4110 A4114:A4180 A4184:A4241 A4246:A4314 A4318:A4380 A4384:A4452 A4456:A4521 A4525:A4588 A4592:A4657 A4661:A4729 A4733:A4800 A4804:A4874 A4878:A4946 A4950:A5018 A5023:A5090 A5094:A5161 A5165:A5233 A5238:A5306 A5310:A5379 A5384:A5443 A5447:A5516 A5520:A5584 A5589:A5654 A5659:A5715 A5720:A5789 A5793:A5857 A5861:A5929 A5934:A5999 A6003:A6066 A6071:A6137 A6141:A6209 A6213:A6280 A6284:A6354 A6358:A6428 A6433:A6502 A6506:A6576 A6580:A6650 A6655:A6724 A6728:A6798 A6803:A6872 A6876:A6946 A6950:A7020 A7025:A7093 A7098:A7160 A7164:A7234 A7238:A7307 A7311:A7380 A7385:A7450 A7454:A7522 A7526:A7593 A7597:A7666 A7670:A7739 A7743:A7810 A7814:A7880 A7884:A7951 A7955:A8023 A8027:A8092 A8096:A8163 A8167:A8230 A8234:A8301 A8305:A8373 A8377:A8447 A8451:A8517 A8521:A8584 A8588:A8658 A8662:A8731 A8735:A8804 A8809:A8876 A8880:A8949 A8953:A9023 A9027:A9095 A9099:A9169 A9173:A9240 A9244:A9306 A9311:A9372 A9376:A9445 A9449:A9510 A9515:A9580 A9584:A9645 A9649:A9709 A9713:A9779 A9783:A9853 A9858:A9909">
    <cfRule type="containsText" dxfId="1951" priority="2" operator="containsText" text="per capita">
      <formula>NOT(ISERROR(SEARCH("per capita",A20)))</formula>
    </cfRule>
    <cfRule type="containsText" dxfId="1950" priority="3" operator="containsText" text="Household">
      <formula>NOT(ISERROR(SEARCH("Household",A20)))</formula>
    </cfRule>
  </conditionalFormatting>
  <conditionalFormatting sqref="A1:XFD1048576">
    <cfRule type="notContainsBlanks" dxfId="1949" priority="1">
      <formula>LEN(TRIM(A1))&gt;0</formula>
    </cfRule>
  </conditionalFormatting>
  <conditionalFormatting sqref="B4">
    <cfRule type="colorScale" priority="12">
      <colorScale>
        <cfvo type="min"/>
        <cfvo type="percentile" val="50"/>
        <cfvo type="max"/>
        <color rgb="FFF8696B"/>
        <color rgb="FFFFEB84"/>
        <color rgb="FF63BE7B"/>
      </colorScale>
    </cfRule>
  </conditionalFormatting>
  <conditionalFormatting sqref="B78">
    <cfRule type="colorScale" priority="87">
      <colorScale>
        <cfvo type="min"/>
        <cfvo type="percentile" val="50"/>
        <cfvo type="max"/>
        <color rgb="FFF8696B"/>
        <color rgb="FFFFEB84"/>
        <color rgb="FF63BE7B"/>
      </colorScale>
    </cfRule>
  </conditionalFormatting>
  <conditionalFormatting sqref="B152">
    <cfRule type="colorScale" priority="162">
      <colorScale>
        <cfvo type="min"/>
        <cfvo type="percentile" val="50"/>
        <cfvo type="max"/>
        <color rgb="FFF8696B"/>
        <color rgb="FFFFEB84"/>
        <color rgb="FF63BE7B"/>
      </colorScale>
    </cfRule>
  </conditionalFormatting>
  <conditionalFormatting sqref="B226">
    <cfRule type="colorScale" priority="237">
      <colorScale>
        <cfvo type="min"/>
        <cfvo type="percentile" val="50"/>
        <cfvo type="max"/>
        <color rgb="FFF8696B"/>
        <color rgb="FFFFEB84"/>
        <color rgb="FF63BE7B"/>
      </colorScale>
    </cfRule>
  </conditionalFormatting>
  <conditionalFormatting sqref="B448">
    <cfRule type="colorScale" priority="372">
      <colorScale>
        <cfvo type="min"/>
        <cfvo type="percentile" val="50"/>
        <cfvo type="max"/>
        <color rgb="FFF8696B"/>
        <color rgb="FFFFEB84"/>
        <color rgb="FF63BE7B"/>
      </colorScale>
    </cfRule>
  </conditionalFormatting>
  <conditionalFormatting sqref="B522">
    <cfRule type="colorScale" priority="447">
      <colorScale>
        <cfvo type="min"/>
        <cfvo type="percentile" val="50"/>
        <cfvo type="max"/>
        <color rgb="FFF8696B"/>
        <color rgb="FFFFEB84"/>
        <color rgb="FF63BE7B"/>
      </colorScale>
    </cfRule>
  </conditionalFormatting>
  <conditionalFormatting sqref="B596">
    <cfRule type="colorScale" priority="522">
      <colorScale>
        <cfvo type="min"/>
        <cfvo type="percentile" val="50"/>
        <cfvo type="max"/>
        <color rgb="FFF8696B"/>
        <color rgb="FFFFEB84"/>
        <color rgb="FF63BE7B"/>
      </colorScale>
    </cfRule>
  </conditionalFormatting>
  <conditionalFormatting sqref="B670">
    <cfRule type="colorScale" priority="597">
      <colorScale>
        <cfvo type="min"/>
        <cfvo type="percentile" val="50"/>
        <cfvo type="max"/>
        <color rgb="FFF8696B"/>
        <color rgb="FFFFEB84"/>
        <color rgb="FF63BE7B"/>
      </colorScale>
    </cfRule>
  </conditionalFormatting>
  <conditionalFormatting sqref="B1484">
    <cfRule type="colorScale" priority="972">
      <colorScale>
        <cfvo type="min"/>
        <cfvo type="percentile" val="50"/>
        <cfvo type="max"/>
        <color rgb="FFF8696B"/>
        <color rgb="FFFFEB84"/>
        <color rgb="FF63BE7B"/>
      </colorScale>
    </cfRule>
  </conditionalFormatting>
  <conditionalFormatting sqref="B1632">
    <cfRule type="colorScale" priority="1077">
      <colorScale>
        <cfvo type="min"/>
        <cfvo type="percentile" val="50"/>
        <cfvo type="max"/>
        <color rgb="FFF8696B"/>
        <color rgb="FFFFEB84"/>
        <color rgb="FF63BE7B"/>
      </colorScale>
    </cfRule>
  </conditionalFormatting>
  <conditionalFormatting sqref="B1792">
    <cfRule type="colorScale" priority="1188">
      <colorScale>
        <cfvo type="min"/>
        <cfvo type="percentile" val="50"/>
        <cfvo type="max"/>
        <color rgb="FFF8696B"/>
        <color rgb="FFFFEB84"/>
        <color rgb="FF63BE7B"/>
      </colorScale>
    </cfRule>
  </conditionalFormatting>
  <conditionalFormatting sqref="B1866">
    <cfRule type="colorScale" priority="1263">
      <colorScale>
        <cfvo type="min"/>
        <cfvo type="percentile" val="50"/>
        <cfvo type="max"/>
        <color rgb="FFF8696B"/>
        <color rgb="FFFFEB84"/>
        <color rgb="FF63BE7B"/>
      </colorScale>
    </cfRule>
  </conditionalFormatting>
  <conditionalFormatting sqref="B2014">
    <cfRule type="colorScale" priority="1368">
      <colorScale>
        <cfvo type="min"/>
        <cfvo type="percentile" val="50"/>
        <cfvo type="max"/>
        <color rgb="FFF8696B"/>
        <color rgb="FFFFEB84"/>
        <color rgb="FF63BE7B"/>
      </colorScale>
    </cfRule>
  </conditionalFormatting>
  <conditionalFormatting sqref="B4868">
    <cfRule type="colorScale" priority="2643">
      <colorScale>
        <cfvo type="min"/>
        <cfvo type="percentile" val="50"/>
        <cfvo type="max"/>
        <color rgb="FFF8696B"/>
        <color rgb="FFFFEB84"/>
        <color rgb="FF63BE7B"/>
      </colorScale>
    </cfRule>
  </conditionalFormatting>
  <conditionalFormatting sqref="B4940">
    <cfRule type="colorScale" priority="2718">
      <colorScale>
        <cfvo type="min"/>
        <cfvo type="percentile" val="50"/>
        <cfvo type="max"/>
        <color rgb="FFF8696B"/>
        <color rgb="FFFFEB84"/>
        <color rgb="FF63BE7B"/>
      </colorScale>
    </cfRule>
  </conditionalFormatting>
  <conditionalFormatting sqref="B5013">
    <cfRule type="colorScale" priority="2793">
      <colorScale>
        <cfvo type="min"/>
        <cfvo type="percentile" val="50"/>
        <cfvo type="max"/>
        <color rgb="FFF8696B"/>
        <color rgb="FFFFEB84"/>
        <color rgb="FF63BE7B"/>
      </colorScale>
    </cfRule>
  </conditionalFormatting>
  <conditionalFormatting sqref="B5084">
    <cfRule type="colorScale" priority="2868">
      <colorScale>
        <cfvo type="min"/>
        <cfvo type="percentile" val="50"/>
        <cfvo type="max"/>
        <color rgb="FFF8696B"/>
        <color rgb="FFFFEB84"/>
        <color rgb="FF63BE7B"/>
      </colorScale>
    </cfRule>
  </conditionalFormatting>
  <conditionalFormatting sqref="B5156">
    <cfRule type="colorScale" priority="2943">
      <colorScale>
        <cfvo type="min"/>
        <cfvo type="percentile" val="50"/>
        <cfvo type="max"/>
        <color rgb="FFF8696B"/>
        <color rgb="FFFFEB84"/>
        <color rgb="FF63BE7B"/>
      </colorScale>
    </cfRule>
  </conditionalFormatting>
  <conditionalFormatting sqref="B5227">
    <cfRule type="colorScale" priority="3018">
      <colorScale>
        <cfvo type="min"/>
        <cfvo type="percentile" val="50"/>
        <cfvo type="max"/>
        <color rgb="FFF8696B"/>
        <color rgb="FFFFEB84"/>
        <color rgb="FF63BE7B"/>
      </colorScale>
    </cfRule>
  </conditionalFormatting>
  <conditionalFormatting sqref="B5300">
    <cfRule type="colorScale" priority="3093">
      <colorScale>
        <cfvo type="min"/>
        <cfvo type="percentile" val="50"/>
        <cfvo type="max"/>
        <color rgb="FFF8696B"/>
        <color rgb="FFFFEB84"/>
        <color rgb="FF63BE7B"/>
      </colorScale>
    </cfRule>
  </conditionalFormatting>
  <conditionalFormatting sqref="B5374">
    <cfRule type="colorScale" priority="3168">
      <colorScale>
        <cfvo type="min"/>
        <cfvo type="percentile" val="50"/>
        <cfvo type="max"/>
        <color rgb="FFF8696B"/>
        <color rgb="FFFFEB84"/>
        <color rgb="FF63BE7B"/>
      </colorScale>
    </cfRule>
  </conditionalFormatting>
  <conditionalFormatting sqref="B5437">
    <cfRule type="colorScale" priority="3243">
      <colorScale>
        <cfvo type="min"/>
        <cfvo type="percentile" val="50"/>
        <cfvo type="max"/>
        <color rgb="FFF8696B"/>
        <color rgb="FFFFEB84"/>
        <color rgb="FF63BE7B"/>
      </colorScale>
    </cfRule>
  </conditionalFormatting>
  <conditionalFormatting sqref="B5511">
    <cfRule type="colorScale" priority="3318">
      <colorScale>
        <cfvo type="min"/>
        <cfvo type="percentile" val="50"/>
        <cfvo type="max"/>
        <color rgb="FFF8696B"/>
        <color rgb="FFFFEB84"/>
        <color rgb="FF63BE7B"/>
      </colorScale>
    </cfRule>
  </conditionalFormatting>
  <conditionalFormatting sqref="B5578">
    <cfRule type="colorScale" priority="3393">
      <colorScale>
        <cfvo type="min"/>
        <cfvo type="percentile" val="50"/>
        <cfvo type="max"/>
        <color rgb="FFF8696B"/>
        <color rgb="FFFFEB84"/>
        <color rgb="FF63BE7B"/>
      </colorScale>
    </cfRule>
  </conditionalFormatting>
  <conditionalFormatting sqref="B5649">
    <cfRule type="colorScale" priority="3468">
      <colorScale>
        <cfvo type="min"/>
        <cfvo type="percentile" val="50"/>
        <cfvo type="max"/>
        <color rgb="FFF8696B"/>
        <color rgb="FFFFEB84"/>
        <color rgb="FF63BE7B"/>
      </colorScale>
    </cfRule>
  </conditionalFormatting>
  <conditionalFormatting sqref="B5709">
    <cfRule type="colorScale" priority="3543">
      <colorScale>
        <cfvo type="min"/>
        <cfvo type="percentile" val="50"/>
        <cfvo type="max"/>
        <color rgb="FFF8696B"/>
        <color rgb="FFFFEB84"/>
        <color rgb="FF63BE7B"/>
      </colorScale>
    </cfRule>
  </conditionalFormatting>
  <conditionalFormatting sqref="B5783">
    <cfRule type="colorScale" priority="3618">
      <colorScale>
        <cfvo type="min"/>
        <cfvo type="percentile" val="50"/>
        <cfvo type="max"/>
        <color rgb="FFF8696B"/>
        <color rgb="FFFFEB84"/>
        <color rgb="FF63BE7B"/>
      </colorScale>
    </cfRule>
  </conditionalFormatting>
  <conditionalFormatting sqref="B5851">
    <cfRule type="colorScale" priority="3693">
      <colorScale>
        <cfvo type="min"/>
        <cfvo type="percentile" val="50"/>
        <cfvo type="max"/>
        <color rgb="FFF8696B"/>
        <color rgb="FFFFEB84"/>
        <color rgb="FF63BE7B"/>
      </colorScale>
    </cfRule>
  </conditionalFormatting>
  <conditionalFormatting sqref="B5924">
    <cfRule type="colorScale" priority="3768">
      <colorScale>
        <cfvo type="min"/>
        <cfvo type="percentile" val="50"/>
        <cfvo type="max"/>
        <color rgb="FFF8696B"/>
        <color rgb="FFFFEB84"/>
        <color rgb="FF63BE7B"/>
      </colorScale>
    </cfRule>
  </conditionalFormatting>
  <conditionalFormatting sqref="B5994">
    <cfRule type="colorScale" priority="3843">
      <colorScale>
        <cfvo type="min"/>
        <cfvo type="percentile" val="50"/>
        <cfvo type="max"/>
        <color rgb="FFF8696B"/>
        <color rgb="FFFFEB84"/>
        <color rgb="FF63BE7B"/>
      </colorScale>
    </cfRule>
  </conditionalFormatting>
  <conditionalFormatting sqref="B6060">
    <cfRule type="colorScale" priority="3918">
      <colorScale>
        <cfvo type="min"/>
        <cfvo type="percentile" val="50"/>
        <cfvo type="max"/>
        <color rgb="FFF8696B"/>
        <color rgb="FFFFEB84"/>
        <color rgb="FF63BE7B"/>
      </colorScale>
    </cfRule>
  </conditionalFormatting>
  <conditionalFormatting sqref="B6131">
    <cfRule type="colorScale" priority="3993">
      <colorScale>
        <cfvo type="min"/>
        <cfvo type="percentile" val="50"/>
        <cfvo type="max"/>
        <color rgb="FFF8696B"/>
        <color rgb="FFFFEB84"/>
        <color rgb="FF63BE7B"/>
      </colorScale>
    </cfRule>
  </conditionalFormatting>
  <conditionalFormatting sqref="B6204">
    <cfRule type="colorScale" priority="4068">
      <colorScale>
        <cfvo type="min"/>
        <cfvo type="percentile" val="50"/>
        <cfvo type="max"/>
        <color rgb="FFF8696B"/>
        <color rgb="FFFFEB84"/>
        <color rgb="FF63BE7B"/>
      </colorScale>
    </cfRule>
  </conditionalFormatting>
  <conditionalFormatting sqref="B6866">
    <cfRule type="colorScale" priority="4383">
      <colorScale>
        <cfvo type="min"/>
        <cfvo type="percentile" val="50"/>
        <cfvo type="max"/>
        <color rgb="FFF8696B"/>
        <color rgb="FFFFEB84"/>
        <color rgb="FF63BE7B"/>
      </colorScale>
    </cfRule>
  </conditionalFormatting>
  <conditionalFormatting sqref="B6940">
    <cfRule type="colorScale" priority="4458">
      <colorScale>
        <cfvo type="min"/>
        <cfvo type="percentile" val="50"/>
        <cfvo type="max"/>
        <color rgb="FFF8696B"/>
        <color rgb="FFFFEB84"/>
        <color rgb="FF63BE7B"/>
      </colorScale>
    </cfRule>
  </conditionalFormatting>
  <conditionalFormatting sqref="B7088">
    <cfRule type="colorScale" priority="4563">
      <colorScale>
        <cfvo type="min"/>
        <cfvo type="percentile" val="50"/>
        <cfvo type="max"/>
        <color rgb="FFF8696B"/>
        <color rgb="FFFFEB84"/>
        <color rgb="FF63BE7B"/>
      </colorScale>
    </cfRule>
  </conditionalFormatting>
  <conditionalFormatting sqref="B7154">
    <cfRule type="colorScale" priority="4638">
      <colorScale>
        <cfvo type="min"/>
        <cfvo type="percentile" val="50"/>
        <cfvo type="max"/>
        <color rgb="FFF8696B"/>
        <color rgb="FFFFEB84"/>
        <color rgb="FF63BE7B"/>
      </colorScale>
    </cfRule>
  </conditionalFormatting>
  <conditionalFormatting sqref="B7228">
    <cfRule type="colorScale" priority="4713">
      <colorScale>
        <cfvo type="min"/>
        <cfvo type="percentile" val="50"/>
        <cfvo type="max"/>
        <color rgb="FFF8696B"/>
        <color rgb="FFFFEB84"/>
        <color rgb="FF63BE7B"/>
      </colorScale>
    </cfRule>
  </conditionalFormatting>
  <conditionalFormatting sqref="B7301">
    <cfRule type="colorScale" priority="4788">
      <colorScale>
        <cfvo type="min"/>
        <cfvo type="percentile" val="50"/>
        <cfvo type="max"/>
        <color rgb="FFF8696B"/>
        <color rgb="FFFFEB84"/>
        <color rgb="FF63BE7B"/>
      </colorScale>
    </cfRule>
  </conditionalFormatting>
  <conditionalFormatting sqref="B7374">
    <cfRule type="colorScale" priority="4863">
      <colorScale>
        <cfvo type="min"/>
        <cfvo type="percentile" val="50"/>
        <cfvo type="max"/>
        <color rgb="FFF8696B"/>
        <color rgb="FFFFEB84"/>
        <color rgb="FF63BE7B"/>
      </colorScale>
    </cfRule>
  </conditionalFormatting>
  <conditionalFormatting sqref="B7444">
    <cfRule type="colorScale" priority="4938">
      <colorScale>
        <cfvo type="min"/>
        <cfvo type="percentile" val="50"/>
        <cfvo type="max"/>
        <color rgb="FFF8696B"/>
        <color rgb="FFFFEB84"/>
        <color rgb="FF63BE7B"/>
      </colorScale>
    </cfRule>
  </conditionalFormatting>
  <conditionalFormatting sqref="B7517">
    <cfRule type="colorScale" priority="5013">
      <colorScale>
        <cfvo type="min"/>
        <cfvo type="percentile" val="50"/>
        <cfvo type="max"/>
        <color rgb="FFF8696B"/>
        <color rgb="FFFFEB84"/>
        <color rgb="FF63BE7B"/>
      </colorScale>
    </cfRule>
  </conditionalFormatting>
  <conditionalFormatting sqref="B7588">
    <cfRule type="colorScale" priority="5088">
      <colorScale>
        <cfvo type="min"/>
        <cfvo type="percentile" val="50"/>
        <cfvo type="max"/>
        <color rgb="FFF8696B"/>
        <color rgb="FFFFEB84"/>
        <color rgb="FF63BE7B"/>
      </colorScale>
    </cfRule>
  </conditionalFormatting>
  <conditionalFormatting sqref="B7660">
    <cfRule type="colorScale" priority="5163">
      <colorScale>
        <cfvo type="min"/>
        <cfvo type="percentile" val="50"/>
        <cfvo type="max"/>
        <color rgb="FFF8696B"/>
        <color rgb="FFFFEB84"/>
        <color rgb="FF63BE7B"/>
      </colorScale>
    </cfRule>
  </conditionalFormatting>
  <conditionalFormatting sqref="B7734">
    <cfRule type="colorScale" priority="5238">
      <colorScale>
        <cfvo type="min"/>
        <cfvo type="percentile" val="50"/>
        <cfvo type="max"/>
        <color rgb="FFF8696B"/>
        <color rgb="FFFFEB84"/>
        <color rgb="FF63BE7B"/>
      </colorScale>
    </cfRule>
  </conditionalFormatting>
  <conditionalFormatting sqref="B7805">
    <cfRule type="colorScale" priority="5313">
      <colorScale>
        <cfvo type="min"/>
        <cfvo type="percentile" val="50"/>
        <cfvo type="max"/>
        <color rgb="FFF8696B"/>
        <color rgb="FFFFEB84"/>
        <color rgb="FF63BE7B"/>
      </colorScale>
    </cfRule>
  </conditionalFormatting>
  <conditionalFormatting sqref="B7875">
    <cfRule type="colorScale" priority="5388">
      <colorScale>
        <cfvo type="min"/>
        <cfvo type="percentile" val="50"/>
        <cfvo type="max"/>
        <color rgb="FFF8696B"/>
        <color rgb="FFFFEB84"/>
        <color rgb="FF63BE7B"/>
      </colorScale>
    </cfRule>
  </conditionalFormatting>
  <conditionalFormatting sqref="B7945">
    <cfRule type="colorScale" priority="5463">
      <colorScale>
        <cfvo type="min"/>
        <cfvo type="percentile" val="50"/>
        <cfvo type="max"/>
        <color rgb="FFF8696B"/>
        <color rgb="FFFFEB84"/>
        <color rgb="FF63BE7B"/>
      </colorScale>
    </cfRule>
  </conditionalFormatting>
  <conditionalFormatting sqref="B8018">
    <cfRule type="colorScale" priority="5538">
      <colorScale>
        <cfvo type="min"/>
        <cfvo type="percentile" val="50"/>
        <cfvo type="max"/>
        <color rgb="FFF8696B"/>
        <color rgb="FFFFEB84"/>
        <color rgb="FF63BE7B"/>
      </colorScale>
    </cfRule>
  </conditionalFormatting>
  <conditionalFormatting sqref="B8087">
    <cfRule type="colorScale" priority="5613">
      <colorScale>
        <cfvo type="min"/>
        <cfvo type="percentile" val="50"/>
        <cfvo type="max"/>
        <color rgb="FFF8696B"/>
        <color rgb="FFFFEB84"/>
        <color rgb="FF63BE7B"/>
      </colorScale>
    </cfRule>
  </conditionalFormatting>
  <conditionalFormatting sqref="B8158">
    <cfRule type="colorScale" priority="5688">
      <colorScale>
        <cfvo type="min"/>
        <cfvo type="percentile" val="50"/>
        <cfvo type="max"/>
        <color rgb="FFF8696B"/>
        <color rgb="FFFFEB84"/>
        <color rgb="FF63BE7B"/>
      </colorScale>
    </cfRule>
  </conditionalFormatting>
  <conditionalFormatting sqref="B8224">
    <cfRule type="colorScale" priority="5763">
      <colorScale>
        <cfvo type="min"/>
        <cfvo type="percentile" val="50"/>
        <cfvo type="max"/>
        <color rgb="FFF8696B"/>
        <color rgb="FFFFEB84"/>
        <color rgb="FF63BE7B"/>
      </colorScale>
    </cfRule>
  </conditionalFormatting>
  <conditionalFormatting sqref="B8295">
    <cfRule type="colorScale" priority="5838">
      <colorScale>
        <cfvo type="min"/>
        <cfvo type="percentile" val="50"/>
        <cfvo type="max"/>
        <color rgb="FFF8696B"/>
        <color rgb="FFFFEB84"/>
        <color rgb="FF63BE7B"/>
      </colorScale>
    </cfRule>
  </conditionalFormatting>
  <conditionalFormatting sqref="B8367">
    <cfRule type="colorScale" priority="5913">
      <colorScale>
        <cfvo type="min"/>
        <cfvo type="percentile" val="50"/>
        <cfvo type="max"/>
        <color rgb="FFF8696B"/>
        <color rgb="FFFFEB84"/>
        <color rgb="FF63BE7B"/>
      </colorScale>
    </cfRule>
  </conditionalFormatting>
  <conditionalFormatting sqref="B8441">
    <cfRule type="colorScale" priority="5988">
      <colorScale>
        <cfvo type="min"/>
        <cfvo type="percentile" val="50"/>
        <cfvo type="max"/>
        <color rgb="FFF8696B"/>
        <color rgb="FFFFEB84"/>
        <color rgb="FF63BE7B"/>
      </colorScale>
    </cfRule>
  </conditionalFormatting>
  <conditionalFormatting sqref="B8512">
    <cfRule type="colorScale" priority="6063">
      <colorScale>
        <cfvo type="min"/>
        <cfvo type="percentile" val="50"/>
        <cfvo type="max"/>
        <color rgb="FFF8696B"/>
        <color rgb="FFFFEB84"/>
        <color rgb="FF63BE7B"/>
      </colorScale>
    </cfRule>
  </conditionalFormatting>
  <conditionalFormatting sqref="B8578">
    <cfRule type="colorScale" priority="6138">
      <colorScale>
        <cfvo type="min"/>
        <cfvo type="percentile" val="50"/>
        <cfvo type="max"/>
        <color rgb="FFF8696B"/>
        <color rgb="FFFFEB84"/>
        <color rgb="FF63BE7B"/>
      </colorScale>
    </cfRule>
  </conditionalFormatting>
  <conditionalFormatting sqref="B8652">
    <cfRule type="colorScale" priority="6213">
      <colorScale>
        <cfvo type="min"/>
        <cfvo type="percentile" val="50"/>
        <cfvo type="max"/>
        <color rgb="FFF8696B"/>
        <color rgb="FFFFEB84"/>
        <color rgb="FF63BE7B"/>
      </colorScale>
    </cfRule>
  </conditionalFormatting>
  <conditionalFormatting sqref="B8725">
    <cfRule type="colorScale" priority="6288">
      <colorScale>
        <cfvo type="min"/>
        <cfvo type="percentile" val="50"/>
        <cfvo type="max"/>
        <color rgb="FFF8696B"/>
        <color rgb="FFFFEB84"/>
        <color rgb="FF63BE7B"/>
      </colorScale>
    </cfRule>
  </conditionalFormatting>
  <conditionalFormatting sqref="B8798">
    <cfRule type="colorScale" priority="6363">
      <colorScale>
        <cfvo type="min"/>
        <cfvo type="percentile" val="50"/>
        <cfvo type="max"/>
        <color rgb="FFF8696B"/>
        <color rgb="FFFFEB84"/>
        <color rgb="FF63BE7B"/>
      </colorScale>
    </cfRule>
  </conditionalFormatting>
  <conditionalFormatting sqref="B8870">
    <cfRule type="colorScale" priority="6438">
      <colorScale>
        <cfvo type="min"/>
        <cfvo type="percentile" val="50"/>
        <cfvo type="max"/>
        <color rgb="FFF8696B"/>
        <color rgb="FFFFEB84"/>
        <color rgb="FF63BE7B"/>
      </colorScale>
    </cfRule>
  </conditionalFormatting>
  <conditionalFormatting sqref="B8943">
    <cfRule type="colorScale" priority="6513">
      <colorScale>
        <cfvo type="min"/>
        <cfvo type="percentile" val="50"/>
        <cfvo type="max"/>
        <color rgb="FFF8696B"/>
        <color rgb="FFFFEB84"/>
        <color rgb="FF63BE7B"/>
      </colorScale>
    </cfRule>
  </conditionalFormatting>
  <conditionalFormatting sqref="B9017">
    <cfRule type="colorScale" priority="6588">
      <colorScale>
        <cfvo type="min"/>
        <cfvo type="percentile" val="50"/>
        <cfvo type="max"/>
        <color rgb="FFF8696B"/>
        <color rgb="FFFFEB84"/>
        <color rgb="FF63BE7B"/>
      </colorScale>
    </cfRule>
  </conditionalFormatting>
  <conditionalFormatting sqref="B9089">
    <cfRule type="colorScale" priority="6663">
      <colorScale>
        <cfvo type="min"/>
        <cfvo type="percentile" val="50"/>
        <cfvo type="max"/>
        <color rgb="FFF8696B"/>
        <color rgb="FFFFEB84"/>
        <color rgb="FF63BE7B"/>
      </colorScale>
    </cfRule>
  </conditionalFormatting>
  <conditionalFormatting sqref="B9163">
    <cfRule type="colorScale" priority="6738">
      <colorScale>
        <cfvo type="min"/>
        <cfvo type="percentile" val="50"/>
        <cfvo type="max"/>
        <color rgb="FFF8696B"/>
        <color rgb="FFFFEB84"/>
        <color rgb="FF63BE7B"/>
      </colorScale>
    </cfRule>
  </conditionalFormatting>
  <conditionalFormatting sqref="B9234">
    <cfRule type="colorScale" priority="6813">
      <colorScale>
        <cfvo type="min"/>
        <cfvo type="percentile" val="50"/>
        <cfvo type="max"/>
        <color rgb="FFF8696B"/>
        <color rgb="FFFFEB84"/>
        <color rgb="FF63BE7B"/>
      </colorScale>
    </cfRule>
  </conditionalFormatting>
  <conditionalFormatting sqref="B9301">
    <cfRule type="colorScale" priority="6888">
      <colorScale>
        <cfvo type="min"/>
        <cfvo type="percentile" val="50"/>
        <cfvo type="max"/>
        <color rgb="FFF8696B"/>
        <color rgb="FFFFEB84"/>
        <color rgb="FF63BE7B"/>
      </colorScale>
    </cfRule>
  </conditionalFormatting>
  <conditionalFormatting sqref="B9366">
    <cfRule type="colorScale" priority="6963">
      <colorScale>
        <cfvo type="min"/>
        <cfvo type="percentile" val="50"/>
        <cfvo type="max"/>
        <color rgb="FFF8696B"/>
        <color rgb="FFFFEB84"/>
        <color rgb="FF63BE7B"/>
      </colorScale>
    </cfRule>
  </conditionalFormatting>
  <conditionalFormatting sqref="B9440">
    <cfRule type="colorScale" priority="7038">
      <colorScale>
        <cfvo type="min"/>
        <cfvo type="percentile" val="50"/>
        <cfvo type="max"/>
        <color rgb="FFF8696B"/>
        <color rgb="FFFFEB84"/>
        <color rgb="FF63BE7B"/>
      </colorScale>
    </cfRule>
  </conditionalFormatting>
  <conditionalFormatting sqref="B9505">
    <cfRule type="colorScale" priority="7113">
      <colorScale>
        <cfvo type="min"/>
        <cfvo type="percentile" val="50"/>
        <cfvo type="max"/>
        <color rgb="FFF8696B"/>
        <color rgb="FFFFEB84"/>
        <color rgb="FF63BE7B"/>
      </colorScale>
    </cfRule>
  </conditionalFormatting>
  <conditionalFormatting sqref="B9574">
    <cfRule type="colorScale" priority="7188">
      <colorScale>
        <cfvo type="min"/>
        <cfvo type="percentile" val="50"/>
        <cfvo type="max"/>
        <color rgb="FFF8696B"/>
        <color rgb="FFFFEB84"/>
        <color rgb="FF63BE7B"/>
      </colorScale>
    </cfRule>
  </conditionalFormatting>
  <conditionalFormatting sqref="B9640">
    <cfRule type="colorScale" priority="7263">
      <colorScale>
        <cfvo type="min"/>
        <cfvo type="percentile" val="50"/>
        <cfvo type="max"/>
        <color rgb="FFF8696B"/>
        <color rgb="FFFFEB84"/>
        <color rgb="FF63BE7B"/>
      </colorScale>
    </cfRule>
  </conditionalFormatting>
  <conditionalFormatting sqref="B9703">
    <cfRule type="colorScale" priority="7338">
      <colorScale>
        <cfvo type="min"/>
        <cfvo type="percentile" val="50"/>
        <cfvo type="max"/>
        <color rgb="FFF8696B"/>
        <color rgb="FFFFEB84"/>
        <color rgb="FF63BE7B"/>
      </colorScale>
    </cfRule>
  </conditionalFormatting>
  <conditionalFormatting sqref="B9773">
    <cfRule type="colorScale" priority="7413">
      <colorScale>
        <cfvo type="min"/>
        <cfvo type="percentile" val="50"/>
        <cfvo type="max"/>
        <color rgb="FFF8696B"/>
        <color rgb="FFFFEB84"/>
        <color rgb="FF63BE7B"/>
      </colorScale>
    </cfRule>
  </conditionalFormatting>
  <conditionalFormatting sqref="B9847">
    <cfRule type="colorScale" priority="7488">
      <colorScale>
        <cfvo type="min"/>
        <cfvo type="percentile" val="50"/>
        <cfvo type="max"/>
        <color rgb="FFF8696B"/>
        <color rgb="FFFFEB84"/>
        <color rgb="FF63BE7B"/>
      </colorScale>
    </cfRule>
  </conditionalFormatting>
  <conditionalFormatting sqref="B4:E4">
    <cfRule type="notContainsBlanks" dxfId="1948" priority="16">
      <formula>LEN(TRIM(B4))&gt;0</formula>
    </cfRule>
  </conditionalFormatting>
  <conditionalFormatting sqref="B78:E78">
    <cfRule type="notContainsBlanks" dxfId="1947" priority="91">
      <formula>LEN(TRIM(B78))&gt;0</formula>
    </cfRule>
  </conditionalFormatting>
  <conditionalFormatting sqref="B152:E152">
    <cfRule type="notContainsBlanks" dxfId="1946" priority="166">
      <formula>LEN(TRIM(B152))&gt;0</formula>
    </cfRule>
  </conditionalFormatting>
  <conditionalFormatting sqref="B226:E226">
    <cfRule type="notContainsBlanks" dxfId="1945" priority="241">
      <formula>LEN(TRIM(B226))&gt;0</formula>
    </cfRule>
  </conditionalFormatting>
  <conditionalFormatting sqref="B448:E448">
    <cfRule type="notContainsBlanks" dxfId="1944" priority="376">
      <formula>LEN(TRIM(B448))&gt;0</formula>
    </cfRule>
  </conditionalFormatting>
  <conditionalFormatting sqref="B522:E522">
    <cfRule type="notContainsBlanks" dxfId="1943" priority="451">
      <formula>LEN(TRIM(B522))&gt;0</formula>
    </cfRule>
  </conditionalFormatting>
  <conditionalFormatting sqref="B596:E596">
    <cfRule type="notContainsBlanks" dxfId="1942" priority="526">
      <formula>LEN(TRIM(B596))&gt;0</formula>
    </cfRule>
  </conditionalFormatting>
  <conditionalFormatting sqref="B670:E670">
    <cfRule type="notContainsBlanks" dxfId="1941" priority="601">
      <formula>LEN(TRIM(B670))&gt;0</formula>
    </cfRule>
  </conditionalFormatting>
  <conditionalFormatting sqref="B1484:E1484">
    <cfRule type="notContainsBlanks" dxfId="1940" priority="976">
      <formula>LEN(TRIM(B1484))&gt;0</formula>
    </cfRule>
  </conditionalFormatting>
  <conditionalFormatting sqref="B1632:E1632">
    <cfRule type="notContainsBlanks" dxfId="1939" priority="1081">
      <formula>LEN(TRIM(B1632))&gt;0</formula>
    </cfRule>
  </conditionalFormatting>
  <conditionalFormatting sqref="B1792:E1792">
    <cfRule type="notContainsBlanks" dxfId="1938" priority="1192">
      <formula>LEN(TRIM(B1792))&gt;0</formula>
    </cfRule>
  </conditionalFormatting>
  <conditionalFormatting sqref="B1866:E1866">
    <cfRule type="notContainsBlanks" dxfId="1937" priority="1267">
      <formula>LEN(TRIM(B1866))&gt;0</formula>
    </cfRule>
  </conditionalFormatting>
  <conditionalFormatting sqref="B2014:E2014">
    <cfRule type="notContainsBlanks" dxfId="1936" priority="1372">
      <formula>LEN(TRIM(B2014))&gt;0</formula>
    </cfRule>
  </conditionalFormatting>
  <conditionalFormatting sqref="B4868:E4868">
    <cfRule type="notContainsBlanks" dxfId="1935" priority="2647">
      <formula>LEN(TRIM(B4868))&gt;0</formula>
    </cfRule>
  </conditionalFormatting>
  <conditionalFormatting sqref="B4940:E4940">
    <cfRule type="notContainsBlanks" dxfId="1934" priority="2722">
      <formula>LEN(TRIM(B4940))&gt;0</formula>
    </cfRule>
  </conditionalFormatting>
  <conditionalFormatting sqref="B5013:E5013">
    <cfRule type="notContainsBlanks" dxfId="1933" priority="2797">
      <formula>LEN(TRIM(B5013))&gt;0</formula>
    </cfRule>
  </conditionalFormatting>
  <conditionalFormatting sqref="B5084:E5084">
    <cfRule type="notContainsBlanks" dxfId="1932" priority="2872">
      <formula>LEN(TRIM(B5084))&gt;0</formula>
    </cfRule>
  </conditionalFormatting>
  <conditionalFormatting sqref="B5156:E5156">
    <cfRule type="notContainsBlanks" dxfId="1931" priority="2947">
      <formula>LEN(TRIM(B5156))&gt;0</formula>
    </cfRule>
  </conditionalFormatting>
  <conditionalFormatting sqref="B5227:E5227">
    <cfRule type="notContainsBlanks" dxfId="1930" priority="3022">
      <formula>LEN(TRIM(B5227))&gt;0</formula>
    </cfRule>
  </conditionalFormatting>
  <conditionalFormatting sqref="B5300:E5300">
    <cfRule type="notContainsBlanks" dxfId="1929" priority="3097">
      <formula>LEN(TRIM(B5300))&gt;0</formula>
    </cfRule>
  </conditionalFormatting>
  <conditionalFormatting sqref="B5374:E5374">
    <cfRule type="notContainsBlanks" dxfId="1928" priority="3172">
      <formula>LEN(TRIM(B5374))&gt;0</formula>
    </cfRule>
  </conditionalFormatting>
  <conditionalFormatting sqref="B5437:E5437">
    <cfRule type="notContainsBlanks" dxfId="1927" priority="3247">
      <formula>LEN(TRIM(B5437))&gt;0</formula>
    </cfRule>
  </conditionalFormatting>
  <conditionalFormatting sqref="B5511:E5511">
    <cfRule type="notContainsBlanks" dxfId="1926" priority="3322">
      <formula>LEN(TRIM(B5511))&gt;0</formula>
    </cfRule>
  </conditionalFormatting>
  <conditionalFormatting sqref="B5578:E5578">
    <cfRule type="notContainsBlanks" dxfId="1925" priority="3397">
      <formula>LEN(TRIM(B5578))&gt;0</formula>
    </cfRule>
  </conditionalFormatting>
  <conditionalFormatting sqref="B5649:E5649">
    <cfRule type="notContainsBlanks" dxfId="1924" priority="3472">
      <formula>LEN(TRIM(B5649))&gt;0</formula>
    </cfRule>
  </conditionalFormatting>
  <conditionalFormatting sqref="B5709:E5709">
    <cfRule type="notContainsBlanks" dxfId="1923" priority="3547">
      <formula>LEN(TRIM(B5709))&gt;0</formula>
    </cfRule>
  </conditionalFormatting>
  <conditionalFormatting sqref="B5783:E5783">
    <cfRule type="notContainsBlanks" dxfId="1922" priority="3622">
      <formula>LEN(TRIM(B5783))&gt;0</formula>
    </cfRule>
  </conditionalFormatting>
  <conditionalFormatting sqref="B5851:E5851">
    <cfRule type="notContainsBlanks" dxfId="1921" priority="3697">
      <formula>LEN(TRIM(B5851))&gt;0</formula>
    </cfRule>
  </conditionalFormatting>
  <conditionalFormatting sqref="B5924:E5924">
    <cfRule type="notContainsBlanks" dxfId="1920" priority="3772">
      <formula>LEN(TRIM(B5924))&gt;0</formula>
    </cfRule>
  </conditionalFormatting>
  <conditionalFormatting sqref="B5994:E5994">
    <cfRule type="notContainsBlanks" dxfId="1919" priority="3847">
      <formula>LEN(TRIM(B5994))&gt;0</formula>
    </cfRule>
  </conditionalFormatting>
  <conditionalFormatting sqref="B6060:E6060">
    <cfRule type="notContainsBlanks" dxfId="1918" priority="3922">
      <formula>LEN(TRIM(B6060))&gt;0</formula>
    </cfRule>
  </conditionalFormatting>
  <conditionalFormatting sqref="B6131:E6131">
    <cfRule type="notContainsBlanks" dxfId="1917" priority="3997">
      <formula>LEN(TRIM(B6131))&gt;0</formula>
    </cfRule>
  </conditionalFormatting>
  <conditionalFormatting sqref="B6204:E6204">
    <cfRule type="notContainsBlanks" dxfId="1916" priority="4072">
      <formula>LEN(TRIM(B6204))&gt;0</formula>
    </cfRule>
  </conditionalFormatting>
  <conditionalFormatting sqref="B6866:E6866">
    <cfRule type="notContainsBlanks" dxfId="1915" priority="4387">
      <formula>LEN(TRIM(B6866))&gt;0</formula>
    </cfRule>
  </conditionalFormatting>
  <conditionalFormatting sqref="B6940:E6940">
    <cfRule type="notContainsBlanks" dxfId="1914" priority="4462">
      <formula>LEN(TRIM(B6940))&gt;0</formula>
    </cfRule>
  </conditionalFormatting>
  <conditionalFormatting sqref="B7088:E7088">
    <cfRule type="notContainsBlanks" dxfId="1913" priority="4567">
      <formula>LEN(TRIM(B7088))&gt;0</formula>
    </cfRule>
  </conditionalFormatting>
  <conditionalFormatting sqref="B7154:E7154">
    <cfRule type="notContainsBlanks" dxfId="1912" priority="4642">
      <formula>LEN(TRIM(B7154))&gt;0</formula>
    </cfRule>
  </conditionalFormatting>
  <conditionalFormatting sqref="B7228:E7228">
    <cfRule type="notContainsBlanks" dxfId="1911" priority="4717">
      <formula>LEN(TRIM(B7228))&gt;0</formula>
    </cfRule>
  </conditionalFormatting>
  <conditionalFormatting sqref="B7301:E7301">
    <cfRule type="notContainsBlanks" dxfId="1910" priority="4792">
      <formula>LEN(TRIM(B7301))&gt;0</formula>
    </cfRule>
  </conditionalFormatting>
  <conditionalFormatting sqref="B7374:E7374">
    <cfRule type="notContainsBlanks" dxfId="1909" priority="4867">
      <formula>LEN(TRIM(B7374))&gt;0</formula>
    </cfRule>
  </conditionalFormatting>
  <conditionalFormatting sqref="B7444:E7444">
    <cfRule type="notContainsBlanks" dxfId="1908" priority="4942">
      <formula>LEN(TRIM(B7444))&gt;0</formula>
    </cfRule>
  </conditionalFormatting>
  <conditionalFormatting sqref="B7517:E7517">
    <cfRule type="notContainsBlanks" dxfId="1907" priority="5017">
      <formula>LEN(TRIM(B7517))&gt;0</formula>
    </cfRule>
  </conditionalFormatting>
  <conditionalFormatting sqref="B7588:E7588">
    <cfRule type="notContainsBlanks" dxfId="1906" priority="5092">
      <formula>LEN(TRIM(B7588))&gt;0</formula>
    </cfRule>
  </conditionalFormatting>
  <conditionalFormatting sqref="B7660:E7660">
    <cfRule type="notContainsBlanks" dxfId="1905" priority="5167">
      <formula>LEN(TRIM(B7660))&gt;0</formula>
    </cfRule>
  </conditionalFormatting>
  <conditionalFormatting sqref="B7734:E7734">
    <cfRule type="notContainsBlanks" dxfId="1904" priority="5242">
      <formula>LEN(TRIM(B7734))&gt;0</formula>
    </cfRule>
  </conditionalFormatting>
  <conditionalFormatting sqref="B7805:E7805">
    <cfRule type="notContainsBlanks" dxfId="1903" priority="5317">
      <formula>LEN(TRIM(B7805))&gt;0</formula>
    </cfRule>
  </conditionalFormatting>
  <conditionalFormatting sqref="B7875:E7875">
    <cfRule type="notContainsBlanks" dxfId="1902" priority="5392">
      <formula>LEN(TRIM(B7875))&gt;0</formula>
    </cfRule>
  </conditionalFormatting>
  <conditionalFormatting sqref="B7945:E7945">
    <cfRule type="notContainsBlanks" dxfId="1901" priority="5467">
      <formula>LEN(TRIM(B7945))&gt;0</formula>
    </cfRule>
  </conditionalFormatting>
  <conditionalFormatting sqref="B8018:E8018">
    <cfRule type="notContainsBlanks" dxfId="1900" priority="5542">
      <formula>LEN(TRIM(B8018))&gt;0</formula>
    </cfRule>
  </conditionalFormatting>
  <conditionalFormatting sqref="B8087:E8087">
    <cfRule type="notContainsBlanks" dxfId="1899" priority="5617">
      <formula>LEN(TRIM(B8087))&gt;0</formula>
    </cfRule>
  </conditionalFormatting>
  <conditionalFormatting sqref="B8158:E8158">
    <cfRule type="notContainsBlanks" dxfId="1898" priority="5692">
      <formula>LEN(TRIM(B8158))&gt;0</formula>
    </cfRule>
  </conditionalFormatting>
  <conditionalFormatting sqref="B8224:E8224">
    <cfRule type="notContainsBlanks" dxfId="1897" priority="5767">
      <formula>LEN(TRIM(B8224))&gt;0</formula>
    </cfRule>
  </conditionalFormatting>
  <conditionalFormatting sqref="B8295:E8295">
    <cfRule type="notContainsBlanks" dxfId="1896" priority="5842">
      <formula>LEN(TRIM(B8295))&gt;0</formula>
    </cfRule>
  </conditionalFormatting>
  <conditionalFormatting sqref="B8367:E8367">
    <cfRule type="notContainsBlanks" dxfId="1895" priority="5917">
      <formula>LEN(TRIM(B8367))&gt;0</formula>
    </cfRule>
  </conditionalFormatting>
  <conditionalFormatting sqref="B8441:E8441">
    <cfRule type="notContainsBlanks" dxfId="1894" priority="5992">
      <formula>LEN(TRIM(B8441))&gt;0</formula>
    </cfRule>
  </conditionalFormatting>
  <conditionalFormatting sqref="B8512:E8512">
    <cfRule type="notContainsBlanks" dxfId="1893" priority="6067">
      <formula>LEN(TRIM(B8512))&gt;0</formula>
    </cfRule>
  </conditionalFormatting>
  <conditionalFormatting sqref="B8578:E8578">
    <cfRule type="notContainsBlanks" dxfId="1892" priority="6142">
      <formula>LEN(TRIM(B8578))&gt;0</formula>
    </cfRule>
  </conditionalFormatting>
  <conditionalFormatting sqref="B8652:E8652">
    <cfRule type="notContainsBlanks" dxfId="1891" priority="6217">
      <formula>LEN(TRIM(B8652))&gt;0</formula>
    </cfRule>
  </conditionalFormatting>
  <conditionalFormatting sqref="B8725:E8725">
    <cfRule type="notContainsBlanks" dxfId="1890" priority="6292">
      <formula>LEN(TRIM(B8725))&gt;0</formula>
    </cfRule>
  </conditionalFormatting>
  <conditionalFormatting sqref="B8798:E8798">
    <cfRule type="notContainsBlanks" dxfId="1889" priority="6367">
      <formula>LEN(TRIM(B8798))&gt;0</formula>
    </cfRule>
  </conditionalFormatting>
  <conditionalFormatting sqref="B8870:E8870">
    <cfRule type="notContainsBlanks" dxfId="1888" priority="6442">
      <formula>LEN(TRIM(B8870))&gt;0</formula>
    </cfRule>
  </conditionalFormatting>
  <conditionalFormatting sqref="B8943:E8943">
    <cfRule type="notContainsBlanks" dxfId="1887" priority="6517">
      <formula>LEN(TRIM(B8943))&gt;0</formula>
    </cfRule>
  </conditionalFormatting>
  <conditionalFormatting sqref="B9017:E9017">
    <cfRule type="notContainsBlanks" dxfId="1886" priority="6592">
      <formula>LEN(TRIM(B9017))&gt;0</formula>
    </cfRule>
  </conditionalFormatting>
  <conditionalFormatting sqref="B9089:E9089">
    <cfRule type="notContainsBlanks" dxfId="1885" priority="6667">
      <formula>LEN(TRIM(B9089))&gt;0</formula>
    </cfRule>
  </conditionalFormatting>
  <conditionalFormatting sqref="B9163:E9163">
    <cfRule type="notContainsBlanks" dxfId="1884" priority="6742">
      <formula>LEN(TRIM(B9163))&gt;0</formula>
    </cfRule>
  </conditionalFormatting>
  <conditionalFormatting sqref="B9234:E9234">
    <cfRule type="notContainsBlanks" dxfId="1883" priority="6817">
      <formula>LEN(TRIM(B9234))&gt;0</formula>
    </cfRule>
  </conditionalFormatting>
  <conditionalFormatting sqref="B9301:E9301">
    <cfRule type="notContainsBlanks" dxfId="1882" priority="6892">
      <formula>LEN(TRIM(B9301))&gt;0</formula>
    </cfRule>
  </conditionalFormatting>
  <conditionalFormatting sqref="B9366:E9366">
    <cfRule type="notContainsBlanks" dxfId="1881" priority="6967">
      <formula>LEN(TRIM(B9366))&gt;0</formula>
    </cfRule>
  </conditionalFormatting>
  <conditionalFormatting sqref="B9440:E9440">
    <cfRule type="notContainsBlanks" dxfId="1880" priority="7042">
      <formula>LEN(TRIM(B9440))&gt;0</formula>
    </cfRule>
  </conditionalFormatting>
  <conditionalFormatting sqref="B9505:E9505">
    <cfRule type="notContainsBlanks" dxfId="1879" priority="7117">
      <formula>LEN(TRIM(B9505))&gt;0</formula>
    </cfRule>
  </conditionalFormatting>
  <conditionalFormatting sqref="B9574:E9574">
    <cfRule type="notContainsBlanks" dxfId="1878" priority="7192">
      <formula>LEN(TRIM(B9574))&gt;0</formula>
    </cfRule>
  </conditionalFormatting>
  <conditionalFormatting sqref="B9640:E9640">
    <cfRule type="notContainsBlanks" dxfId="1877" priority="7267">
      <formula>LEN(TRIM(B9640))&gt;0</formula>
    </cfRule>
  </conditionalFormatting>
  <conditionalFormatting sqref="B9703:E9703">
    <cfRule type="notContainsBlanks" dxfId="1876" priority="7342">
      <formula>LEN(TRIM(B9703))&gt;0</formula>
    </cfRule>
  </conditionalFormatting>
  <conditionalFormatting sqref="B9773:E9773">
    <cfRule type="notContainsBlanks" dxfId="1875" priority="7417">
      <formula>LEN(TRIM(B9773))&gt;0</formula>
    </cfRule>
  </conditionalFormatting>
  <conditionalFormatting sqref="B9847:E9847">
    <cfRule type="notContainsBlanks" dxfId="1874" priority="7492">
      <formula>LEN(TRIM(B9847))&gt;0</formula>
    </cfRule>
  </conditionalFormatting>
  <conditionalFormatting sqref="C4">
    <cfRule type="colorScale" priority="13">
      <colorScale>
        <cfvo type="min"/>
        <cfvo type="percentile" val="50"/>
        <cfvo type="max"/>
        <color rgb="FFF8696B"/>
        <color rgb="FFFFEB84"/>
        <color rgb="FF63BE7B"/>
      </colorScale>
    </cfRule>
  </conditionalFormatting>
  <conditionalFormatting sqref="C8:C9">
    <cfRule type="colorScale" priority="17">
      <colorScale>
        <cfvo type="min"/>
        <cfvo type="percentile" val="50"/>
        <cfvo type="max"/>
        <color rgb="FFF8696B"/>
        <color rgb="FFFFEB84"/>
        <color rgb="FF63BE7B"/>
      </colorScale>
    </cfRule>
  </conditionalFormatting>
  <conditionalFormatting sqref="C17:C18">
    <cfRule type="colorScale" priority="27">
      <colorScale>
        <cfvo type="min"/>
        <cfvo type="percentile" val="50"/>
        <cfvo type="max"/>
        <color rgb="FFF8696B"/>
        <color rgb="FFFFEB84"/>
        <color rgb="FF63BE7B"/>
      </colorScale>
    </cfRule>
  </conditionalFormatting>
  <conditionalFormatting sqref="C22:C23">
    <cfRule type="colorScale" priority="32">
      <colorScale>
        <cfvo type="min"/>
        <cfvo type="percentile" val="50"/>
        <cfvo type="max"/>
        <color rgb="FFF8696B"/>
        <color rgb="FFFFEB84"/>
        <color rgb="FF63BE7B"/>
      </colorScale>
    </cfRule>
  </conditionalFormatting>
  <conditionalFormatting sqref="C27:C28">
    <cfRule type="colorScale" priority="37">
      <colorScale>
        <cfvo type="min"/>
        <cfvo type="percentile" val="50"/>
        <cfvo type="max"/>
        <color rgb="FFF8696B"/>
        <color rgb="FFFFEB84"/>
        <color rgb="FF63BE7B"/>
      </colorScale>
    </cfRule>
  </conditionalFormatting>
  <conditionalFormatting sqref="C32:C33">
    <cfRule type="colorScale" priority="42">
      <colorScale>
        <cfvo type="min"/>
        <cfvo type="percentile" val="50"/>
        <cfvo type="max"/>
        <color rgb="FFF8696B"/>
        <color rgb="FFFFEB84"/>
        <color rgb="FF63BE7B"/>
      </colorScale>
    </cfRule>
  </conditionalFormatting>
  <conditionalFormatting sqref="C37:C38">
    <cfRule type="colorScale" priority="47">
      <colorScale>
        <cfvo type="min"/>
        <cfvo type="percentile" val="50"/>
        <cfvo type="max"/>
        <color rgb="FFF8696B"/>
        <color rgb="FFFFEB84"/>
        <color rgb="FF63BE7B"/>
      </colorScale>
    </cfRule>
  </conditionalFormatting>
  <conditionalFormatting sqref="C42:C43">
    <cfRule type="colorScale" priority="52">
      <colorScale>
        <cfvo type="min"/>
        <cfvo type="percentile" val="50"/>
        <cfvo type="max"/>
        <color rgb="FFF8696B"/>
        <color rgb="FFFFEB84"/>
        <color rgb="FF63BE7B"/>
      </colorScale>
    </cfRule>
  </conditionalFormatting>
  <conditionalFormatting sqref="C47:C48">
    <cfRule type="colorScale" priority="57">
      <colorScale>
        <cfvo type="min"/>
        <cfvo type="percentile" val="50"/>
        <cfvo type="max"/>
        <color rgb="FFF8696B"/>
        <color rgb="FFFFEB84"/>
        <color rgb="FF63BE7B"/>
      </colorScale>
    </cfRule>
  </conditionalFormatting>
  <conditionalFormatting sqref="C52:C53">
    <cfRule type="colorScale" priority="62">
      <colorScale>
        <cfvo type="min"/>
        <cfvo type="percentile" val="50"/>
        <cfvo type="max"/>
        <color rgb="FFF8696B"/>
        <color rgb="FFFFEB84"/>
        <color rgb="FF63BE7B"/>
      </colorScale>
    </cfRule>
  </conditionalFormatting>
  <conditionalFormatting sqref="C57">
    <cfRule type="colorScale" priority="67">
      <colorScale>
        <cfvo type="min"/>
        <cfvo type="percentile" val="50"/>
        <cfvo type="max"/>
        <color rgb="FFF8696B"/>
        <color rgb="FFFFEB84"/>
        <color rgb="FF63BE7B"/>
      </colorScale>
    </cfRule>
  </conditionalFormatting>
  <conditionalFormatting sqref="C61:C62">
    <cfRule type="colorScale" priority="72">
      <colorScale>
        <cfvo type="min"/>
        <cfvo type="percentile" val="50"/>
        <cfvo type="max"/>
        <color rgb="FFF8696B"/>
        <color rgb="FFFFEB84"/>
        <color rgb="FF63BE7B"/>
      </colorScale>
    </cfRule>
  </conditionalFormatting>
  <conditionalFormatting sqref="C66:C67">
    <cfRule type="colorScale" priority="77">
      <colorScale>
        <cfvo type="min"/>
        <cfvo type="percentile" val="50"/>
        <cfvo type="max"/>
        <color rgb="FFF8696B"/>
        <color rgb="FFFFEB84"/>
        <color rgb="FF63BE7B"/>
      </colorScale>
    </cfRule>
  </conditionalFormatting>
  <conditionalFormatting sqref="C71:C74">
    <cfRule type="colorScale" priority="82">
      <colorScale>
        <cfvo type="min"/>
        <cfvo type="percentile" val="50"/>
        <cfvo type="max"/>
        <color rgb="FFF8696B"/>
        <color rgb="FFFFEB84"/>
        <color rgb="FF63BE7B"/>
      </colorScale>
    </cfRule>
  </conditionalFormatting>
  <conditionalFormatting sqref="C78">
    <cfRule type="colorScale" priority="88">
      <colorScale>
        <cfvo type="min"/>
        <cfvo type="percentile" val="50"/>
        <cfvo type="max"/>
        <color rgb="FFF8696B"/>
        <color rgb="FFFFEB84"/>
        <color rgb="FF63BE7B"/>
      </colorScale>
    </cfRule>
  </conditionalFormatting>
  <conditionalFormatting sqref="C82:C83">
    <cfRule type="colorScale" priority="92">
      <colorScale>
        <cfvo type="min"/>
        <cfvo type="percentile" val="50"/>
        <cfvo type="max"/>
        <color rgb="FFF8696B"/>
        <color rgb="FFFFEB84"/>
        <color rgb="FF63BE7B"/>
      </colorScale>
    </cfRule>
  </conditionalFormatting>
  <conditionalFormatting sqref="C91:C92">
    <cfRule type="colorScale" priority="102">
      <colorScale>
        <cfvo type="min"/>
        <cfvo type="percentile" val="50"/>
        <cfvo type="max"/>
        <color rgb="FFF8696B"/>
        <color rgb="FFFFEB84"/>
        <color rgb="FF63BE7B"/>
      </colorScale>
    </cfRule>
  </conditionalFormatting>
  <conditionalFormatting sqref="C96:C97">
    <cfRule type="colorScale" priority="107">
      <colorScale>
        <cfvo type="min"/>
        <cfvo type="percentile" val="50"/>
        <cfvo type="max"/>
        <color rgb="FFF8696B"/>
        <color rgb="FFFFEB84"/>
        <color rgb="FF63BE7B"/>
      </colorScale>
    </cfRule>
  </conditionalFormatting>
  <conditionalFormatting sqref="C101:C102">
    <cfRule type="colorScale" priority="112">
      <colorScale>
        <cfvo type="min"/>
        <cfvo type="percentile" val="50"/>
        <cfvo type="max"/>
        <color rgb="FFF8696B"/>
        <color rgb="FFFFEB84"/>
        <color rgb="FF63BE7B"/>
      </colorScale>
    </cfRule>
  </conditionalFormatting>
  <conditionalFormatting sqref="C106:C107">
    <cfRule type="colorScale" priority="117">
      <colorScale>
        <cfvo type="min"/>
        <cfvo type="percentile" val="50"/>
        <cfvo type="max"/>
        <color rgb="FFF8696B"/>
        <color rgb="FFFFEB84"/>
        <color rgb="FF63BE7B"/>
      </colorScale>
    </cfRule>
  </conditionalFormatting>
  <conditionalFormatting sqref="C111:C112">
    <cfRule type="colorScale" priority="122">
      <colorScale>
        <cfvo type="min"/>
        <cfvo type="percentile" val="50"/>
        <cfvo type="max"/>
        <color rgb="FFF8696B"/>
        <color rgb="FFFFEB84"/>
        <color rgb="FF63BE7B"/>
      </colorScale>
    </cfRule>
  </conditionalFormatting>
  <conditionalFormatting sqref="C116:C117">
    <cfRule type="colorScale" priority="127">
      <colorScale>
        <cfvo type="min"/>
        <cfvo type="percentile" val="50"/>
        <cfvo type="max"/>
        <color rgb="FFF8696B"/>
        <color rgb="FFFFEB84"/>
        <color rgb="FF63BE7B"/>
      </colorScale>
    </cfRule>
  </conditionalFormatting>
  <conditionalFormatting sqref="C121:C122">
    <cfRule type="colorScale" priority="132">
      <colorScale>
        <cfvo type="min"/>
        <cfvo type="percentile" val="50"/>
        <cfvo type="max"/>
        <color rgb="FFF8696B"/>
        <color rgb="FFFFEB84"/>
        <color rgb="FF63BE7B"/>
      </colorScale>
    </cfRule>
  </conditionalFormatting>
  <conditionalFormatting sqref="C126:C127">
    <cfRule type="colorScale" priority="137">
      <colorScale>
        <cfvo type="min"/>
        <cfvo type="percentile" val="50"/>
        <cfvo type="max"/>
        <color rgb="FFF8696B"/>
        <color rgb="FFFFEB84"/>
        <color rgb="FF63BE7B"/>
      </colorScale>
    </cfRule>
  </conditionalFormatting>
  <conditionalFormatting sqref="C131">
    <cfRule type="colorScale" priority="142">
      <colorScale>
        <cfvo type="min"/>
        <cfvo type="percentile" val="50"/>
        <cfvo type="max"/>
        <color rgb="FFF8696B"/>
        <color rgb="FFFFEB84"/>
        <color rgb="FF63BE7B"/>
      </colorScale>
    </cfRule>
  </conditionalFormatting>
  <conditionalFormatting sqref="C135:C136">
    <cfRule type="colorScale" priority="147">
      <colorScale>
        <cfvo type="min"/>
        <cfvo type="percentile" val="50"/>
        <cfvo type="max"/>
        <color rgb="FFF8696B"/>
        <color rgb="FFFFEB84"/>
        <color rgb="FF63BE7B"/>
      </colorScale>
    </cfRule>
  </conditionalFormatting>
  <conditionalFormatting sqref="C140:C141">
    <cfRule type="colorScale" priority="152">
      <colorScale>
        <cfvo type="min"/>
        <cfvo type="percentile" val="50"/>
        <cfvo type="max"/>
        <color rgb="FFF8696B"/>
        <color rgb="FFFFEB84"/>
        <color rgb="FF63BE7B"/>
      </colorScale>
    </cfRule>
  </conditionalFormatting>
  <conditionalFormatting sqref="C145:C148">
    <cfRule type="colorScale" priority="157">
      <colorScale>
        <cfvo type="min"/>
        <cfvo type="percentile" val="50"/>
        <cfvo type="max"/>
        <color rgb="FFF8696B"/>
        <color rgb="FFFFEB84"/>
        <color rgb="FF63BE7B"/>
      </colorScale>
    </cfRule>
  </conditionalFormatting>
  <conditionalFormatting sqref="C152">
    <cfRule type="colorScale" priority="163">
      <colorScale>
        <cfvo type="min"/>
        <cfvo type="percentile" val="50"/>
        <cfvo type="max"/>
        <color rgb="FFF8696B"/>
        <color rgb="FFFFEB84"/>
        <color rgb="FF63BE7B"/>
      </colorScale>
    </cfRule>
  </conditionalFormatting>
  <conditionalFormatting sqref="C156:C157">
    <cfRule type="colorScale" priority="167">
      <colorScale>
        <cfvo type="min"/>
        <cfvo type="percentile" val="50"/>
        <cfvo type="max"/>
        <color rgb="FFF8696B"/>
        <color rgb="FFFFEB84"/>
        <color rgb="FF63BE7B"/>
      </colorScale>
    </cfRule>
  </conditionalFormatting>
  <conditionalFormatting sqref="C165:C166">
    <cfRule type="colorScale" priority="177">
      <colorScale>
        <cfvo type="min"/>
        <cfvo type="percentile" val="50"/>
        <cfvo type="max"/>
        <color rgb="FFF8696B"/>
        <color rgb="FFFFEB84"/>
        <color rgb="FF63BE7B"/>
      </colorScale>
    </cfRule>
  </conditionalFormatting>
  <conditionalFormatting sqref="C170:C171">
    <cfRule type="colorScale" priority="182">
      <colorScale>
        <cfvo type="min"/>
        <cfvo type="percentile" val="50"/>
        <cfvo type="max"/>
        <color rgb="FFF8696B"/>
        <color rgb="FFFFEB84"/>
        <color rgb="FF63BE7B"/>
      </colorScale>
    </cfRule>
  </conditionalFormatting>
  <conditionalFormatting sqref="C175:C176">
    <cfRule type="colorScale" priority="187">
      <colorScale>
        <cfvo type="min"/>
        <cfvo type="percentile" val="50"/>
        <cfvo type="max"/>
        <color rgb="FFF8696B"/>
        <color rgb="FFFFEB84"/>
        <color rgb="FF63BE7B"/>
      </colorScale>
    </cfRule>
  </conditionalFormatting>
  <conditionalFormatting sqref="C180:C181">
    <cfRule type="colorScale" priority="192">
      <colorScale>
        <cfvo type="min"/>
        <cfvo type="percentile" val="50"/>
        <cfvo type="max"/>
        <color rgb="FFF8696B"/>
        <color rgb="FFFFEB84"/>
        <color rgb="FF63BE7B"/>
      </colorScale>
    </cfRule>
  </conditionalFormatting>
  <conditionalFormatting sqref="C185:C186">
    <cfRule type="colorScale" priority="197">
      <colorScale>
        <cfvo type="min"/>
        <cfvo type="percentile" val="50"/>
        <cfvo type="max"/>
        <color rgb="FFF8696B"/>
        <color rgb="FFFFEB84"/>
        <color rgb="FF63BE7B"/>
      </colorScale>
    </cfRule>
  </conditionalFormatting>
  <conditionalFormatting sqref="C190:C191">
    <cfRule type="colorScale" priority="202">
      <colorScale>
        <cfvo type="min"/>
        <cfvo type="percentile" val="50"/>
        <cfvo type="max"/>
        <color rgb="FFF8696B"/>
        <color rgb="FFFFEB84"/>
        <color rgb="FF63BE7B"/>
      </colorScale>
    </cfRule>
  </conditionalFormatting>
  <conditionalFormatting sqref="C195:C196">
    <cfRule type="colorScale" priority="207">
      <colorScale>
        <cfvo type="min"/>
        <cfvo type="percentile" val="50"/>
        <cfvo type="max"/>
        <color rgb="FFF8696B"/>
        <color rgb="FFFFEB84"/>
        <color rgb="FF63BE7B"/>
      </colorScale>
    </cfRule>
  </conditionalFormatting>
  <conditionalFormatting sqref="C200:C201">
    <cfRule type="colorScale" priority="212">
      <colorScale>
        <cfvo type="min"/>
        <cfvo type="percentile" val="50"/>
        <cfvo type="max"/>
        <color rgb="FFF8696B"/>
        <color rgb="FFFFEB84"/>
        <color rgb="FF63BE7B"/>
      </colorScale>
    </cfRule>
  </conditionalFormatting>
  <conditionalFormatting sqref="C205">
    <cfRule type="colorScale" priority="217">
      <colorScale>
        <cfvo type="min"/>
        <cfvo type="percentile" val="50"/>
        <cfvo type="max"/>
        <color rgb="FFF8696B"/>
        <color rgb="FFFFEB84"/>
        <color rgb="FF63BE7B"/>
      </colorScale>
    </cfRule>
  </conditionalFormatting>
  <conditionalFormatting sqref="C209:C210">
    <cfRule type="colorScale" priority="222">
      <colorScale>
        <cfvo type="min"/>
        <cfvo type="percentile" val="50"/>
        <cfvo type="max"/>
        <color rgb="FFF8696B"/>
        <color rgb="FFFFEB84"/>
        <color rgb="FF63BE7B"/>
      </colorScale>
    </cfRule>
  </conditionalFormatting>
  <conditionalFormatting sqref="C214:C215">
    <cfRule type="colorScale" priority="227">
      <colorScale>
        <cfvo type="min"/>
        <cfvo type="percentile" val="50"/>
        <cfvo type="max"/>
        <color rgb="FFF8696B"/>
        <color rgb="FFFFEB84"/>
        <color rgb="FF63BE7B"/>
      </colorScale>
    </cfRule>
  </conditionalFormatting>
  <conditionalFormatting sqref="C219:C222">
    <cfRule type="colorScale" priority="232">
      <colorScale>
        <cfvo type="min"/>
        <cfvo type="percentile" val="50"/>
        <cfvo type="max"/>
        <color rgb="FFF8696B"/>
        <color rgb="FFFFEB84"/>
        <color rgb="FF63BE7B"/>
      </colorScale>
    </cfRule>
  </conditionalFormatting>
  <conditionalFormatting sqref="C226">
    <cfRule type="colorScale" priority="238">
      <colorScale>
        <cfvo type="min"/>
        <cfvo type="percentile" val="50"/>
        <cfvo type="max"/>
        <color rgb="FFF8696B"/>
        <color rgb="FFFFEB84"/>
        <color rgb="FF63BE7B"/>
      </colorScale>
    </cfRule>
  </conditionalFormatting>
  <conditionalFormatting sqref="C230:C231">
    <cfRule type="colorScale" priority="242">
      <colorScale>
        <cfvo type="min"/>
        <cfvo type="percentile" val="50"/>
        <cfvo type="max"/>
        <color rgb="FFF8696B"/>
        <color rgb="FFFFEB84"/>
        <color rgb="FF63BE7B"/>
      </colorScale>
    </cfRule>
  </conditionalFormatting>
  <conditionalFormatting sqref="C239:C240">
    <cfRule type="colorScale" priority="252">
      <colorScale>
        <cfvo type="min"/>
        <cfvo type="percentile" val="50"/>
        <cfvo type="max"/>
        <color rgb="FFF8696B"/>
        <color rgb="FFFFEB84"/>
        <color rgb="FF63BE7B"/>
      </colorScale>
    </cfRule>
  </conditionalFormatting>
  <conditionalFormatting sqref="C244:C245">
    <cfRule type="colorScale" priority="257">
      <colorScale>
        <cfvo type="min"/>
        <cfvo type="percentile" val="50"/>
        <cfvo type="max"/>
        <color rgb="FFF8696B"/>
        <color rgb="FFFFEB84"/>
        <color rgb="FF63BE7B"/>
      </colorScale>
    </cfRule>
  </conditionalFormatting>
  <conditionalFormatting sqref="C249:C250">
    <cfRule type="colorScale" priority="262">
      <colorScale>
        <cfvo type="min"/>
        <cfvo type="percentile" val="50"/>
        <cfvo type="max"/>
        <color rgb="FFF8696B"/>
        <color rgb="FFFFEB84"/>
        <color rgb="FF63BE7B"/>
      </colorScale>
    </cfRule>
  </conditionalFormatting>
  <conditionalFormatting sqref="C254:C255">
    <cfRule type="colorScale" priority="267">
      <colorScale>
        <cfvo type="min"/>
        <cfvo type="percentile" val="50"/>
        <cfvo type="max"/>
        <color rgb="FFF8696B"/>
        <color rgb="FFFFEB84"/>
        <color rgb="FF63BE7B"/>
      </colorScale>
    </cfRule>
  </conditionalFormatting>
  <conditionalFormatting sqref="C259:C260">
    <cfRule type="colorScale" priority="272">
      <colorScale>
        <cfvo type="min"/>
        <cfvo type="percentile" val="50"/>
        <cfvo type="max"/>
        <color rgb="FFF8696B"/>
        <color rgb="FFFFEB84"/>
        <color rgb="FF63BE7B"/>
      </colorScale>
    </cfRule>
  </conditionalFormatting>
  <conditionalFormatting sqref="C264:C265">
    <cfRule type="colorScale" priority="277">
      <colorScale>
        <cfvo type="min"/>
        <cfvo type="percentile" val="50"/>
        <cfvo type="max"/>
        <color rgb="FFF8696B"/>
        <color rgb="FFFFEB84"/>
        <color rgb="FF63BE7B"/>
      </colorScale>
    </cfRule>
  </conditionalFormatting>
  <conditionalFormatting sqref="C269:C270">
    <cfRule type="colorScale" priority="282">
      <colorScale>
        <cfvo type="min"/>
        <cfvo type="percentile" val="50"/>
        <cfvo type="max"/>
        <color rgb="FFF8696B"/>
        <color rgb="FFFFEB84"/>
        <color rgb="FF63BE7B"/>
      </colorScale>
    </cfRule>
  </conditionalFormatting>
  <conditionalFormatting sqref="C274:C275">
    <cfRule type="colorScale" priority="287">
      <colorScale>
        <cfvo type="min"/>
        <cfvo type="percentile" val="50"/>
        <cfvo type="max"/>
        <color rgb="FFF8696B"/>
        <color rgb="FFFFEB84"/>
        <color rgb="FF63BE7B"/>
      </colorScale>
    </cfRule>
  </conditionalFormatting>
  <conditionalFormatting sqref="C279">
    <cfRule type="colorScale" priority="292">
      <colorScale>
        <cfvo type="min"/>
        <cfvo type="percentile" val="50"/>
        <cfvo type="max"/>
        <color rgb="FFF8696B"/>
        <color rgb="FFFFEB84"/>
        <color rgb="FF63BE7B"/>
      </colorScale>
    </cfRule>
  </conditionalFormatting>
  <conditionalFormatting sqref="C283:C284">
    <cfRule type="colorScale" priority="297">
      <colorScale>
        <cfvo type="min"/>
        <cfvo type="percentile" val="50"/>
        <cfvo type="max"/>
        <color rgb="FFF8696B"/>
        <color rgb="FFFFEB84"/>
        <color rgb="FF63BE7B"/>
      </colorScale>
    </cfRule>
  </conditionalFormatting>
  <conditionalFormatting sqref="C288:C289">
    <cfRule type="colorScale" priority="302">
      <colorScale>
        <cfvo type="min"/>
        <cfvo type="percentile" val="50"/>
        <cfvo type="max"/>
        <color rgb="FFF8696B"/>
        <color rgb="FFFFEB84"/>
        <color rgb="FF63BE7B"/>
      </colorScale>
    </cfRule>
  </conditionalFormatting>
  <conditionalFormatting sqref="C293:C296">
    <cfRule type="colorScale" priority="307">
      <colorScale>
        <cfvo type="min"/>
        <cfvo type="percentile" val="50"/>
        <cfvo type="max"/>
        <color rgb="FFF8696B"/>
        <color rgb="FFFFEB84"/>
        <color rgb="FF63BE7B"/>
      </colorScale>
    </cfRule>
  </conditionalFormatting>
  <conditionalFormatting sqref="C448">
    <cfRule type="colorScale" priority="373">
      <colorScale>
        <cfvo type="min"/>
        <cfvo type="percentile" val="50"/>
        <cfvo type="max"/>
        <color rgb="FFF8696B"/>
        <color rgb="FFFFEB84"/>
        <color rgb="FF63BE7B"/>
      </colorScale>
    </cfRule>
  </conditionalFormatting>
  <conditionalFormatting sqref="C452:C453">
    <cfRule type="colorScale" priority="377">
      <colorScale>
        <cfvo type="min"/>
        <cfvo type="percentile" val="50"/>
        <cfvo type="max"/>
        <color rgb="FFF8696B"/>
        <color rgb="FFFFEB84"/>
        <color rgb="FF63BE7B"/>
      </colorScale>
    </cfRule>
  </conditionalFormatting>
  <conditionalFormatting sqref="C461:C462">
    <cfRule type="colorScale" priority="387">
      <colorScale>
        <cfvo type="min"/>
        <cfvo type="percentile" val="50"/>
        <cfvo type="max"/>
        <color rgb="FFF8696B"/>
        <color rgb="FFFFEB84"/>
        <color rgb="FF63BE7B"/>
      </colorScale>
    </cfRule>
  </conditionalFormatting>
  <conditionalFormatting sqref="C466:C467">
    <cfRule type="colorScale" priority="392">
      <colorScale>
        <cfvo type="min"/>
        <cfvo type="percentile" val="50"/>
        <cfvo type="max"/>
        <color rgb="FFF8696B"/>
        <color rgb="FFFFEB84"/>
        <color rgb="FF63BE7B"/>
      </colorScale>
    </cfRule>
  </conditionalFormatting>
  <conditionalFormatting sqref="C471:C472">
    <cfRule type="colorScale" priority="397">
      <colorScale>
        <cfvo type="min"/>
        <cfvo type="percentile" val="50"/>
        <cfvo type="max"/>
        <color rgb="FFF8696B"/>
        <color rgb="FFFFEB84"/>
        <color rgb="FF63BE7B"/>
      </colorScale>
    </cfRule>
  </conditionalFormatting>
  <conditionalFormatting sqref="C476:C477">
    <cfRule type="colorScale" priority="402">
      <colorScale>
        <cfvo type="min"/>
        <cfvo type="percentile" val="50"/>
        <cfvo type="max"/>
        <color rgb="FFF8696B"/>
        <color rgb="FFFFEB84"/>
        <color rgb="FF63BE7B"/>
      </colorScale>
    </cfRule>
  </conditionalFormatting>
  <conditionalFormatting sqref="C481:C482">
    <cfRule type="colorScale" priority="407">
      <colorScale>
        <cfvo type="min"/>
        <cfvo type="percentile" val="50"/>
        <cfvo type="max"/>
        <color rgb="FFF8696B"/>
        <color rgb="FFFFEB84"/>
        <color rgb="FF63BE7B"/>
      </colorScale>
    </cfRule>
  </conditionalFormatting>
  <conditionalFormatting sqref="C486:C487">
    <cfRule type="colorScale" priority="412">
      <colorScale>
        <cfvo type="min"/>
        <cfvo type="percentile" val="50"/>
        <cfvo type="max"/>
        <color rgb="FFF8696B"/>
        <color rgb="FFFFEB84"/>
        <color rgb="FF63BE7B"/>
      </colorScale>
    </cfRule>
  </conditionalFormatting>
  <conditionalFormatting sqref="C491:C492">
    <cfRule type="colorScale" priority="417">
      <colorScale>
        <cfvo type="min"/>
        <cfvo type="percentile" val="50"/>
        <cfvo type="max"/>
        <color rgb="FFF8696B"/>
        <color rgb="FFFFEB84"/>
        <color rgb="FF63BE7B"/>
      </colorScale>
    </cfRule>
  </conditionalFormatting>
  <conditionalFormatting sqref="C496:C497">
    <cfRule type="colorScale" priority="422">
      <colorScale>
        <cfvo type="min"/>
        <cfvo type="percentile" val="50"/>
        <cfvo type="max"/>
        <color rgb="FFF8696B"/>
        <color rgb="FFFFEB84"/>
        <color rgb="FF63BE7B"/>
      </colorScale>
    </cfRule>
  </conditionalFormatting>
  <conditionalFormatting sqref="C501">
    <cfRule type="colorScale" priority="427">
      <colorScale>
        <cfvo type="min"/>
        <cfvo type="percentile" val="50"/>
        <cfvo type="max"/>
        <color rgb="FFF8696B"/>
        <color rgb="FFFFEB84"/>
        <color rgb="FF63BE7B"/>
      </colorScale>
    </cfRule>
  </conditionalFormatting>
  <conditionalFormatting sqref="C505:C506">
    <cfRule type="colorScale" priority="432">
      <colorScale>
        <cfvo type="min"/>
        <cfvo type="percentile" val="50"/>
        <cfvo type="max"/>
        <color rgb="FFF8696B"/>
        <color rgb="FFFFEB84"/>
        <color rgb="FF63BE7B"/>
      </colorScale>
    </cfRule>
  </conditionalFormatting>
  <conditionalFormatting sqref="C510:C511">
    <cfRule type="colorScale" priority="437">
      <colorScale>
        <cfvo type="min"/>
        <cfvo type="percentile" val="50"/>
        <cfvo type="max"/>
        <color rgb="FFF8696B"/>
        <color rgb="FFFFEB84"/>
        <color rgb="FF63BE7B"/>
      </colorScale>
    </cfRule>
  </conditionalFormatting>
  <conditionalFormatting sqref="C515:C518">
    <cfRule type="colorScale" priority="442">
      <colorScale>
        <cfvo type="min"/>
        <cfvo type="percentile" val="50"/>
        <cfvo type="max"/>
        <color rgb="FFF8696B"/>
        <color rgb="FFFFEB84"/>
        <color rgb="FF63BE7B"/>
      </colorScale>
    </cfRule>
  </conditionalFormatting>
  <conditionalFormatting sqref="C522">
    <cfRule type="colorScale" priority="448">
      <colorScale>
        <cfvo type="min"/>
        <cfvo type="percentile" val="50"/>
        <cfvo type="max"/>
        <color rgb="FFF8696B"/>
        <color rgb="FFFFEB84"/>
        <color rgb="FF63BE7B"/>
      </colorScale>
    </cfRule>
  </conditionalFormatting>
  <conditionalFormatting sqref="C526:C527">
    <cfRule type="colorScale" priority="452">
      <colorScale>
        <cfvo type="min"/>
        <cfvo type="percentile" val="50"/>
        <cfvo type="max"/>
        <color rgb="FFF8696B"/>
        <color rgb="FFFFEB84"/>
        <color rgb="FF63BE7B"/>
      </colorScale>
    </cfRule>
  </conditionalFormatting>
  <conditionalFormatting sqref="C535:C536">
    <cfRule type="colorScale" priority="462">
      <colorScale>
        <cfvo type="min"/>
        <cfvo type="percentile" val="50"/>
        <cfvo type="max"/>
        <color rgb="FFF8696B"/>
        <color rgb="FFFFEB84"/>
        <color rgb="FF63BE7B"/>
      </colorScale>
    </cfRule>
  </conditionalFormatting>
  <conditionalFormatting sqref="C540:C541">
    <cfRule type="colorScale" priority="467">
      <colorScale>
        <cfvo type="min"/>
        <cfvo type="percentile" val="50"/>
        <cfvo type="max"/>
        <color rgb="FFF8696B"/>
        <color rgb="FFFFEB84"/>
        <color rgb="FF63BE7B"/>
      </colorScale>
    </cfRule>
  </conditionalFormatting>
  <conditionalFormatting sqref="C545:C546">
    <cfRule type="colorScale" priority="472">
      <colorScale>
        <cfvo type="min"/>
        <cfvo type="percentile" val="50"/>
        <cfvo type="max"/>
        <color rgb="FFF8696B"/>
        <color rgb="FFFFEB84"/>
        <color rgb="FF63BE7B"/>
      </colorScale>
    </cfRule>
  </conditionalFormatting>
  <conditionalFormatting sqref="C550:C551">
    <cfRule type="colorScale" priority="477">
      <colorScale>
        <cfvo type="min"/>
        <cfvo type="percentile" val="50"/>
        <cfvo type="max"/>
        <color rgb="FFF8696B"/>
        <color rgb="FFFFEB84"/>
        <color rgb="FF63BE7B"/>
      </colorScale>
    </cfRule>
  </conditionalFormatting>
  <conditionalFormatting sqref="C555:C556">
    <cfRule type="colorScale" priority="482">
      <colorScale>
        <cfvo type="min"/>
        <cfvo type="percentile" val="50"/>
        <cfvo type="max"/>
        <color rgb="FFF8696B"/>
        <color rgb="FFFFEB84"/>
        <color rgb="FF63BE7B"/>
      </colorScale>
    </cfRule>
  </conditionalFormatting>
  <conditionalFormatting sqref="C560:C561">
    <cfRule type="colorScale" priority="487">
      <colorScale>
        <cfvo type="min"/>
        <cfvo type="percentile" val="50"/>
        <cfvo type="max"/>
        <color rgb="FFF8696B"/>
        <color rgb="FFFFEB84"/>
        <color rgb="FF63BE7B"/>
      </colorScale>
    </cfRule>
  </conditionalFormatting>
  <conditionalFormatting sqref="C565:C566">
    <cfRule type="colorScale" priority="492">
      <colorScale>
        <cfvo type="min"/>
        <cfvo type="percentile" val="50"/>
        <cfvo type="max"/>
        <color rgb="FFF8696B"/>
        <color rgb="FFFFEB84"/>
        <color rgb="FF63BE7B"/>
      </colorScale>
    </cfRule>
  </conditionalFormatting>
  <conditionalFormatting sqref="C570:C571">
    <cfRule type="colorScale" priority="497">
      <colorScale>
        <cfvo type="min"/>
        <cfvo type="percentile" val="50"/>
        <cfvo type="max"/>
        <color rgb="FFF8696B"/>
        <color rgb="FFFFEB84"/>
        <color rgb="FF63BE7B"/>
      </colorScale>
    </cfRule>
  </conditionalFormatting>
  <conditionalFormatting sqref="C575">
    <cfRule type="colorScale" priority="502">
      <colorScale>
        <cfvo type="min"/>
        <cfvo type="percentile" val="50"/>
        <cfvo type="max"/>
        <color rgb="FFF8696B"/>
        <color rgb="FFFFEB84"/>
        <color rgb="FF63BE7B"/>
      </colorScale>
    </cfRule>
  </conditionalFormatting>
  <conditionalFormatting sqref="C579:C580">
    <cfRule type="colorScale" priority="507">
      <colorScale>
        <cfvo type="min"/>
        <cfvo type="percentile" val="50"/>
        <cfvo type="max"/>
        <color rgb="FFF8696B"/>
        <color rgb="FFFFEB84"/>
        <color rgb="FF63BE7B"/>
      </colorScale>
    </cfRule>
  </conditionalFormatting>
  <conditionalFormatting sqref="C584:C585">
    <cfRule type="colorScale" priority="512">
      <colorScale>
        <cfvo type="min"/>
        <cfvo type="percentile" val="50"/>
        <cfvo type="max"/>
        <color rgb="FFF8696B"/>
        <color rgb="FFFFEB84"/>
        <color rgb="FF63BE7B"/>
      </colorScale>
    </cfRule>
  </conditionalFormatting>
  <conditionalFormatting sqref="C589:C592">
    <cfRule type="colorScale" priority="517">
      <colorScale>
        <cfvo type="min"/>
        <cfvo type="percentile" val="50"/>
        <cfvo type="max"/>
        <color rgb="FFF8696B"/>
        <color rgb="FFFFEB84"/>
        <color rgb="FF63BE7B"/>
      </colorScale>
    </cfRule>
  </conditionalFormatting>
  <conditionalFormatting sqref="C596">
    <cfRule type="colorScale" priority="523">
      <colorScale>
        <cfvo type="min"/>
        <cfvo type="percentile" val="50"/>
        <cfvo type="max"/>
        <color rgb="FFF8696B"/>
        <color rgb="FFFFEB84"/>
        <color rgb="FF63BE7B"/>
      </colorScale>
    </cfRule>
  </conditionalFormatting>
  <conditionalFormatting sqref="C600:C601">
    <cfRule type="colorScale" priority="527">
      <colorScale>
        <cfvo type="min"/>
        <cfvo type="percentile" val="50"/>
        <cfvo type="max"/>
        <color rgb="FFF8696B"/>
        <color rgb="FFFFEB84"/>
        <color rgb="FF63BE7B"/>
      </colorScale>
    </cfRule>
  </conditionalFormatting>
  <conditionalFormatting sqref="C609:C610">
    <cfRule type="colorScale" priority="537">
      <colorScale>
        <cfvo type="min"/>
        <cfvo type="percentile" val="50"/>
        <cfvo type="max"/>
        <color rgb="FFF8696B"/>
        <color rgb="FFFFEB84"/>
        <color rgb="FF63BE7B"/>
      </colorScale>
    </cfRule>
  </conditionalFormatting>
  <conditionalFormatting sqref="C614:C615">
    <cfRule type="colorScale" priority="542">
      <colorScale>
        <cfvo type="min"/>
        <cfvo type="percentile" val="50"/>
        <cfvo type="max"/>
        <color rgb="FFF8696B"/>
        <color rgb="FFFFEB84"/>
        <color rgb="FF63BE7B"/>
      </colorScale>
    </cfRule>
  </conditionalFormatting>
  <conditionalFormatting sqref="C619:C620">
    <cfRule type="colorScale" priority="547">
      <colorScale>
        <cfvo type="min"/>
        <cfvo type="percentile" val="50"/>
        <cfvo type="max"/>
        <color rgb="FFF8696B"/>
        <color rgb="FFFFEB84"/>
        <color rgb="FF63BE7B"/>
      </colorScale>
    </cfRule>
  </conditionalFormatting>
  <conditionalFormatting sqref="C624:C625">
    <cfRule type="colorScale" priority="552">
      <colorScale>
        <cfvo type="min"/>
        <cfvo type="percentile" val="50"/>
        <cfvo type="max"/>
        <color rgb="FFF8696B"/>
        <color rgb="FFFFEB84"/>
        <color rgb="FF63BE7B"/>
      </colorScale>
    </cfRule>
  </conditionalFormatting>
  <conditionalFormatting sqref="C629:C630">
    <cfRule type="colorScale" priority="557">
      <colorScale>
        <cfvo type="min"/>
        <cfvo type="percentile" val="50"/>
        <cfvo type="max"/>
        <color rgb="FFF8696B"/>
        <color rgb="FFFFEB84"/>
        <color rgb="FF63BE7B"/>
      </colorScale>
    </cfRule>
  </conditionalFormatting>
  <conditionalFormatting sqref="C634:C635">
    <cfRule type="colorScale" priority="562">
      <colorScale>
        <cfvo type="min"/>
        <cfvo type="percentile" val="50"/>
        <cfvo type="max"/>
        <color rgb="FFF8696B"/>
        <color rgb="FFFFEB84"/>
        <color rgb="FF63BE7B"/>
      </colorScale>
    </cfRule>
  </conditionalFormatting>
  <conditionalFormatting sqref="C639:C640">
    <cfRule type="colorScale" priority="567">
      <colorScale>
        <cfvo type="min"/>
        <cfvo type="percentile" val="50"/>
        <cfvo type="max"/>
        <color rgb="FFF8696B"/>
        <color rgb="FFFFEB84"/>
        <color rgb="FF63BE7B"/>
      </colorScale>
    </cfRule>
  </conditionalFormatting>
  <conditionalFormatting sqref="C644:C645">
    <cfRule type="colorScale" priority="572">
      <colorScale>
        <cfvo type="min"/>
        <cfvo type="percentile" val="50"/>
        <cfvo type="max"/>
        <color rgb="FFF8696B"/>
        <color rgb="FFFFEB84"/>
        <color rgb="FF63BE7B"/>
      </colorScale>
    </cfRule>
  </conditionalFormatting>
  <conditionalFormatting sqref="C649">
    <cfRule type="colorScale" priority="577">
      <colorScale>
        <cfvo type="min"/>
        <cfvo type="percentile" val="50"/>
        <cfvo type="max"/>
        <color rgb="FFF8696B"/>
        <color rgb="FFFFEB84"/>
        <color rgb="FF63BE7B"/>
      </colorScale>
    </cfRule>
  </conditionalFormatting>
  <conditionalFormatting sqref="C653:C654">
    <cfRule type="colorScale" priority="582">
      <colorScale>
        <cfvo type="min"/>
        <cfvo type="percentile" val="50"/>
        <cfvo type="max"/>
        <color rgb="FFF8696B"/>
        <color rgb="FFFFEB84"/>
        <color rgb="FF63BE7B"/>
      </colorScale>
    </cfRule>
  </conditionalFormatting>
  <conditionalFormatting sqref="C658:C659">
    <cfRule type="colorScale" priority="587">
      <colorScale>
        <cfvo type="min"/>
        <cfvo type="percentile" val="50"/>
        <cfvo type="max"/>
        <color rgb="FFF8696B"/>
        <color rgb="FFFFEB84"/>
        <color rgb="FF63BE7B"/>
      </colorScale>
    </cfRule>
  </conditionalFormatting>
  <conditionalFormatting sqref="C663:C666">
    <cfRule type="colorScale" priority="592">
      <colorScale>
        <cfvo type="min"/>
        <cfvo type="percentile" val="50"/>
        <cfvo type="max"/>
        <color rgb="FFF8696B"/>
        <color rgb="FFFFEB84"/>
        <color rgb="FF63BE7B"/>
      </colorScale>
    </cfRule>
  </conditionalFormatting>
  <conditionalFormatting sqref="C670">
    <cfRule type="colorScale" priority="598">
      <colorScale>
        <cfvo type="min"/>
        <cfvo type="percentile" val="50"/>
        <cfvo type="max"/>
        <color rgb="FFF8696B"/>
        <color rgb="FFFFEB84"/>
        <color rgb="FF63BE7B"/>
      </colorScale>
    </cfRule>
  </conditionalFormatting>
  <conditionalFormatting sqref="C674:C675">
    <cfRule type="colorScale" priority="602">
      <colorScale>
        <cfvo type="min"/>
        <cfvo type="percentile" val="50"/>
        <cfvo type="max"/>
        <color rgb="FFF8696B"/>
        <color rgb="FFFFEB84"/>
        <color rgb="FF63BE7B"/>
      </colorScale>
    </cfRule>
  </conditionalFormatting>
  <conditionalFormatting sqref="C683:C684">
    <cfRule type="colorScale" priority="612">
      <colorScale>
        <cfvo type="min"/>
        <cfvo type="percentile" val="50"/>
        <cfvo type="max"/>
        <color rgb="FFF8696B"/>
        <color rgb="FFFFEB84"/>
        <color rgb="FF63BE7B"/>
      </colorScale>
    </cfRule>
  </conditionalFormatting>
  <conditionalFormatting sqref="C688:C689">
    <cfRule type="colorScale" priority="617">
      <colorScale>
        <cfvo type="min"/>
        <cfvo type="percentile" val="50"/>
        <cfvo type="max"/>
        <color rgb="FFF8696B"/>
        <color rgb="FFFFEB84"/>
        <color rgb="FF63BE7B"/>
      </colorScale>
    </cfRule>
  </conditionalFormatting>
  <conditionalFormatting sqref="C693:C694">
    <cfRule type="colorScale" priority="622">
      <colorScale>
        <cfvo type="min"/>
        <cfvo type="percentile" val="50"/>
        <cfvo type="max"/>
        <color rgb="FFF8696B"/>
        <color rgb="FFFFEB84"/>
        <color rgb="FF63BE7B"/>
      </colorScale>
    </cfRule>
  </conditionalFormatting>
  <conditionalFormatting sqref="C698:C699">
    <cfRule type="colorScale" priority="627">
      <colorScale>
        <cfvo type="min"/>
        <cfvo type="percentile" val="50"/>
        <cfvo type="max"/>
        <color rgb="FFF8696B"/>
        <color rgb="FFFFEB84"/>
        <color rgb="FF63BE7B"/>
      </colorScale>
    </cfRule>
  </conditionalFormatting>
  <conditionalFormatting sqref="C703:C704">
    <cfRule type="colorScale" priority="632">
      <colorScale>
        <cfvo type="min"/>
        <cfvo type="percentile" val="50"/>
        <cfvo type="max"/>
        <color rgb="FFF8696B"/>
        <color rgb="FFFFEB84"/>
        <color rgb="FF63BE7B"/>
      </colorScale>
    </cfRule>
  </conditionalFormatting>
  <conditionalFormatting sqref="C708:C709">
    <cfRule type="colorScale" priority="637">
      <colorScale>
        <cfvo type="min"/>
        <cfvo type="percentile" val="50"/>
        <cfvo type="max"/>
        <color rgb="FFF8696B"/>
        <color rgb="FFFFEB84"/>
        <color rgb="FF63BE7B"/>
      </colorScale>
    </cfRule>
  </conditionalFormatting>
  <conditionalFormatting sqref="C713:C714">
    <cfRule type="colorScale" priority="642">
      <colorScale>
        <cfvo type="min"/>
        <cfvo type="percentile" val="50"/>
        <cfvo type="max"/>
        <color rgb="FFF8696B"/>
        <color rgb="FFFFEB84"/>
        <color rgb="FF63BE7B"/>
      </colorScale>
    </cfRule>
  </conditionalFormatting>
  <conditionalFormatting sqref="C718:C719">
    <cfRule type="colorScale" priority="647">
      <colorScale>
        <cfvo type="min"/>
        <cfvo type="percentile" val="50"/>
        <cfvo type="max"/>
        <color rgb="FFF8696B"/>
        <color rgb="FFFFEB84"/>
        <color rgb="FF63BE7B"/>
      </colorScale>
    </cfRule>
  </conditionalFormatting>
  <conditionalFormatting sqref="C723">
    <cfRule type="colorScale" priority="652">
      <colorScale>
        <cfvo type="min"/>
        <cfvo type="percentile" val="50"/>
        <cfvo type="max"/>
        <color rgb="FFF8696B"/>
        <color rgb="FFFFEB84"/>
        <color rgb="FF63BE7B"/>
      </colorScale>
    </cfRule>
  </conditionalFormatting>
  <conditionalFormatting sqref="C727:C728">
    <cfRule type="colorScale" priority="657">
      <colorScale>
        <cfvo type="min"/>
        <cfvo type="percentile" val="50"/>
        <cfvo type="max"/>
        <color rgb="FFF8696B"/>
        <color rgb="FFFFEB84"/>
        <color rgb="FF63BE7B"/>
      </colorScale>
    </cfRule>
  </conditionalFormatting>
  <conditionalFormatting sqref="C732:C733">
    <cfRule type="colorScale" priority="662">
      <colorScale>
        <cfvo type="min"/>
        <cfvo type="percentile" val="50"/>
        <cfvo type="max"/>
        <color rgb="FFF8696B"/>
        <color rgb="FFFFEB84"/>
        <color rgb="FF63BE7B"/>
      </colorScale>
    </cfRule>
  </conditionalFormatting>
  <conditionalFormatting sqref="C737:C740">
    <cfRule type="colorScale" priority="667">
      <colorScale>
        <cfvo type="min"/>
        <cfvo type="percentile" val="50"/>
        <cfvo type="max"/>
        <color rgb="FFF8696B"/>
        <color rgb="FFFFEB84"/>
        <color rgb="FF63BE7B"/>
      </colorScale>
    </cfRule>
  </conditionalFormatting>
  <conditionalFormatting sqref="C1484">
    <cfRule type="colorScale" priority="973">
      <colorScale>
        <cfvo type="min"/>
        <cfvo type="percentile" val="50"/>
        <cfvo type="max"/>
        <color rgb="FFF8696B"/>
        <color rgb="FFFFEB84"/>
        <color rgb="FF63BE7B"/>
      </colorScale>
    </cfRule>
  </conditionalFormatting>
  <conditionalFormatting sqref="C1488:C1489">
    <cfRule type="colorScale" priority="977">
      <colorScale>
        <cfvo type="min"/>
        <cfvo type="percentile" val="50"/>
        <cfvo type="max"/>
        <color rgb="FFF8696B"/>
        <color rgb="FFFFEB84"/>
        <color rgb="FF63BE7B"/>
      </colorScale>
    </cfRule>
  </conditionalFormatting>
  <conditionalFormatting sqref="C1497:C1498">
    <cfRule type="colorScale" priority="987">
      <colorScale>
        <cfvo type="min"/>
        <cfvo type="percentile" val="50"/>
        <cfvo type="max"/>
        <color rgb="FFF8696B"/>
        <color rgb="FFFFEB84"/>
        <color rgb="FF63BE7B"/>
      </colorScale>
    </cfRule>
  </conditionalFormatting>
  <conditionalFormatting sqref="C1502:C1503">
    <cfRule type="colorScale" priority="992">
      <colorScale>
        <cfvo type="min"/>
        <cfvo type="percentile" val="50"/>
        <cfvo type="max"/>
        <color rgb="FFF8696B"/>
        <color rgb="FFFFEB84"/>
        <color rgb="FF63BE7B"/>
      </colorScale>
    </cfRule>
  </conditionalFormatting>
  <conditionalFormatting sqref="C1507:C1508">
    <cfRule type="colorScale" priority="997">
      <colorScale>
        <cfvo type="min"/>
        <cfvo type="percentile" val="50"/>
        <cfvo type="max"/>
        <color rgb="FFF8696B"/>
        <color rgb="FFFFEB84"/>
        <color rgb="FF63BE7B"/>
      </colorScale>
    </cfRule>
  </conditionalFormatting>
  <conditionalFormatting sqref="C1512:C1513">
    <cfRule type="colorScale" priority="1002">
      <colorScale>
        <cfvo type="min"/>
        <cfvo type="percentile" val="50"/>
        <cfvo type="max"/>
        <color rgb="FFF8696B"/>
        <color rgb="FFFFEB84"/>
        <color rgb="FF63BE7B"/>
      </colorScale>
    </cfRule>
  </conditionalFormatting>
  <conditionalFormatting sqref="C1517:C1518">
    <cfRule type="colorScale" priority="1007">
      <colorScale>
        <cfvo type="min"/>
        <cfvo type="percentile" val="50"/>
        <cfvo type="max"/>
        <color rgb="FFF8696B"/>
        <color rgb="FFFFEB84"/>
        <color rgb="FF63BE7B"/>
      </colorScale>
    </cfRule>
  </conditionalFormatting>
  <conditionalFormatting sqref="C1522:C1523">
    <cfRule type="colorScale" priority="1012">
      <colorScale>
        <cfvo type="min"/>
        <cfvo type="percentile" val="50"/>
        <cfvo type="max"/>
        <color rgb="FFF8696B"/>
        <color rgb="FFFFEB84"/>
        <color rgb="FF63BE7B"/>
      </colorScale>
    </cfRule>
  </conditionalFormatting>
  <conditionalFormatting sqref="C1527:C1528">
    <cfRule type="colorScale" priority="1017">
      <colorScale>
        <cfvo type="min"/>
        <cfvo type="percentile" val="50"/>
        <cfvo type="max"/>
        <color rgb="FFF8696B"/>
        <color rgb="FFFFEB84"/>
        <color rgb="FF63BE7B"/>
      </colorScale>
    </cfRule>
  </conditionalFormatting>
  <conditionalFormatting sqref="C1532:C1533">
    <cfRule type="colorScale" priority="1022">
      <colorScale>
        <cfvo type="min"/>
        <cfvo type="percentile" val="50"/>
        <cfvo type="max"/>
        <color rgb="FFF8696B"/>
        <color rgb="FFFFEB84"/>
        <color rgb="FF63BE7B"/>
      </colorScale>
    </cfRule>
  </conditionalFormatting>
  <conditionalFormatting sqref="C1537">
    <cfRule type="colorScale" priority="1027">
      <colorScale>
        <cfvo type="min"/>
        <cfvo type="percentile" val="50"/>
        <cfvo type="max"/>
        <color rgb="FFF8696B"/>
        <color rgb="FFFFEB84"/>
        <color rgb="FF63BE7B"/>
      </colorScale>
    </cfRule>
  </conditionalFormatting>
  <conditionalFormatting sqref="C1541:C1542">
    <cfRule type="colorScale" priority="1032">
      <colorScale>
        <cfvo type="min"/>
        <cfvo type="percentile" val="50"/>
        <cfvo type="max"/>
        <color rgb="FFF8696B"/>
        <color rgb="FFFFEB84"/>
        <color rgb="FF63BE7B"/>
      </colorScale>
    </cfRule>
  </conditionalFormatting>
  <conditionalFormatting sqref="C1546:C1547">
    <cfRule type="colorScale" priority="1037">
      <colorScale>
        <cfvo type="min"/>
        <cfvo type="percentile" val="50"/>
        <cfvo type="max"/>
        <color rgb="FFF8696B"/>
        <color rgb="FFFFEB84"/>
        <color rgb="FF63BE7B"/>
      </colorScale>
    </cfRule>
  </conditionalFormatting>
  <conditionalFormatting sqref="C1551:C1554">
    <cfRule type="colorScale" priority="1042">
      <colorScale>
        <cfvo type="min"/>
        <cfvo type="percentile" val="50"/>
        <cfvo type="max"/>
        <color rgb="FFF8696B"/>
        <color rgb="FFFFEB84"/>
        <color rgb="FF63BE7B"/>
      </colorScale>
    </cfRule>
  </conditionalFormatting>
  <conditionalFormatting sqref="C1632">
    <cfRule type="colorScale" priority="1078">
      <colorScale>
        <cfvo type="min"/>
        <cfvo type="percentile" val="50"/>
        <cfvo type="max"/>
        <color rgb="FFF8696B"/>
        <color rgb="FFFFEB84"/>
        <color rgb="FF63BE7B"/>
      </colorScale>
    </cfRule>
  </conditionalFormatting>
  <conditionalFormatting sqref="C1636:C1637">
    <cfRule type="colorScale" priority="1082">
      <colorScale>
        <cfvo type="min"/>
        <cfvo type="percentile" val="50"/>
        <cfvo type="max"/>
        <color rgb="FFF8696B"/>
        <color rgb="FFFFEB84"/>
        <color rgb="FF63BE7B"/>
      </colorScale>
    </cfRule>
  </conditionalFormatting>
  <conditionalFormatting sqref="C1645:C1646">
    <cfRule type="colorScale" priority="1092">
      <colorScale>
        <cfvo type="min"/>
        <cfvo type="percentile" val="50"/>
        <cfvo type="max"/>
        <color rgb="FFF8696B"/>
        <color rgb="FFFFEB84"/>
        <color rgb="FF63BE7B"/>
      </colorScale>
    </cfRule>
  </conditionalFormatting>
  <conditionalFormatting sqref="C1650:C1651">
    <cfRule type="colorScale" priority="1097">
      <colorScale>
        <cfvo type="min"/>
        <cfvo type="percentile" val="50"/>
        <cfvo type="max"/>
        <color rgb="FFF8696B"/>
        <color rgb="FFFFEB84"/>
        <color rgb="FF63BE7B"/>
      </colorScale>
    </cfRule>
  </conditionalFormatting>
  <conditionalFormatting sqref="C1655:C1656">
    <cfRule type="colorScale" priority="1102">
      <colorScale>
        <cfvo type="min"/>
        <cfvo type="percentile" val="50"/>
        <cfvo type="max"/>
        <color rgb="FFF8696B"/>
        <color rgb="FFFFEB84"/>
        <color rgb="FF63BE7B"/>
      </colorScale>
    </cfRule>
  </conditionalFormatting>
  <conditionalFormatting sqref="C1660:C1661">
    <cfRule type="colorScale" priority="1107">
      <colorScale>
        <cfvo type="min"/>
        <cfvo type="percentile" val="50"/>
        <cfvo type="max"/>
        <color rgb="FFF8696B"/>
        <color rgb="FFFFEB84"/>
        <color rgb="FF63BE7B"/>
      </colorScale>
    </cfRule>
  </conditionalFormatting>
  <conditionalFormatting sqref="C1665:C1666">
    <cfRule type="colorScale" priority="1112">
      <colorScale>
        <cfvo type="min"/>
        <cfvo type="percentile" val="50"/>
        <cfvo type="max"/>
        <color rgb="FFF8696B"/>
        <color rgb="FFFFEB84"/>
        <color rgb="FF63BE7B"/>
      </colorScale>
    </cfRule>
  </conditionalFormatting>
  <conditionalFormatting sqref="C1670:C1671">
    <cfRule type="colorScale" priority="1117">
      <colorScale>
        <cfvo type="min"/>
        <cfvo type="percentile" val="50"/>
        <cfvo type="max"/>
        <color rgb="FFF8696B"/>
        <color rgb="FFFFEB84"/>
        <color rgb="FF63BE7B"/>
      </colorScale>
    </cfRule>
  </conditionalFormatting>
  <conditionalFormatting sqref="C1675:C1676">
    <cfRule type="colorScale" priority="1122">
      <colorScale>
        <cfvo type="min"/>
        <cfvo type="percentile" val="50"/>
        <cfvo type="max"/>
        <color rgb="FFF8696B"/>
        <color rgb="FFFFEB84"/>
        <color rgb="FF63BE7B"/>
      </colorScale>
    </cfRule>
  </conditionalFormatting>
  <conditionalFormatting sqref="C1680:C1681">
    <cfRule type="colorScale" priority="1127">
      <colorScale>
        <cfvo type="min"/>
        <cfvo type="percentile" val="50"/>
        <cfvo type="max"/>
        <color rgb="FFF8696B"/>
        <color rgb="FFFFEB84"/>
        <color rgb="FF63BE7B"/>
      </colorScale>
    </cfRule>
  </conditionalFormatting>
  <conditionalFormatting sqref="C1685">
    <cfRule type="colorScale" priority="1132">
      <colorScale>
        <cfvo type="min"/>
        <cfvo type="percentile" val="50"/>
        <cfvo type="max"/>
        <color rgb="FFF8696B"/>
        <color rgb="FFFFEB84"/>
        <color rgb="FF63BE7B"/>
      </colorScale>
    </cfRule>
  </conditionalFormatting>
  <conditionalFormatting sqref="C1689:C1690">
    <cfRule type="colorScale" priority="1137">
      <colorScale>
        <cfvo type="min"/>
        <cfvo type="percentile" val="50"/>
        <cfvo type="max"/>
        <color rgb="FFF8696B"/>
        <color rgb="FFFFEB84"/>
        <color rgb="FF63BE7B"/>
      </colorScale>
    </cfRule>
  </conditionalFormatting>
  <conditionalFormatting sqref="C1694:C1695">
    <cfRule type="colorScale" priority="1142">
      <colorScale>
        <cfvo type="min"/>
        <cfvo type="percentile" val="50"/>
        <cfvo type="max"/>
        <color rgb="FFF8696B"/>
        <color rgb="FFFFEB84"/>
        <color rgb="FF63BE7B"/>
      </colorScale>
    </cfRule>
  </conditionalFormatting>
  <conditionalFormatting sqref="C1699:C1702">
    <cfRule type="colorScale" priority="1147">
      <colorScale>
        <cfvo type="min"/>
        <cfvo type="percentile" val="50"/>
        <cfvo type="max"/>
        <color rgb="FFF8696B"/>
        <color rgb="FFFFEB84"/>
        <color rgb="FF63BE7B"/>
      </colorScale>
    </cfRule>
  </conditionalFormatting>
  <conditionalFormatting sqref="C1792">
    <cfRule type="colorScale" priority="1189">
      <colorScale>
        <cfvo type="min"/>
        <cfvo type="percentile" val="50"/>
        <cfvo type="max"/>
        <color rgb="FFF8696B"/>
        <color rgb="FFFFEB84"/>
        <color rgb="FF63BE7B"/>
      </colorScale>
    </cfRule>
  </conditionalFormatting>
  <conditionalFormatting sqref="C1796:C1797">
    <cfRule type="colorScale" priority="1193">
      <colorScale>
        <cfvo type="min"/>
        <cfvo type="percentile" val="50"/>
        <cfvo type="max"/>
        <color rgb="FFF8696B"/>
        <color rgb="FFFFEB84"/>
        <color rgb="FF63BE7B"/>
      </colorScale>
    </cfRule>
  </conditionalFormatting>
  <conditionalFormatting sqref="C1805:C1806">
    <cfRule type="colorScale" priority="1203">
      <colorScale>
        <cfvo type="min"/>
        <cfvo type="percentile" val="50"/>
        <cfvo type="max"/>
        <color rgb="FFF8696B"/>
        <color rgb="FFFFEB84"/>
        <color rgb="FF63BE7B"/>
      </colorScale>
    </cfRule>
  </conditionalFormatting>
  <conditionalFormatting sqref="C1810:C1811">
    <cfRule type="colorScale" priority="1208">
      <colorScale>
        <cfvo type="min"/>
        <cfvo type="percentile" val="50"/>
        <cfvo type="max"/>
        <color rgb="FFF8696B"/>
        <color rgb="FFFFEB84"/>
        <color rgb="FF63BE7B"/>
      </colorScale>
    </cfRule>
  </conditionalFormatting>
  <conditionalFormatting sqref="C1815:C1816">
    <cfRule type="colorScale" priority="1213">
      <colorScale>
        <cfvo type="min"/>
        <cfvo type="percentile" val="50"/>
        <cfvo type="max"/>
        <color rgb="FFF8696B"/>
        <color rgb="FFFFEB84"/>
        <color rgb="FF63BE7B"/>
      </colorScale>
    </cfRule>
  </conditionalFormatting>
  <conditionalFormatting sqref="C1820:C1821">
    <cfRule type="colorScale" priority="1218">
      <colorScale>
        <cfvo type="min"/>
        <cfvo type="percentile" val="50"/>
        <cfvo type="max"/>
        <color rgb="FFF8696B"/>
        <color rgb="FFFFEB84"/>
        <color rgb="FF63BE7B"/>
      </colorScale>
    </cfRule>
  </conditionalFormatting>
  <conditionalFormatting sqref="C1825:C1826">
    <cfRule type="colorScale" priority="1223">
      <colorScale>
        <cfvo type="min"/>
        <cfvo type="percentile" val="50"/>
        <cfvo type="max"/>
        <color rgb="FFF8696B"/>
        <color rgb="FFFFEB84"/>
        <color rgb="FF63BE7B"/>
      </colorScale>
    </cfRule>
  </conditionalFormatting>
  <conditionalFormatting sqref="C1830:C1831">
    <cfRule type="colorScale" priority="1228">
      <colorScale>
        <cfvo type="min"/>
        <cfvo type="percentile" val="50"/>
        <cfvo type="max"/>
        <color rgb="FFF8696B"/>
        <color rgb="FFFFEB84"/>
        <color rgb="FF63BE7B"/>
      </colorScale>
    </cfRule>
  </conditionalFormatting>
  <conditionalFormatting sqref="C1835:C1836">
    <cfRule type="colorScale" priority="1233">
      <colorScale>
        <cfvo type="min"/>
        <cfvo type="percentile" val="50"/>
        <cfvo type="max"/>
        <color rgb="FFF8696B"/>
        <color rgb="FFFFEB84"/>
        <color rgb="FF63BE7B"/>
      </colorScale>
    </cfRule>
  </conditionalFormatting>
  <conditionalFormatting sqref="C1840:C1841">
    <cfRule type="colorScale" priority="1238">
      <colorScale>
        <cfvo type="min"/>
        <cfvo type="percentile" val="50"/>
        <cfvo type="max"/>
        <color rgb="FFF8696B"/>
        <color rgb="FFFFEB84"/>
        <color rgb="FF63BE7B"/>
      </colorScale>
    </cfRule>
  </conditionalFormatting>
  <conditionalFormatting sqref="C1845">
    <cfRule type="colorScale" priority="1243">
      <colorScale>
        <cfvo type="min"/>
        <cfvo type="percentile" val="50"/>
        <cfvo type="max"/>
        <color rgb="FFF8696B"/>
        <color rgb="FFFFEB84"/>
        <color rgb="FF63BE7B"/>
      </colorScale>
    </cfRule>
  </conditionalFormatting>
  <conditionalFormatting sqref="C1849:C1850">
    <cfRule type="colorScale" priority="1248">
      <colorScale>
        <cfvo type="min"/>
        <cfvo type="percentile" val="50"/>
        <cfvo type="max"/>
        <color rgb="FFF8696B"/>
        <color rgb="FFFFEB84"/>
        <color rgb="FF63BE7B"/>
      </colorScale>
    </cfRule>
  </conditionalFormatting>
  <conditionalFormatting sqref="C1854:C1855">
    <cfRule type="colorScale" priority="1253">
      <colorScale>
        <cfvo type="min"/>
        <cfvo type="percentile" val="50"/>
        <cfvo type="max"/>
        <color rgb="FFF8696B"/>
        <color rgb="FFFFEB84"/>
        <color rgb="FF63BE7B"/>
      </colorScale>
    </cfRule>
  </conditionalFormatting>
  <conditionalFormatting sqref="C1859:C1862">
    <cfRule type="colorScale" priority="1258">
      <colorScale>
        <cfvo type="min"/>
        <cfvo type="percentile" val="50"/>
        <cfvo type="max"/>
        <color rgb="FFF8696B"/>
        <color rgb="FFFFEB84"/>
        <color rgb="FF63BE7B"/>
      </colorScale>
    </cfRule>
  </conditionalFormatting>
  <conditionalFormatting sqref="C1866">
    <cfRule type="colorScale" priority="1264">
      <colorScale>
        <cfvo type="min"/>
        <cfvo type="percentile" val="50"/>
        <cfvo type="max"/>
        <color rgb="FFF8696B"/>
        <color rgb="FFFFEB84"/>
        <color rgb="FF63BE7B"/>
      </colorScale>
    </cfRule>
  </conditionalFormatting>
  <conditionalFormatting sqref="C1870:C1871">
    <cfRule type="colorScale" priority="1268">
      <colorScale>
        <cfvo type="min"/>
        <cfvo type="percentile" val="50"/>
        <cfvo type="max"/>
        <color rgb="FFF8696B"/>
        <color rgb="FFFFEB84"/>
        <color rgb="FF63BE7B"/>
      </colorScale>
    </cfRule>
  </conditionalFormatting>
  <conditionalFormatting sqref="C1879:C1880">
    <cfRule type="colorScale" priority="1278">
      <colorScale>
        <cfvo type="min"/>
        <cfvo type="percentile" val="50"/>
        <cfvo type="max"/>
        <color rgb="FFF8696B"/>
        <color rgb="FFFFEB84"/>
        <color rgb="FF63BE7B"/>
      </colorScale>
    </cfRule>
  </conditionalFormatting>
  <conditionalFormatting sqref="C1884:C1885">
    <cfRule type="colorScale" priority="1283">
      <colorScale>
        <cfvo type="min"/>
        <cfvo type="percentile" val="50"/>
        <cfvo type="max"/>
        <color rgb="FFF8696B"/>
        <color rgb="FFFFEB84"/>
        <color rgb="FF63BE7B"/>
      </colorScale>
    </cfRule>
  </conditionalFormatting>
  <conditionalFormatting sqref="C1889:C1890">
    <cfRule type="colorScale" priority="1288">
      <colorScale>
        <cfvo type="min"/>
        <cfvo type="percentile" val="50"/>
        <cfvo type="max"/>
        <color rgb="FFF8696B"/>
        <color rgb="FFFFEB84"/>
        <color rgb="FF63BE7B"/>
      </colorScale>
    </cfRule>
  </conditionalFormatting>
  <conditionalFormatting sqref="C1894:C1895">
    <cfRule type="colorScale" priority="1293">
      <colorScale>
        <cfvo type="min"/>
        <cfvo type="percentile" val="50"/>
        <cfvo type="max"/>
        <color rgb="FFF8696B"/>
        <color rgb="FFFFEB84"/>
        <color rgb="FF63BE7B"/>
      </colorScale>
    </cfRule>
  </conditionalFormatting>
  <conditionalFormatting sqref="C1899:C1900">
    <cfRule type="colorScale" priority="1298">
      <colorScale>
        <cfvo type="min"/>
        <cfvo type="percentile" val="50"/>
        <cfvo type="max"/>
        <color rgb="FFF8696B"/>
        <color rgb="FFFFEB84"/>
        <color rgb="FF63BE7B"/>
      </colorScale>
    </cfRule>
  </conditionalFormatting>
  <conditionalFormatting sqref="C1904:C1905">
    <cfRule type="colorScale" priority="1303">
      <colorScale>
        <cfvo type="min"/>
        <cfvo type="percentile" val="50"/>
        <cfvo type="max"/>
        <color rgb="FFF8696B"/>
        <color rgb="FFFFEB84"/>
        <color rgb="FF63BE7B"/>
      </colorScale>
    </cfRule>
  </conditionalFormatting>
  <conditionalFormatting sqref="C1909:C1910">
    <cfRule type="colorScale" priority="1308">
      <colorScale>
        <cfvo type="min"/>
        <cfvo type="percentile" val="50"/>
        <cfvo type="max"/>
        <color rgb="FFF8696B"/>
        <color rgb="FFFFEB84"/>
        <color rgb="FF63BE7B"/>
      </colorScale>
    </cfRule>
  </conditionalFormatting>
  <conditionalFormatting sqref="C1914:C1915">
    <cfRule type="colorScale" priority="1313">
      <colorScale>
        <cfvo type="min"/>
        <cfvo type="percentile" val="50"/>
        <cfvo type="max"/>
        <color rgb="FFF8696B"/>
        <color rgb="FFFFEB84"/>
        <color rgb="FF63BE7B"/>
      </colorScale>
    </cfRule>
  </conditionalFormatting>
  <conditionalFormatting sqref="C1919">
    <cfRule type="colorScale" priority="1318">
      <colorScale>
        <cfvo type="min"/>
        <cfvo type="percentile" val="50"/>
        <cfvo type="max"/>
        <color rgb="FFF8696B"/>
        <color rgb="FFFFEB84"/>
        <color rgb="FF63BE7B"/>
      </colorScale>
    </cfRule>
  </conditionalFormatting>
  <conditionalFormatting sqref="C1923:C1924">
    <cfRule type="colorScale" priority="1323">
      <colorScale>
        <cfvo type="min"/>
        <cfvo type="percentile" val="50"/>
        <cfvo type="max"/>
        <color rgb="FFF8696B"/>
        <color rgb="FFFFEB84"/>
        <color rgb="FF63BE7B"/>
      </colorScale>
    </cfRule>
  </conditionalFormatting>
  <conditionalFormatting sqref="C1928:C1929">
    <cfRule type="colorScale" priority="1328">
      <colorScale>
        <cfvo type="min"/>
        <cfvo type="percentile" val="50"/>
        <cfvo type="max"/>
        <color rgb="FFF8696B"/>
        <color rgb="FFFFEB84"/>
        <color rgb="FF63BE7B"/>
      </colorScale>
    </cfRule>
  </conditionalFormatting>
  <conditionalFormatting sqref="C1933:C1936">
    <cfRule type="colorScale" priority="1333">
      <colorScale>
        <cfvo type="min"/>
        <cfvo type="percentile" val="50"/>
        <cfvo type="max"/>
        <color rgb="FFF8696B"/>
        <color rgb="FFFFEB84"/>
        <color rgb="FF63BE7B"/>
      </colorScale>
    </cfRule>
  </conditionalFormatting>
  <conditionalFormatting sqref="C2014">
    <cfRule type="colorScale" priority="1369">
      <colorScale>
        <cfvo type="min"/>
        <cfvo type="percentile" val="50"/>
        <cfvo type="max"/>
        <color rgb="FFF8696B"/>
        <color rgb="FFFFEB84"/>
        <color rgb="FF63BE7B"/>
      </colorScale>
    </cfRule>
  </conditionalFormatting>
  <conditionalFormatting sqref="C2018:C2019">
    <cfRule type="colorScale" priority="1373">
      <colorScale>
        <cfvo type="min"/>
        <cfvo type="percentile" val="50"/>
        <cfvo type="max"/>
        <color rgb="FFF8696B"/>
        <color rgb="FFFFEB84"/>
        <color rgb="FF63BE7B"/>
      </colorScale>
    </cfRule>
  </conditionalFormatting>
  <conditionalFormatting sqref="C2027:C2028">
    <cfRule type="colorScale" priority="1383">
      <colorScale>
        <cfvo type="min"/>
        <cfvo type="percentile" val="50"/>
        <cfvo type="max"/>
        <color rgb="FFF8696B"/>
        <color rgb="FFFFEB84"/>
        <color rgb="FF63BE7B"/>
      </colorScale>
    </cfRule>
  </conditionalFormatting>
  <conditionalFormatting sqref="C2032:C2033">
    <cfRule type="colorScale" priority="1388">
      <colorScale>
        <cfvo type="min"/>
        <cfvo type="percentile" val="50"/>
        <cfvo type="max"/>
        <color rgb="FFF8696B"/>
        <color rgb="FFFFEB84"/>
        <color rgb="FF63BE7B"/>
      </colorScale>
    </cfRule>
  </conditionalFormatting>
  <conditionalFormatting sqref="C2037:C2038">
    <cfRule type="colorScale" priority="1393">
      <colorScale>
        <cfvo type="min"/>
        <cfvo type="percentile" val="50"/>
        <cfvo type="max"/>
        <color rgb="FFF8696B"/>
        <color rgb="FFFFEB84"/>
        <color rgb="FF63BE7B"/>
      </colorScale>
    </cfRule>
  </conditionalFormatting>
  <conditionalFormatting sqref="C2042:C2043">
    <cfRule type="colorScale" priority="1398">
      <colorScale>
        <cfvo type="min"/>
        <cfvo type="percentile" val="50"/>
        <cfvo type="max"/>
        <color rgb="FFF8696B"/>
        <color rgb="FFFFEB84"/>
        <color rgb="FF63BE7B"/>
      </colorScale>
    </cfRule>
  </conditionalFormatting>
  <conditionalFormatting sqref="C2047:C2048">
    <cfRule type="colorScale" priority="1403">
      <colorScale>
        <cfvo type="min"/>
        <cfvo type="percentile" val="50"/>
        <cfvo type="max"/>
        <color rgb="FFF8696B"/>
        <color rgb="FFFFEB84"/>
        <color rgb="FF63BE7B"/>
      </colorScale>
    </cfRule>
  </conditionalFormatting>
  <conditionalFormatting sqref="C2052:C2053">
    <cfRule type="colorScale" priority="1408">
      <colorScale>
        <cfvo type="min"/>
        <cfvo type="percentile" val="50"/>
        <cfvo type="max"/>
        <color rgb="FFF8696B"/>
        <color rgb="FFFFEB84"/>
        <color rgb="FF63BE7B"/>
      </colorScale>
    </cfRule>
  </conditionalFormatting>
  <conditionalFormatting sqref="C2057:C2058">
    <cfRule type="colorScale" priority="1413">
      <colorScale>
        <cfvo type="min"/>
        <cfvo type="percentile" val="50"/>
        <cfvo type="max"/>
        <color rgb="FFF8696B"/>
        <color rgb="FFFFEB84"/>
        <color rgb="FF63BE7B"/>
      </colorScale>
    </cfRule>
  </conditionalFormatting>
  <conditionalFormatting sqref="C2062:C2063">
    <cfRule type="colorScale" priority="1418">
      <colorScale>
        <cfvo type="min"/>
        <cfvo type="percentile" val="50"/>
        <cfvo type="max"/>
        <color rgb="FFF8696B"/>
        <color rgb="FFFFEB84"/>
        <color rgb="FF63BE7B"/>
      </colorScale>
    </cfRule>
  </conditionalFormatting>
  <conditionalFormatting sqref="C2067">
    <cfRule type="colorScale" priority="1423">
      <colorScale>
        <cfvo type="min"/>
        <cfvo type="percentile" val="50"/>
        <cfvo type="max"/>
        <color rgb="FFF8696B"/>
        <color rgb="FFFFEB84"/>
        <color rgb="FF63BE7B"/>
      </colorScale>
    </cfRule>
  </conditionalFormatting>
  <conditionalFormatting sqref="C2071:C2072">
    <cfRule type="colorScale" priority="1428">
      <colorScale>
        <cfvo type="min"/>
        <cfvo type="percentile" val="50"/>
        <cfvo type="max"/>
        <color rgb="FFF8696B"/>
        <color rgb="FFFFEB84"/>
        <color rgb="FF63BE7B"/>
      </colorScale>
    </cfRule>
  </conditionalFormatting>
  <conditionalFormatting sqref="C2076:C2077">
    <cfRule type="colorScale" priority="1433">
      <colorScale>
        <cfvo type="min"/>
        <cfvo type="percentile" val="50"/>
        <cfvo type="max"/>
        <color rgb="FFF8696B"/>
        <color rgb="FFFFEB84"/>
        <color rgb="FF63BE7B"/>
      </colorScale>
    </cfRule>
  </conditionalFormatting>
  <conditionalFormatting sqref="C2081:C2084">
    <cfRule type="colorScale" priority="1438">
      <colorScale>
        <cfvo type="min"/>
        <cfvo type="percentile" val="50"/>
        <cfvo type="max"/>
        <color rgb="FFF8696B"/>
        <color rgb="FFFFEB84"/>
        <color rgb="FF63BE7B"/>
      </colorScale>
    </cfRule>
  </conditionalFormatting>
  <conditionalFormatting sqref="C4868">
    <cfRule type="colorScale" priority="2644">
      <colorScale>
        <cfvo type="min"/>
        <cfvo type="percentile" val="50"/>
        <cfvo type="max"/>
        <color rgb="FFF8696B"/>
        <color rgb="FFFFEB84"/>
        <color rgb="FF63BE7B"/>
      </colorScale>
    </cfRule>
  </conditionalFormatting>
  <conditionalFormatting sqref="C4872:C4873">
    <cfRule type="colorScale" priority="2648">
      <colorScale>
        <cfvo type="min"/>
        <cfvo type="percentile" val="50"/>
        <cfvo type="max"/>
        <color rgb="FFF8696B"/>
        <color rgb="FFFFEB84"/>
        <color rgb="FF63BE7B"/>
      </colorScale>
    </cfRule>
  </conditionalFormatting>
  <conditionalFormatting sqref="C4881">
    <cfRule type="colorScale" priority="2658">
      <colorScale>
        <cfvo type="min"/>
        <cfvo type="percentile" val="50"/>
        <cfvo type="max"/>
        <color rgb="FFF8696B"/>
        <color rgb="FFFFEB84"/>
        <color rgb="FF63BE7B"/>
      </colorScale>
    </cfRule>
  </conditionalFormatting>
  <conditionalFormatting sqref="C4885">
    <cfRule type="colorScale" priority="2663">
      <colorScale>
        <cfvo type="min"/>
        <cfvo type="percentile" val="50"/>
        <cfvo type="max"/>
        <color rgb="FFF8696B"/>
        <color rgb="FFFFEB84"/>
        <color rgb="FF63BE7B"/>
      </colorScale>
    </cfRule>
  </conditionalFormatting>
  <conditionalFormatting sqref="C4889:C4890">
    <cfRule type="colorScale" priority="2668">
      <colorScale>
        <cfvo type="min"/>
        <cfvo type="percentile" val="50"/>
        <cfvo type="max"/>
        <color rgb="FFF8696B"/>
        <color rgb="FFFFEB84"/>
        <color rgb="FF63BE7B"/>
      </colorScale>
    </cfRule>
  </conditionalFormatting>
  <conditionalFormatting sqref="C4894:C4895">
    <cfRule type="colorScale" priority="2673">
      <colorScale>
        <cfvo type="min"/>
        <cfvo type="percentile" val="50"/>
        <cfvo type="max"/>
        <color rgb="FFF8696B"/>
        <color rgb="FFFFEB84"/>
        <color rgb="FF63BE7B"/>
      </colorScale>
    </cfRule>
  </conditionalFormatting>
  <conditionalFormatting sqref="C4899:C4900">
    <cfRule type="colorScale" priority="2678">
      <colorScale>
        <cfvo type="min"/>
        <cfvo type="percentile" val="50"/>
        <cfvo type="max"/>
        <color rgb="FFF8696B"/>
        <color rgb="FFFFEB84"/>
        <color rgb="FF63BE7B"/>
      </colorScale>
    </cfRule>
  </conditionalFormatting>
  <conditionalFormatting sqref="C4904:C4905">
    <cfRule type="colorScale" priority="2683">
      <colorScale>
        <cfvo type="min"/>
        <cfvo type="percentile" val="50"/>
        <cfvo type="max"/>
        <color rgb="FFF8696B"/>
        <color rgb="FFFFEB84"/>
        <color rgb="FF63BE7B"/>
      </colorScale>
    </cfRule>
  </conditionalFormatting>
  <conditionalFormatting sqref="C4909:C4910">
    <cfRule type="colorScale" priority="2688">
      <colorScale>
        <cfvo type="min"/>
        <cfvo type="percentile" val="50"/>
        <cfvo type="max"/>
        <color rgb="FFF8696B"/>
        <color rgb="FFFFEB84"/>
        <color rgb="FF63BE7B"/>
      </colorScale>
    </cfRule>
  </conditionalFormatting>
  <conditionalFormatting sqref="C4914:C4915">
    <cfRule type="colorScale" priority="2693">
      <colorScale>
        <cfvo type="min"/>
        <cfvo type="percentile" val="50"/>
        <cfvo type="max"/>
        <color rgb="FFF8696B"/>
        <color rgb="FFFFEB84"/>
        <color rgb="FF63BE7B"/>
      </colorScale>
    </cfRule>
  </conditionalFormatting>
  <conditionalFormatting sqref="C4919">
    <cfRule type="colorScale" priority="2698">
      <colorScale>
        <cfvo type="min"/>
        <cfvo type="percentile" val="50"/>
        <cfvo type="max"/>
        <color rgb="FFF8696B"/>
        <color rgb="FFFFEB84"/>
        <color rgb="FF63BE7B"/>
      </colorScale>
    </cfRule>
  </conditionalFormatting>
  <conditionalFormatting sqref="C4923:C4924">
    <cfRule type="colorScale" priority="2703">
      <colorScale>
        <cfvo type="min"/>
        <cfvo type="percentile" val="50"/>
        <cfvo type="max"/>
        <color rgb="FFF8696B"/>
        <color rgb="FFFFEB84"/>
        <color rgb="FF63BE7B"/>
      </colorScale>
    </cfRule>
  </conditionalFormatting>
  <conditionalFormatting sqref="C4928:C4929">
    <cfRule type="colorScale" priority="2708">
      <colorScale>
        <cfvo type="min"/>
        <cfvo type="percentile" val="50"/>
        <cfvo type="max"/>
        <color rgb="FFF8696B"/>
        <color rgb="FFFFEB84"/>
        <color rgb="FF63BE7B"/>
      </colorScale>
    </cfRule>
  </conditionalFormatting>
  <conditionalFormatting sqref="C4933:C4936">
    <cfRule type="colorScale" priority="2713">
      <colorScale>
        <cfvo type="min"/>
        <cfvo type="percentile" val="50"/>
        <cfvo type="max"/>
        <color rgb="FFF8696B"/>
        <color rgb="FFFFEB84"/>
        <color rgb="FF63BE7B"/>
      </colorScale>
    </cfRule>
  </conditionalFormatting>
  <conditionalFormatting sqref="C4940">
    <cfRule type="colorScale" priority="2719">
      <colorScale>
        <cfvo type="min"/>
        <cfvo type="percentile" val="50"/>
        <cfvo type="max"/>
        <color rgb="FFF8696B"/>
        <color rgb="FFFFEB84"/>
        <color rgb="FF63BE7B"/>
      </colorScale>
    </cfRule>
  </conditionalFormatting>
  <conditionalFormatting sqref="C4944:C4945">
    <cfRule type="colorScale" priority="2723">
      <colorScale>
        <cfvo type="min"/>
        <cfvo type="percentile" val="50"/>
        <cfvo type="max"/>
        <color rgb="FFF8696B"/>
        <color rgb="FFFFEB84"/>
        <color rgb="FF63BE7B"/>
      </colorScale>
    </cfRule>
  </conditionalFormatting>
  <conditionalFormatting sqref="C4953:C4954">
    <cfRule type="colorScale" priority="2733">
      <colorScale>
        <cfvo type="min"/>
        <cfvo type="percentile" val="50"/>
        <cfvo type="max"/>
        <color rgb="FFF8696B"/>
        <color rgb="FFFFEB84"/>
        <color rgb="FF63BE7B"/>
      </colorScale>
    </cfRule>
  </conditionalFormatting>
  <conditionalFormatting sqref="C4958">
    <cfRule type="colorScale" priority="2738">
      <colorScale>
        <cfvo type="min"/>
        <cfvo type="percentile" val="50"/>
        <cfvo type="max"/>
        <color rgb="FFF8696B"/>
        <color rgb="FFFFEB84"/>
        <color rgb="FF63BE7B"/>
      </colorScale>
    </cfRule>
  </conditionalFormatting>
  <conditionalFormatting sqref="C4962:C4963">
    <cfRule type="colorScale" priority="2743">
      <colorScale>
        <cfvo type="min"/>
        <cfvo type="percentile" val="50"/>
        <cfvo type="max"/>
        <color rgb="FFF8696B"/>
        <color rgb="FFFFEB84"/>
        <color rgb="FF63BE7B"/>
      </colorScale>
    </cfRule>
  </conditionalFormatting>
  <conditionalFormatting sqref="C4967:C4968">
    <cfRule type="colorScale" priority="2748">
      <colorScale>
        <cfvo type="min"/>
        <cfvo type="percentile" val="50"/>
        <cfvo type="max"/>
        <color rgb="FFF8696B"/>
        <color rgb="FFFFEB84"/>
        <color rgb="FF63BE7B"/>
      </colorScale>
    </cfRule>
  </conditionalFormatting>
  <conditionalFormatting sqref="C4972:C4973">
    <cfRule type="colorScale" priority="2753">
      <colorScale>
        <cfvo type="min"/>
        <cfvo type="percentile" val="50"/>
        <cfvo type="max"/>
        <color rgb="FFF8696B"/>
        <color rgb="FFFFEB84"/>
        <color rgb="FF63BE7B"/>
      </colorScale>
    </cfRule>
  </conditionalFormatting>
  <conditionalFormatting sqref="C4977:C4978">
    <cfRule type="colorScale" priority="2758">
      <colorScale>
        <cfvo type="min"/>
        <cfvo type="percentile" val="50"/>
        <cfvo type="max"/>
        <color rgb="FFF8696B"/>
        <color rgb="FFFFEB84"/>
        <color rgb="FF63BE7B"/>
      </colorScale>
    </cfRule>
  </conditionalFormatting>
  <conditionalFormatting sqref="C4982:C4983">
    <cfRule type="colorScale" priority="2763">
      <colorScale>
        <cfvo type="min"/>
        <cfvo type="percentile" val="50"/>
        <cfvo type="max"/>
        <color rgb="FFF8696B"/>
        <color rgb="FFFFEB84"/>
        <color rgb="FF63BE7B"/>
      </colorScale>
    </cfRule>
  </conditionalFormatting>
  <conditionalFormatting sqref="C4987:C4988">
    <cfRule type="colorScale" priority="2768">
      <colorScale>
        <cfvo type="min"/>
        <cfvo type="percentile" val="50"/>
        <cfvo type="max"/>
        <color rgb="FFF8696B"/>
        <color rgb="FFFFEB84"/>
        <color rgb="FF63BE7B"/>
      </colorScale>
    </cfRule>
  </conditionalFormatting>
  <conditionalFormatting sqref="C4992">
    <cfRule type="colorScale" priority="2773">
      <colorScale>
        <cfvo type="min"/>
        <cfvo type="percentile" val="50"/>
        <cfvo type="max"/>
        <color rgb="FFF8696B"/>
        <color rgb="FFFFEB84"/>
        <color rgb="FF63BE7B"/>
      </colorScale>
    </cfRule>
  </conditionalFormatting>
  <conditionalFormatting sqref="C4996:C4997">
    <cfRule type="colorScale" priority="2778">
      <colorScale>
        <cfvo type="min"/>
        <cfvo type="percentile" val="50"/>
        <cfvo type="max"/>
        <color rgb="FFF8696B"/>
        <color rgb="FFFFEB84"/>
        <color rgb="FF63BE7B"/>
      </colorScale>
    </cfRule>
  </conditionalFormatting>
  <conditionalFormatting sqref="C5001:C5002">
    <cfRule type="colorScale" priority="2783">
      <colorScale>
        <cfvo type="min"/>
        <cfvo type="percentile" val="50"/>
        <cfvo type="max"/>
        <color rgb="FFF8696B"/>
        <color rgb="FFFFEB84"/>
        <color rgb="FF63BE7B"/>
      </colorScale>
    </cfRule>
  </conditionalFormatting>
  <conditionalFormatting sqref="C5006:C5009">
    <cfRule type="colorScale" priority="2788">
      <colorScale>
        <cfvo type="min"/>
        <cfvo type="percentile" val="50"/>
        <cfvo type="max"/>
        <color rgb="FFF8696B"/>
        <color rgb="FFFFEB84"/>
        <color rgb="FF63BE7B"/>
      </colorScale>
    </cfRule>
  </conditionalFormatting>
  <conditionalFormatting sqref="C5013">
    <cfRule type="colorScale" priority="2794">
      <colorScale>
        <cfvo type="min"/>
        <cfvo type="percentile" val="50"/>
        <cfvo type="max"/>
        <color rgb="FFF8696B"/>
        <color rgb="FFFFEB84"/>
        <color rgb="FF63BE7B"/>
      </colorScale>
    </cfRule>
  </conditionalFormatting>
  <conditionalFormatting sqref="C5017">
    <cfRule type="colorScale" priority="2798">
      <colorScale>
        <cfvo type="min"/>
        <cfvo type="percentile" val="50"/>
        <cfvo type="max"/>
        <color rgb="FFF8696B"/>
        <color rgb="FFFFEB84"/>
        <color rgb="FF63BE7B"/>
      </colorScale>
    </cfRule>
  </conditionalFormatting>
  <conditionalFormatting sqref="C5025">
    <cfRule type="colorScale" priority="2808">
      <colorScale>
        <cfvo type="min"/>
        <cfvo type="percentile" val="50"/>
        <cfvo type="max"/>
        <color rgb="FFF8696B"/>
        <color rgb="FFFFEB84"/>
        <color rgb="FF63BE7B"/>
      </colorScale>
    </cfRule>
  </conditionalFormatting>
  <conditionalFormatting sqref="C5029">
    <cfRule type="colorScale" priority="2813">
      <colorScale>
        <cfvo type="min"/>
        <cfvo type="percentile" val="50"/>
        <cfvo type="max"/>
        <color rgb="FFF8696B"/>
        <color rgb="FFFFEB84"/>
        <color rgb="FF63BE7B"/>
      </colorScale>
    </cfRule>
  </conditionalFormatting>
  <conditionalFormatting sqref="C5033:C5034">
    <cfRule type="colorScale" priority="2818">
      <colorScale>
        <cfvo type="min"/>
        <cfvo type="percentile" val="50"/>
        <cfvo type="max"/>
        <color rgb="FFF8696B"/>
        <color rgb="FFFFEB84"/>
        <color rgb="FF63BE7B"/>
      </colorScale>
    </cfRule>
  </conditionalFormatting>
  <conditionalFormatting sqref="C5038:C5039">
    <cfRule type="colorScale" priority="2823">
      <colorScale>
        <cfvo type="min"/>
        <cfvo type="percentile" val="50"/>
        <cfvo type="max"/>
        <color rgb="FFF8696B"/>
        <color rgb="FFFFEB84"/>
        <color rgb="FF63BE7B"/>
      </colorScale>
    </cfRule>
  </conditionalFormatting>
  <conditionalFormatting sqref="C5043:C5044">
    <cfRule type="colorScale" priority="2828">
      <colorScale>
        <cfvo type="min"/>
        <cfvo type="percentile" val="50"/>
        <cfvo type="max"/>
        <color rgb="FFF8696B"/>
        <color rgb="FFFFEB84"/>
        <color rgb="FF63BE7B"/>
      </colorScale>
    </cfRule>
  </conditionalFormatting>
  <conditionalFormatting sqref="C5048:C5049">
    <cfRule type="colorScale" priority="2833">
      <colorScale>
        <cfvo type="min"/>
        <cfvo type="percentile" val="50"/>
        <cfvo type="max"/>
        <color rgb="FFF8696B"/>
        <color rgb="FFFFEB84"/>
        <color rgb="FF63BE7B"/>
      </colorScale>
    </cfRule>
  </conditionalFormatting>
  <conditionalFormatting sqref="C5053:C5054">
    <cfRule type="colorScale" priority="2838">
      <colorScale>
        <cfvo type="min"/>
        <cfvo type="percentile" val="50"/>
        <cfvo type="max"/>
        <color rgb="FFF8696B"/>
        <color rgb="FFFFEB84"/>
        <color rgb="FF63BE7B"/>
      </colorScale>
    </cfRule>
  </conditionalFormatting>
  <conditionalFormatting sqref="C5058:C5059">
    <cfRule type="colorScale" priority="2843">
      <colorScale>
        <cfvo type="min"/>
        <cfvo type="percentile" val="50"/>
        <cfvo type="max"/>
        <color rgb="FFF8696B"/>
        <color rgb="FFFFEB84"/>
        <color rgb="FF63BE7B"/>
      </colorScale>
    </cfRule>
  </conditionalFormatting>
  <conditionalFormatting sqref="C5063">
    <cfRule type="colorScale" priority="2848">
      <colorScale>
        <cfvo type="min"/>
        <cfvo type="percentile" val="50"/>
        <cfvo type="max"/>
        <color rgb="FFF8696B"/>
        <color rgb="FFFFEB84"/>
        <color rgb="FF63BE7B"/>
      </colorScale>
    </cfRule>
  </conditionalFormatting>
  <conditionalFormatting sqref="C5067:C5068">
    <cfRule type="colorScale" priority="2853">
      <colorScale>
        <cfvo type="min"/>
        <cfvo type="percentile" val="50"/>
        <cfvo type="max"/>
        <color rgb="FFF8696B"/>
        <color rgb="FFFFEB84"/>
        <color rgb="FF63BE7B"/>
      </colorScale>
    </cfRule>
  </conditionalFormatting>
  <conditionalFormatting sqref="C5072:C5073">
    <cfRule type="colorScale" priority="2858">
      <colorScale>
        <cfvo type="min"/>
        <cfvo type="percentile" val="50"/>
        <cfvo type="max"/>
        <color rgb="FFF8696B"/>
        <color rgb="FFFFEB84"/>
        <color rgb="FF63BE7B"/>
      </colorScale>
    </cfRule>
  </conditionalFormatting>
  <conditionalFormatting sqref="C5077:C5080">
    <cfRule type="colorScale" priority="2863">
      <colorScale>
        <cfvo type="min"/>
        <cfvo type="percentile" val="50"/>
        <cfvo type="max"/>
        <color rgb="FFF8696B"/>
        <color rgb="FFFFEB84"/>
        <color rgb="FF63BE7B"/>
      </colorScale>
    </cfRule>
  </conditionalFormatting>
  <conditionalFormatting sqref="C5084">
    <cfRule type="colorScale" priority="2869">
      <colorScale>
        <cfvo type="min"/>
        <cfvo type="percentile" val="50"/>
        <cfvo type="max"/>
        <color rgb="FFF8696B"/>
        <color rgb="FFFFEB84"/>
        <color rgb="FF63BE7B"/>
      </colorScale>
    </cfRule>
  </conditionalFormatting>
  <conditionalFormatting sqref="C5088:C5089">
    <cfRule type="colorScale" priority="2873">
      <colorScale>
        <cfvo type="min"/>
        <cfvo type="percentile" val="50"/>
        <cfvo type="max"/>
        <color rgb="FFF8696B"/>
        <color rgb="FFFFEB84"/>
        <color rgb="FF63BE7B"/>
      </colorScale>
    </cfRule>
  </conditionalFormatting>
  <conditionalFormatting sqref="C5097">
    <cfRule type="colorScale" priority="2883">
      <colorScale>
        <cfvo type="min"/>
        <cfvo type="percentile" val="50"/>
        <cfvo type="max"/>
        <color rgb="FFF8696B"/>
        <color rgb="FFFFEB84"/>
        <color rgb="FF63BE7B"/>
      </colorScale>
    </cfRule>
  </conditionalFormatting>
  <conditionalFormatting sqref="C5101">
    <cfRule type="colorScale" priority="2888">
      <colorScale>
        <cfvo type="min"/>
        <cfvo type="percentile" val="50"/>
        <cfvo type="max"/>
        <color rgb="FFF8696B"/>
        <color rgb="FFFFEB84"/>
        <color rgb="FF63BE7B"/>
      </colorScale>
    </cfRule>
  </conditionalFormatting>
  <conditionalFormatting sqref="C5105:C5106">
    <cfRule type="colorScale" priority="2893">
      <colorScale>
        <cfvo type="min"/>
        <cfvo type="percentile" val="50"/>
        <cfvo type="max"/>
        <color rgb="FFF8696B"/>
        <color rgb="FFFFEB84"/>
        <color rgb="FF63BE7B"/>
      </colorScale>
    </cfRule>
  </conditionalFormatting>
  <conditionalFormatting sqref="C5110:C5111">
    <cfRule type="colorScale" priority="2898">
      <colorScale>
        <cfvo type="min"/>
        <cfvo type="percentile" val="50"/>
        <cfvo type="max"/>
        <color rgb="FFF8696B"/>
        <color rgb="FFFFEB84"/>
        <color rgb="FF63BE7B"/>
      </colorScale>
    </cfRule>
  </conditionalFormatting>
  <conditionalFormatting sqref="C5115:C5116">
    <cfRule type="colorScale" priority="2903">
      <colorScale>
        <cfvo type="min"/>
        <cfvo type="percentile" val="50"/>
        <cfvo type="max"/>
        <color rgb="FFF8696B"/>
        <color rgb="FFFFEB84"/>
        <color rgb="FF63BE7B"/>
      </colorScale>
    </cfRule>
  </conditionalFormatting>
  <conditionalFormatting sqref="C5120:C5121">
    <cfRule type="colorScale" priority="2908">
      <colorScale>
        <cfvo type="min"/>
        <cfvo type="percentile" val="50"/>
        <cfvo type="max"/>
        <color rgb="FFF8696B"/>
        <color rgb="FFFFEB84"/>
        <color rgb="FF63BE7B"/>
      </colorScale>
    </cfRule>
  </conditionalFormatting>
  <conditionalFormatting sqref="C5125:C5126">
    <cfRule type="colorScale" priority="2913">
      <colorScale>
        <cfvo type="min"/>
        <cfvo type="percentile" val="50"/>
        <cfvo type="max"/>
        <color rgb="FFF8696B"/>
        <color rgb="FFFFEB84"/>
        <color rgb="FF63BE7B"/>
      </colorScale>
    </cfRule>
  </conditionalFormatting>
  <conditionalFormatting sqref="C5130:C5131">
    <cfRule type="colorScale" priority="2918">
      <colorScale>
        <cfvo type="min"/>
        <cfvo type="percentile" val="50"/>
        <cfvo type="max"/>
        <color rgb="FFF8696B"/>
        <color rgb="FFFFEB84"/>
        <color rgb="FF63BE7B"/>
      </colorScale>
    </cfRule>
  </conditionalFormatting>
  <conditionalFormatting sqref="C5135">
    <cfRule type="colorScale" priority="2923">
      <colorScale>
        <cfvo type="min"/>
        <cfvo type="percentile" val="50"/>
        <cfvo type="max"/>
        <color rgb="FFF8696B"/>
        <color rgb="FFFFEB84"/>
        <color rgb="FF63BE7B"/>
      </colorScale>
    </cfRule>
  </conditionalFormatting>
  <conditionalFormatting sqref="C5139:C5140">
    <cfRule type="colorScale" priority="2928">
      <colorScale>
        <cfvo type="min"/>
        <cfvo type="percentile" val="50"/>
        <cfvo type="max"/>
        <color rgb="FFF8696B"/>
        <color rgb="FFFFEB84"/>
        <color rgb="FF63BE7B"/>
      </colorScale>
    </cfRule>
  </conditionalFormatting>
  <conditionalFormatting sqref="C5144:C5145">
    <cfRule type="colorScale" priority="2933">
      <colorScale>
        <cfvo type="min"/>
        <cfvo type="percentile" val="50"/>
        <cfvo type="max"/>
        <color rgb="FFF8696B"/>
        <color rgb="FFFFEB84"/>
        <color rgb="FF63BE7B"/>
      </colorScale>
    </cfRule>
  </conditionalFormatting>
  <conditionalFormatting sqref="C5149:C5152">
    <cfRule type="colorScale" priority="2938">
      <colorScale>
        <cfvo type="min"/>
        <cfvo type="percentile" val="50"/>
        <cfvo type="max"/>
        <color rgb="FFF8696B"/>
        <color rgb="FFFFEB84"/>
        <color rgb="FF63BE7B"/>
      </colorScale>
    </cfRule>
  </conditionalFormatting>
  <conditionalFormatting sqref="C5156">
    <cfRule type="colorScale" priority="2944">
      <colorScale>
        <cfvo type="min"/>
        <cfvo type="percentile" val="50"/>
        <cfvo type="max"/>
        <color rgb="FFF8696B"/>
        <color rgb="FFFFEB84"/>
        <color rgb="FF63BE7B"/>
      </colorScale>
    </cfRule>
  </conditionalFormatting>
  <conditionalFormatting sqref="C5160">
    <cfRule type="colorScale" priority="2948">
      <colorScale>
        <cfvo type="min"/>
        <cfvo type="percentile" val="50"/>
        <cfvo type="max"/>
        <color rgb="FFF8696B"/>
        <color rgb="FFFFEB84"/>
        <color rgb="FF63BE7B"/>
      </colorScale>
    </cfRule>
  </conditionalFormatting>
  <conditionalFormatting sqref="C5168:C5169">
    <cfRule type="colorScale" priority="2958">
      <colorScale>
        <cfvo type="min"/>
        <cfvo type="percentile" val="50"/>
        <cfvo type="max"/>
        <color rgb="FFF8696B"/>
        <color rgb="FFFFEB84"/>
        <color rgb="FF63BE7B"/>
      </colorScale>
    </cfRule>
  </conditionalFormatting>
  <conditionalFormatting sqref="C5173">
    <cfRule type="colorScale" priority="2963">
      <colorScale>
        <cfvo type="min"/>
        <cfvo type="percentile" val="50"/>
        <cfvo type="max"/>
        <color rgb="FFF8696B"/>
        <color rgb="FFFFEB84"/>
        <color rgb="FF63BE7B"/>
      </colorScale>
    </cfRule>
  </conditionalFormatting>
  <conditionalFormatting sqref="C5177:C5178">
    <cfRule type="colorScale" priority="2968">
      <colorScale>
        <cfvo type="min"/>
        <cfvo type="percentile" val="50"/>
        <cfvo type="max"/>
        <color rgb="FFF8696B"/>
        <color rgb="FFFFEB84"/>
        <color rgb="FF63BE7B"/>
      </colorScale>
    </cfRule>
  </conditionalFormatting>
  <conditionalFormatting sqref="C5182">
    <cfRule type="colorScale" priority="2973">
      <colorScale>
        <cfvo type="min"/>
        <cfvo type="percentile" val="50"/>
        <cfvo type="max"/>
        <color rgb="FFF8696B"/>
        <color rgb="FFFFEB84"/>
        <color rgb="FF63BE7B"/>
      </colorScale>
    </cfRule>
  </conditionalFormatting>
  <conditionalFormatting sqref="C5186:C5187">
    <cfRule type="colorScale" priority="2978">
      <colorScale>
        <cfvo type="min"/>
        <cfvo type="percentile" val="50"/>
        <cfvo type="max"/>
        <color rgb="FFF8696B"/>
        <color rgb="FFFFEB84"/>
        <color rgb="FF63BE7B"/>
      </colorScale>
    </cfRule>
  </conditionalFormatting>
  <conditionalFormatting sqref="C5191:C5192">
    <cfRule type="colorScale" priority="2983">
      <colorScale>
        <cfvo type="min"/>
        <cfvo type="percentile" val="50"/>
        <cfvo type="max"/>
        <color rgb="FFF8696B"/>
        <color rgb="FFFFEB84"/>
        <color rgb="FF63BE7B"/>
      </colorScale>
    </cfRule>
  </conditionalFormatting>
  <conditionalFormatting sqref="C5196:C5197">
    <cfRule type="colorScale" priority="2988">
      <colorScale>
        <cfvo type="min"/>
        <cfvo type="percentile" val="50"/>
        <cfvo type="max"/>
        <color rgb="FFF8696B"/>
        <color rgb="FFFFEB84"/>
        <color rgb="FF63BE7B"/>
      </colorScale>
    </cfRule>
  </conditionalFormatting>
  <conditionalFormatting sqref="C5201:C5202">
    <cfRule type="colorScale" priority="2993">
      <colorScale>
        <cfvo type="min"/>
        <cfvo type="percentile" val="50"/>
        <cfvo type="max"/>
        <color rgb="FFF8696B"/>
        <color rgb="FFFFEB84"/>
        <color rgb="FF63BE7B"/>
      </colorScale>
    </cfRule>
  </conditionalFormatting>
  <conditionalFormatting sqref="C5206">
    <cfRule type="colorScale" priority="2998">
      <colorScale>
        <cfvo type="min"/>
        <cfvo type="percentile" val="50"/>
        <cfvo type="max"/>
        <color rgb="FFF8696B"/>
        <color rgb="FFFFEB84"/>
        <color rgb="FF63BE7B"/>
      </colorScale>
    </cfRule>
  </conditionalFormatting>
  <conditionalFormatting sqref="C5210:C5211">
    <cfRule type="colorScale" priority="3003">
      <colorScale>
        <cfvo type="min"/>
        <cfvo type="percentile" val="50"/>
        <cfvo type="max"/>
        <color rgb="FFF8696B"/>
        <color rgb="FFFFEB84"/>
        <color rgb="FF63BE7B"/>
      </colorScale>
    </cfRule>
  </conditionalFormatting>
  <conditionalFormatting sqref="C5215:C5216">
    <cfRule type="colorScale" priority="3008">
      <colorScale>
        <cfvo type="min"/>
        <cfvo type="percentile" val="50"/>
        <cfvo type="max"/>
        <color rgb="FFF8696B"/>
        <color rgb="FFFFEB84"/>
        <color rgb="FF63BE7B"/>
      </colorScale>
    </cfRule>
  </conditionalFormatting>
  <conditionalFormatting sqref="C5220:C5223">
    <cfRule type="colorScale" priority="3013">
      <colorScale>
        <cfvo type="min"/>
        <cfvo type="percentile" val="50"/>
        <cfvo type="max"/>
        <color rgb="FFF8696B"/>
        <color rgb="FFFFEB84"/>
        <color rgb="FF63BE7B"/>
      </colorScale>
    </cfRule>
  </conditionalFormatting>
  <conditionalFormatting sqref="C5227">
    <cfRule type="colorScale" priority="3019">
      <colorScale>
        <cfvo type="min"/>
        <cfvo type="percentile" val="50"/>
        <cfvo type="max"/>
        <color rgb="FFF8696B"/>
        <color rgb="FFFFEB84"/>
        <color rgb="FF63BE7B"/>
      </colorScale>
    </cfRule>
  </conditionalFormatting>
  <conditionalFormatting sqref="C5231:C5232">
    <cfRule type="colorScale" priority="3023">
      <colorScale>
        <cfvo type="min"/>
        <cfvo type="percentile" val="50"/>
        <cfvo type="max"/>
        <color rgb="FFF8696B"/>
        <color rgb="FFFFEB84"/>
        <color rgb="FF63BE7B"/>
      </colorScale>
    </cfRule>
  </conditionalFormatting>
  <conditionalFormatting sqref="C5240:C5241">
    <cfRule type="colorScale" priority="3033">
      <colorScale>
        <cfvo type="min"/>
        <cfvo type="percentile" val="50"/>
        <cfvo type="max"/>
        <color rgb="FFF8696B"/>
        <color rgb="FFFFEB84"/>
        <color rgb="FF63BE7B"/>
      </colorScale>
    </cfRule>
  </conditionalFormatting>
  <conditionalFormatting sqref="C5245">
    <cfRule type="colorScale" priority="3038">
      <colorScale>
        <cfvo type="min"/>
        <cfvo type="percentile" val="50"/>
        <cfvo type="max"/>
        <color rgb="FFF8696B"/>
        <color rgb="FFFFEB84"/>
        <color rgb="FF63BE7B"/>
      </colorScale>
    </cfRule>
  </conditionalFormatting>
  <conditionalFormatting sqref="C5249:C5250">
    <cfRule type="colorScale" priority="3043">
      <colorScale>
        <cfvo type="min"/>
        <cfvo type="percentile" val="50"/>
        <cfvo type="max"/>
        <color rgb="FFF8696B"/>
        <color rgb="FFFFEB84"/>
        <color rgb="FF63BE7B"/>
      </colorScale>
    </cfRule>
  </conditionalFormatting>
  <conditionalFormatting sqref="C5254:C5255">
    <cfRule type="colorScale" priority="3048">
      <colorScale>
        <cfvo type="min"/>
        <cfvo type="percentile" val="50"/>
        <cfvo type="max"/>
        <color rgb="FFF8696B"/>
        <color rgb="FFFFEB84"/>
        <color rgb="FF63BE7B"/>
      </colorScale>
    </cfRule>
  </conditionalFormatting>
  <conditionalFormatting sqref="C5259:C5260">
    <cfRule type="colorScale" priority="3053">
      <colorScale>
        <cfvo type="min"/>
        <cfvo type="percentile" val="50"/>
        <cfvo type="max"/>
        <color rgb="FFF8696B"/>
        <color rgb="FFFFEB84"/>
        <color rgb="FF63BE7B"/>
      </colorScale>
    </cfRule>
  </conditionalFormatting>
  <conditionalFormatting sqref="C5264:C5265">
    <cfRule type="colorScale" priority="3058">
      <colorScale>
        <cfvo type="min"/>
        <cfvo type="percentile" val="50"/>
        <cfvo type="max"/>
        <color rgb="FFF8696B"/>
        <color rgb="FFFFEB84"/>
        <color rgb="FF63BE7B"/>
      </colorScale>
    </cfRule>
  </conditionalFormatting>
  <conditionalFormatting sqref="C5269:C5270">
    <cfRule type="colorScale" priority="3063">
      <colorScale>
        <cfvo type="min"/>
        <cfvo type="percentile" val="50"/>
        <cfvo type="max"/>
        <color rgb="FFF8696B"/>
        <color rgb="FFFFEB84"/>
        <color rgb="FF63BE7B"/>
      </colorScale>
    </cfRule>
  </conditionalFormatting>
  <conditionalFormatting sqref="C5274:C5275">
    <cfRule type="colorScale" priority="3068">
      <colorScale>
        <cfvo type="min"/>
        <cfvo type="percentile" val="50"/>
        <cfvo type="max"/>
        <color rgb="FFF8696B"/>
        <color rgb="FFFFEB84"/>
        <color rgb="FF63BE7B"/>
      </colorScale>
    </cfRule>
  </conditionalFormatting>
  <conditionalFormatting sqref="C5279">
    <cfRule type="colorScale" priority="3073">
      <colorScale>
        <cfvo type="min"/>
        <cfvo type="percentile" val="50"/>
        <cfvo type="max"/>
        <color rgb="FFF8696B"/>
        <color rgb="FFFFEB84"/>
        <color rgb="FF63BE7B"/>
      </colorScale>
    </cfRule>
  </conditionalFormatting>
  <conditionalFormatting sqref="C5283:C5284">
    <cfRule type="colorScale" priority="3078">
      <colorScale>
        <cfvo type="min"/>
        <cfvo type="percentile" val="50"/>
        <cfvo type="max"/>
        <color rgb="FFF8696B"/>
        <color rgb="FFFFEB84"/>
        <color rgb="FF63BE7B"/>
      </colorScale>
    </cfRule>
  </conditionalFormatting>
  <conditionalFormatting sqref="C5288:C5289">
    <cfRule type="colorScale" priority="3083">
      <colorScale>
        <cfvo type="min"/>
        <cfvo type="percentile" val="50"/>
        <cfvo type="max"/>
        <color rgb="FFF8696B"/>
        <color rgb="FFFFEB84"/>
        <color rgb="FF63BE7B"/>
      </colorScale>
    </cfRule>
  </conditionalFormatting>
  <conditionalFormatting sqref="C5293:C5296">
    <cfRule type="colorScale" priority="3088">
      <colorScale>
        <cfvo type="min"/>
        <cfvo type="percentile" val="50"/>
        <cfvo type="max"/>
        <color rgb="FFF8696B"/>
        <color rgb="FFFFEB84"/>
        <color rgb="FF63BE7B"/>
      </colorScale>
    </cfRule>
  </conditionalFormatting>
  <conditionalFormatting sqref="C5300">
    <cfRule type="colorScale" priority="3094">
      <colorScale>
        <cfvo type="min"/>
        <cfvo type="percentile" val="50"/>
        <cfvo type="max"/>
        <color rgb="FFF8696B"/>
        <color rgb="FFFFEB84"/>
        <color rgb="FF63BE7B"/>
      </colorScale>
    </cfRule>
  </conditionalFormatting>
  <conditionalFormatting sqref="C5304:C5305">
    <cfRule type="colorScale" priority="3098">
      <colorScale>
        <cfvo type="min"/>
        <cfvo type="percentile" val="50"/>
        <cfvo type="max"/>
        <color rgb="FFF8696B"/>
        <color rgb="FFFFEB84"/>
        <color rgb="FF63BE7B"/>
      </colorScale>
    </cfRule>
  </conditionalFormatting>
  <conditionalFormatting sqref="C5313:C5314">
    <cfRule type="colorScale" priority="3108">
      <colorScale>
        <cfvo type="min"/>
        <cfvo type="percentile" val="50"/>
        <cfvo type="max"/>
        <color rgb="FFF8696B"/>
        <color rgb="FFFFEB84"/>
        <color rgb="FF63BE7B"/>
      </colorScale>
    </cfRule>
  </conditionalFormatting>
  <conditionalFormatting sqref="C5318:C5319">
    <cfRule type="colorScale" priority="3113">
      <colorScale>
        <cfvo type="min"/>
        <cfvo type="percentile" val="50"/>
        <cfvo type="max"/>
        <color rgb="FFF8696B"/>
        <color rgb="FFFFEB84"/>
        <color rgb="FF63BE7B"/>
      </colorScale>
    </cfRule>
  </conditionalFormatting>
  <conditionalFormatting sqref="C5323:C5324">
    <cfRule type="colorScale" priority="3118">
      <colorScale>
        <cfvo type="min"/>
        <cfvo type="percentile" val="50"/>
        <cfvo type="max"/>
        <color rgb="FFF8696B"/>
        <color rgb="FFFFEB84"/>
        <color rgb="FF63BE7B"/>
      </colorScale>
    </cfRule>
  </conditionalFormatting>
  <conditionalFormatting sqref="C5328:C5329">
    <cfRule type="colorScale" priority="3123">
      <colorScale>
        <cfvo type="min"/>
        <cfvo type="percentile" val="50"/>
        <cfvo type="max"/>
        <color rgb="FFF8696B"/>
        <color rgb="FFFFEB84"/>
        <color rgb="FF63BE7B"/>
      </colorScale>
    </cfRule>
  </conditionalFormatting>
  <conditionalFormatting sqref="C5333:C5334">
    <cfRule type="colorScale" priority="3128">
      <colorScale>
        <cfvo type="min"/>
        <cfvo type="percentile" val="50"/>
        <cfvo type="max"/>
        <color rgb="FFF8696B"/>
        <color rgb="FFFFEB84"/>
        <color rgb="FF63BE7B"/>
      </colorScale>
    </cfRule>
  </conditionalFormatting>
  <conditionalFormatting sqref="C5338:C5339">
    <cfRule type="colorScale" priority="3133">
      <colorScale>
        <cfvo type="min"/>
        <cfvo type="percentile" val="50"/>
        <cfvo type="max"/>
        <color rgb="FFF8696B"/>
        <color rgb="FFFFEB84"/>
        <color rgb="FF63BE7B"/>
      </colorScale>
    </cfRule>
  </conditionalFormatting>
  <conditionalFormatting sqref="C5343:C5344">
    <cfRule type="colorScale" priority="3138">
      <colorScale>
        <cfvo type="min"/>
        <cfvo type="percentile" val="50"/>
        <cfvo type="max"/>
        <color rgb="FFF8696B"/>
        <color rgb="FFFFEB84"/>
        <color rgb="FF63BE7B"/>
      </colorScale>
    </cfRule>
  </conditionalFormatting>
  <conditionalFormatting sqref="C5348:C5349">
    <cfRule type="colorScale" priority="3143">
      <colorScale>
        <cfvo type="min"/>
        <cfvo type="percentile" val="50"/>
        <cfvo type="max"/>
        <color rgb="FFF8696B"/>
        <color rgb="FFFFEB84"/>
        <color rgb="FF63BE7B"/>
      </colorScale>
    </cfRule>
  </conditionalFormatting>
  <conditionalFormatting sqref="C5353">
    <cfRule type="colorScale" priority="3148">
      <colorScale>
        <cfvo type="min"/>
        <cfvo type="percentile" val="50"/>
        <cfvo type="max"/>
        <color rgb="FFF8696B"/>
        <color rgb="FFFFEB84"/>
        <color rgb="FF63BE7B"/>
      </colorScale>
    </cfRule>
  </conditionalFormatting>
  <conditionalFormatting sqref="C5357:C5358">
    <cfRule type="colorScale" priority="3153">
      <colorScale>
        <cfvo type="min"/>
        <cfvo type="percentile" val="50"/>
        <cfvo type="max"/>
        <color rgb="FFF8696B"/>
        <color rgb="FFFFEB84"/>
        <color rgb="FF63BE7B"/>
      </colorScale>
    </cfRule>
  </conditionalFormatting>
  <conditionalFormatting sqref="C5362:C5363">
    <cfRule type="colorScale" priority="3158">
      <colorScale>
        <cfvo type="min"/>
        <cfvo type="percentile" val="50"/>
        <cfvo type="max"/>
        <color rgb="FFF8696B"/>
        <color rgb="FFFFEB84"/>
        <color rgb="FF63BE7B"/>
      </colorScale>
    </cfRule>
  </conditionalFormatting>
  <conditionalFormatting sqref="C5367:C5370">
    <cfRule type="colorScale" priority="3163">
      <colorScale>
        <cfvo type="min"/>
        <cfvo type="percentile" val="50"/>
        <cfvo type="max"/>
        <color rgb="FFF8696B"/>
        <color rgb="FFFFEB84"/>
        <color rgb="FF63BE7B"/>
      </colorScale>
    </cfRule>
  </conditionalFormatting>
  <conditionalFormatting sqref="C5374">
    <cfRule type="colorScale" priority="3169">
      <colorScale>
        <cfvo type="min"/>
        <cfvo type="percentile" val="50"/>
        <cfvo type="max"/>
        <color rgb="FFF8696B"/>
        <color rgb="FFFFEB84"/>
        <color rgb="FF63BE7B"/>
      </colorScale>
    </cfRule>
  </conditionalFormatting>
  <conditionalFormatting sqref="C5378">
    <cfRule type="colorScale" priority="3173">
      <colorScale>
        <cfvo type="min"/>
        <cfvo type="percentile" val="50"/>
        <cfvo type="max"/>
        <color rgb="FFF8696B"/>
        <color rgb="FFFFEB84"/>
        <color rgb="FF63BE7B"/>
      </colorScale>
    </cfRule>
  </conditionalFormatting>
  <conditionalFormatting sqref="C5386">
    <cfRule type="colorScale" priority="3183">
      <colorScale>
        <cfvo type="min"/>
        <cfvo type="percentile" val="50"/>
        <cfvo type="max"/>
        <color rgb="FFF8696B"/>
        <color rgb="FFFFEB84"/>
        <color rgb="FF63BE7B"/>
      </colorScale>
    </cfRule>
  </conditionalFormatting>
  <conditionalFormatting sqref="C5390">
    <cfRule type="colorScale" priority="3188">
      <colorScale>
        <cfvo type="min"/>
        <cfvo type="percentile" val="50"/>
        <cfvo type="max"/>
        <color rgb="FFF8696B"/>
        <color rgb="FFFFEB84"/>
        <color rgb="FF63BE7B"/>
      </colorScale>
    </cfRule>
  </conditionalFormatting>
  <conditionalFormatting sqref="C5394">
    <cfRule type="colorScale" priority="3193">
      <colorScale>
        <cfvo type="min"/>
        <cfvo type="percentile" val="50"/>
        <cfvo type="max"/>
        <color rgb="FFF8696B"/>
        <color rgb="FFFFEB84"/>
        <color rgb="FF63BE7B"/>
      </colorScale>
    </cfRule>
  </conditionalFormatting>
  <conditionalFormatting sqref="C5398">
    <cfRule type="colorScale" priority="3198">
      <colorScale>
        <cfvo type="min"/>
        <cfvo type="percentile" val="50"/>
        <cfvo type="max"/>
        <color rgb="FFF8696B"/>
        <color rgb="FFFFEB84"/>
        <color rgb="FF63BE7B"/>
      </colorScale>
    </cfRule>
  </conditionalFormatting>
  <conditionalFormatting sqref="C5402">
    <cfRule type="colorScale" priority="3203">
      <colorScale>
        <cfvo type="min"/>
        <cfvo type="percentile" val="50"/>
        <cfvo type="max"/>
        <color rgb="FFF8696B"/>
        <color rgb="FFFFEB84"/>
        <color rgb="FF63BE7B"/>
      </colorScale>
    </cfRule>
  </conditionalFormatting>
  <conditionalFormatting sqref="C5406:C5407">
    <cfRule type="colorScale" priority="3208">
      <colorScale>
        <cfvo type="min"/>
        <cfvo type="percentile" val="50"/>
        <cfvo type="max"/>
        <color rgb="FFF8696B"/>
        <color rgb="FFFFEB84"/>
        <color rgb="FF63BE7B"/>
      </colorScale>
    </cfRule>
  </conditionalFormatting>
  <conditionalFormatting sqref="C5411">
    <cfRule type="colorScale" priority="3213">
      <colorScale>
        <cfvo type="min"/>
        <cfvo type="percentile" val="50"/>
        <cfvo type="max"/>
        <color rgb="FFF8696B"/>
        <color rgb="FFFFEB84"/>
        <color rgb="FF63BE7B"/>
      </colorScale>
    </cfRule>
  </conditionalFormatting>
  <conditionalFormatting sqref="C5415">
    <cfRule type="colorScale" priority="3218">
      <colorScale>
        <cfvo type="min"/>
        <cfvo type="percentile" val="50"/>
        <cfvo type="max"/>
        <color rgb="FFF8696B"/>
        <color rgb="FFFFEB84"/>
        <color rgb="FF63BE7B"/>
      </colorScale>
    </cfRule>
  </conditionalFormatting>
  <conditionalFormatting sqref="C5419">
    <cfRule type="colorScale" priority="3223">
      <colorScale>
        <cfvo type="min"/>
        <cfvo type="percentile" val="50"/>
        <cfvo type="max"/>
        <color rgb="FFF8696B"/>
        <color rgb="FFFFEB84"/>
        <color rgb="FF63BE7B"/>
      </colorScale>
    </cfRule>
  </conditionalFormatting>
  <conditionalFormatting sqref="C5423:C5424">
    <cfRule type="colorScale" priority="3228">
      <colorScale>
        <cfvo type="min"/>
        <cfvo type="percentile" val="50"/>
        <cfvo type="max"/>
        <color rgb="FFF8696B"/>
        <color rgb="FFFFEB84"/>
        <color rgb="FF63BE7B"/>
      </colorScale>
    </cfRule>
  </conditionalFormatting>
  <conditionalFormatting sqref="C5428">
    <cfRule type="colorScale" priority="3233">
      <colorScale>
        <cfvo type="min"/>
        <cfvo type="percentile" val="50"/>
        <cfvo type="max"/>
        <color rgb="FFF8696B"/>
        <color rgb="FFFFEB84"/>
        <color rgb="FF63BE7B"/>
      </colorScale>
    </cfRule>
  </conditionalFormatting>
  <conditionalFormatting sqref="C5432:C5433">
    <cfRule type="colorScale" priority="3238">
      <colorScale>
        <cfvo type="min"/>
        <cfvo type="percentile" val="50"/>
        <cfvo type="max"/>
        <color rgb="FFF8696B"/>
        <color rgb="FFFFEB84"/>
        <color rgb="FF63BE7B"/>
      </colorScale>
    </cfRule>
  </conditionalFormatting>
  <conditionalFormatting sqref="C5437">
    <cfRule type="colorScale" priority="3244">
      <colorScale>
        <cfvo type="min"/>
        <cfvo type="percentile" val="50"/>
        <cfvo type="max"/>
        <color rgb="FFF8696B"/>
        <color rgb="FFFFEB84"/>
        <color rgb="FF63BE7B"/>
      </colorScale>
    </cfRule>
  </conditionalFormatting>
  <conditionalFormatting sqref="C5441:C5442">
    <cfRule type="colorScale" priority="3248">
      <colorScale>
        <cfvo type="min"/>
        <cfvo type="percentile" val="50"/>
        <cfvo type="max"/>
        <color rgb="FFF8696B"/>
        <color rgb="FFFFEB84"/>
        <color rgb="FF63BE7B"/>
      </colorScale>
    </cfRule>
  </conditionalFormatting>
  <conditionalFormatting sqref="C5450:C5451">
    <cfRule type="colorScale" priority="3258">
      <colorScale>
        <cfvo type="min"/>
        <cfvo type="percentile" val="50"/>
        <cfvo type="max"/>
        <color rgb="FFF8696B"/>
        <color rgb="FFFFEB84"/>
        <color rgb="FF63BE7B"/>
      </colorScale>
    </cfRule>
  </conditionalFormatting>
  <conditionalFormatting sqref="C5455:C5456">
    <cfRule type="colorScale" priority="3263">
      <colorScale>
        <cfvo type="min"/>
        <cfvo type="percentile" val="50"/>
        <cfvo type="max"/>
        <color rgb="FFF8696B"/>
        <color rgb="FFFFEB84"/>
        <color rgb="FF63BE7B"/>
      </colorScale>
    </cfRule>
  </conditionalFormatting>
  <conditionalFormatting sqref="C5460:C5461">
    <cfRule type="colorScale" priority="3268">
      <colorScale>
        <cfvo type="min"/>
        <cfvo type="percentile" val="50"/>
        <cfvo type="max"/>
        <color rgb="FFF8696B"/>
        <color rgb="FFFFEB84"/>
        <color rgb="FF63BE7B"/>
      </colorScale>
    </cfRule>
  </conditionalFormatting>
  <conditionalFormatting sqref="C5465:C5466">
    <cfRule type="colorScale" priority="3273">
      <colorScale>
        <cfvo type="min"/>
        <cfvo type="percentile" val="50"/>
        <cfvo type="max"/>
        <color rgb="FFF8696B"/>
        <color rgb="FFFFEB84"/>
        <color rgb="FF63BE7B"/>
      </colorScale>
    </cfRule>
  </conditionalFormatting>
  <conditionalFormatting sqref="C5470:C5471">
    <cfRule type="colorScale" priority="3278">
      <colorScale>
        <cfvo type="min"/>
        <cfvo type="percentile" val="50"/>
        <cfvo type="max"/>
        <color rgb="FFF8696B"/>
        <color rgb="FFFFEB84"/>
        <color rgb="FF63BE7B"/>
      </colorScale>
    </cfRule>
  </conditionalFormatting>
  <conditionalFormatting sqref="C5475:C5476">
    <cfRule type="colorScale" priority="3283">
      <colorScale>
        <cfvo type="min"/>
        <cfvo type="percentile" val="50"/>
        <cfvo type="max"/>
        <color rgb="FFF8696B"/>
        <color rgb="FFFFEB84"/>
        <color rgb="FF63BE7B"/>
      </colorScale>
    </cfRule>
  </conditionalFormatting>
  <conditionalFormatting sqref="C5480:C5481">
    <cfRule type="colorScale" priority="3288">
      <colorScale>
        <cfvo type="min"/>
        <cfvo type="percentile" val="50"/>
        <cfvo type="max"/>
        <color rgb="FFF8696B"/>
        <color rgb="FFFFEB84"/>
        <color rgb="FF63BE7B"/>
      </colorScale>
    </cfRule>
  </conditionalFormatting>
  <conditionalFormatting sqref="C5485:C5486">
    <cfRule type="colorScale" priority="3293">
      <colorScale>
        <cfvo type="min"/>
        <cfvo type="percentile" val="50"/>
        <cfvo type="max"/>
        <color rgb="FFF8696B"/>
        <color rgb="FFFFEB84"/>
        <color rgb="FF63BE7B"/>
      </colorScale>
    </cfRule>
  </conditionalFormatting>
  <conditionalFormatting sqref="C5490">
    <cfRule type="colorScale" priority="3298">
      <colorScale>
        <cfvo type="min"/>
        <cfvo type="percentile" val="50"/>
        <cfvo type="max"/>
        <color rgb="FFF8696B"/>
        <color rgb="FFFFEB84"/>
        <color rgb="FF63BE7B"/>
      </colorScale>
    </cfRule>
  </conditionalFormatting>
  <conditionalFormatting sqref="C5494:C5495">
    <cfRule type="colorScale" priority="3303">
      <colorScale>
        <cfvo type="min"/>
        <cfvo type="percentile" val="50"/>
        <cfvo type="max"/>
        <color rgb="FFF8696B"/>
        <color rgb="FFFFEB84"/>
        <color rgb="FF63BE7B"/>
      </colorScale>
    </cfRule>
  </conditionalFormatting>
  <conditionalFormatting sqref="C5499:C5500">
    <cfRule type="colorScale" priority="3308">
      <colorScale>
        <cfvo type="min"/>
        <cfvo type="percentile" val="50"/>
        <cfvo type="max"/>
        <color rgb="FFF8696B"/>
        <color rgb="FFFFEB84"/>
        <color rgb="FF63BE7B"/>
      </colorScale>
    </cfRule>
  </conditionalFormatting>
  <conditionalFormatting sqref="C5504:C5507">
    <cfRule type="colorScale" priority="3313">
      <colorScale>
        <cfvo type="min"/>
        <cfvo type="percentile" val="50"/>
        <cfvo type="max"/>
        <color rgb="FFF8696B"/>
        <color rgb="FFFFEB84"/>
        <color rgb="FF63BE7B"/>
      </colorScale>
    </cfRule>
  </conditionalFormatting>
  <conditionalFormatting sqref="C5511">
    <cfRule type="colorScale" priority="3319">
      <colorScale>
        <cfvo type="min"/>
        <cfvo type="percentile" val="50"/>
        <cfvo type="max"/>
        <color rgb="FFF8696B"/>
        <color rgb="FFFFEB84"/>
        <color rgb="FF63BE7B"/>
      </colorScale>
    </cfRule>
  </conditionalFormatting>
  <conditionalFormatting sqref="C5515">
    <cfRule type="colorScale" priority="3323">
      <colorScale>
        <cfvo type="min"/>
        <cfvo type="percentile" val="50"/>
        <cfvo type="max"/>
        <color rgb="FFF8696B"/>
        <color rgb="FFFFEB84"/>
        <color rgb="FF63BE7B"/>
      </colorScale>
    </cfRule>
  </conditionalFormatting>
  <conditionalFormatting sqref="C5523">
    <cfRule type="colorScale" priority="3333">
      <colorScale>
        <cfvo type="min"/>
        <cfvo type="percentile" val="50"/>
        <cfvo type="max"/>
        <color rgb="FFF8696B"/>
        <color rgb="FFFFEB84"/>
        <color rgb="FF63BE7B"/>
      </colorScale>
    </cfRule>
  </conditionalFormatting>
  <conditionalFormatting sqref="C5527">
    <cfRule type="colorScale" priority="3338">
      <colorScale>
        <cfvo type="min"/>
        <cfvo type="percentile" val="50"/>
        <cfvo type="max"/>
        <color rgb="FFF8696B"/>
        <color rgb="FFFFEB84"/>
        <color rgb="FF63BE7B"/>
      </colorScale>
    </cfRule>
  </conditionalFormatting>
  <conditionalFormatting sqref="C5531">
    <cfRule type="colorScale" priority="3343">
      <colorScale>
        <cfvo type="min"/>
        <cfvo type="percentile" val="50"/>
        <cfvo type="max"/>
        <color rgb="FFF8696B"/>
        <color rgb="FFFFEB84"/>
        <color rgb="FF63BE7B"/>
      </colorScale>
    </cfRule>
  </conditionalFormatting>
  <conditionalFormatting sqref="C5535">
    <cfRule type="colorScale" priority="3348">
      <colorScale>
        <cfvo type="min"/>
        <cfvo type="percentile" val="50"/>
        <cfvo type="max"/>
        <color rgb="FFF8696B"/>
        <color rgb="FFFFEB84"/>
        <color rgb="FF63BE7B"/>
      </colorScale>
    </cfRule>
  </conditionalFormatting>
  <conditionalFormatting sqref="C5539:C5540">
    <cfRule type="colorScale" priority="3353">
      <colorScale>
        <cfvo type="min"/>
        <cfvo type="percentile" val="50"/>
        <cfvo type="max"/>
        <color rgb="FFF8696B"/>
        <color rgb="FFFFEB84"/>
        <color rgb="FF63BE7B"/>
      </colorScale>
    </cfRule>
  </conditionalFormatting>
  <conditionalFormatting sqref="C5544:C5545">
    <cfRule type="colorScale" priority="3358">
      <colorScale>
        <cfvo type="min"/>
        <cfvo type="percentile" val="50"/>
        <cfvo type="max"/>
        <color rgb="FFF8696B"/>
        <color rgb="FFFFEB84"/>
        <color rgb="FF63BE7B"/>
      </colorScale>
    </cfRule>
  </conditionalFormatting>
  <conditionalFormatting sqref="C5549:C5550">
    <cfRule type="colorScale" priority="3363">
      <colorScale>
        <cfvo type="min"/>
        <cfvo type="percentile" val="50"/>
        <cfvo type="max"/>
        <color rgb="FFF8696B"/>
        <color rgb="FFFFEB84"/>
        <color rgb="FF63BE7B"/>
      </colorScale>
    </cfRule>
  </conditionalFormatting>
  <conditionalFormatting sqref="C5554:C5555">
    <cfRule type="colorScale" priority="3368">
      <colorScale>
        <cfvo type="min"/>
        <cfvo type="percentile" val="50"/>
        <cfvo type="max"/>
        <color rgb="FFF8696B"/>
        <color rgb="FFFFEB84"/>
        <color rgb="FF63BE7B"/>
      </colorScale>
    </cfRule>
  </conditionalFormatting>
  <conditionalFormatting sqref="C5559">
    <cfRule type="colorScale" priority="3373">
      <colorScale>
        <cfvo type="min"/>
        <cfvo type="percentile" val="50"/>
        <cfvo type="max"/>
        <color rgb="FFF8696B"/>
        <color rgb="FFFFEB84"/>
        <color rgb="FF63BE7B"/>
      </colorScale>
    </cfRule>
  </conditionalFormatting>
  <conditionalFormatting sqref="C5563:C5564">
    <cfRule type="colorScale" priority="3378">
      <colorScale>
        <cfvo type="min"/>
        <cfvo type="percentile" val="50"/>
        <cfvo type="max"/>
        <color rgb="FFF8696B"/>
        <color rgb="FFFFEB84"/>
        <color rgb="FF63BE7B"/>
      </colorScale>
    </cfRule>
  </conditionalFormatting>
  <conditionalFormatting sqref="C5568:C5569">
    <cfRule type="colorScale" priority="3383">
      <colorScale>
        <cfvo type="min"/>
        <cfvo type="percentile" val="50"/>
        <cfvo type="max"/>
        <color rgb="FFF8696B"/>
        <color rgb="FFFFEB84"/>
        <color rgb="FF63BE7B"/>
      </colorScale>
    </cfRule>
  </conditionalFormatting>
  <conditionalFormatting sqref="C5573:C5574">
    <cfRule type="colorScale" priority="3388">
      <colorScale>
        <cfvo type="min"/>
        <cfvo type="percentile" val="50"/>
        <cfvo type="max"/>
        <color rgb="FFF8696B"/>
        <color rgb="FFFFEB84"/>
        <color rgb="FF63BE7B"/>
      </colorScale>
    </cfRule>
  </conditionalFormatting>
  <conditionalFormatting sqref="C5578">
    <cfRule type="colorScale" priority="3394">
      <colorScale>
        <cfvo type="min"/>
        <cfvo type="percentile" val="50"/>
        <cfvo type="max"/>
        <color rgb="FFF8696B"/>
        <color rgb="FFFFEB84"/>
        <color rgb="FF63BE7B"/>
      </colorScale>
    </cfRule>
  </conditionalFormatting>
  <conditionalFormatting sqref="C5582:C5583">
    <cfRule type="colorScale" priority="3398">
      <colorScale>
        <cfvo type="min"/>
        <cfvo type="percentile" val="50"/>
        <cfvo type="max"/>
        <color rgb="FFF8696B"/>
        <color rgb="FFFFEB84"/>
        <color rgb="FF63BE7B"/>
      </colorScale>
    </cfRule>
  </conditionalFormatting>
  <conditionalFormatting sqref="C5591:C5592">
    <cfRule type="colorScale" priority="3408">
      <colorScale>
        <cfvo type="min"/>
        <cfvo type="percentile" val="50"/>
        <cfvo type="max"/>
        <color rgb="FFF8696B"/>
        <color rgb="FFFFEB84"/>
        <color rgb="FF63BE7B"/>
      </colorScale>
    </cfRule>
  </conditionalFormatting>
  <conditionalFormatting sqref="C5596">
    <cfRule type="colorScale" priority="3413">
      <colorScale>
        <cfvo type="min"/>
        <cfvo type="percentile" val="50"/>
        <cfvo type="max"/>
        <color rgb="FFF8696B"/>
        <color rgb="FFFFEB84"/>
        <color rgb="FF63BE7B"/>
      </colorScale>
    </cfRule>
  </conditionalFormatting>
  <conditionalFormatting sqref="C5600:C5601">
    <cfRule type="colorScale" priority="3418">
      <colorScale>
        <cfvo type="min"/>
        <cfvo type="percentile" val="50"/>
        <cfvo type="max"/>
        <color rgb="FFF8696B"/>
        <color rgb="FFFFEB84"/>
        <color rgb="FF63BE7B"/>
      </colorScale>
    </cfRule>
  </conditionalFormatting>
  <conditionalFormatting sqref="C5605:C5606">
    <cfRule type="colorScale" priority="3423">
      <colorScale>
        <cfvo type="min"/>
        <cfvo type="percentile" val="50"/>
        <cfvo type="max"/>
        <color rgb="FFF8696B"/>
        <color rgb="FFFFEB84"/>
        <color rgb="FF63BE7B"/>
      </colorScale>
    </cfRule>
  </conditionalFormatting>
  <conditionalFormatting sqref="C5610:C5611">
    <cfRule type="colorScale" priority="3428">
      <colorScale>
        <cfvo type="min"/>
        <cfvo type="percentile" val="50"/>
        <cfvo type="max"/>
        <color rgb="FFF8696B"/>
        <color rgb="FFFFEB84"/>
        <color rgb="FF63BE7B"/>
      </colorScale>
    </cfRule>
  </conditionalFormatting>
  <conditionalFormatting sqref="C5615:C5616">
    <cfRule type="colorScale" priority="3433">
      <colorScale>
        <cfvo type="min"/>
        <cfvo type="percentile" val="50"/>
        <cfvo type="max"/>
        <color rgb="FFF8696B"/>
        <color rgb="FFFFEB84"/>
        <color rgb="FF63BE7B"/>
      </colorScale>
    </cfRule>
  </conditionalFormatting>
  <conditionalFormatting sqref="C5620">
    <cfRule type="colorScale" priority="3438">
      <colorScale>
        <cfvo type="min"/>
        <cfvo type="percentile" val="50"/>
        <cfvo type="max"/>
        <color rgb="FFF8696B"/>
        <color rgb="FFFFEB84"/>
        <color rgb="FF63BE7B"/>
      </colorScale>
    </cfRule>
  </conditionalFormatting>
  <conditionalFormatting sqref="C5624:C5625">
    <cfRule type="colorScale" priority="3443">
      <colorScale>
        <cfvo type="min"/>
        <cfvo type="percentile" val="50"/>
        <cfvo type="max"/>
        <color rgb="FFF8696B"/>
        <color rgb="FFFFEB84"/>
        <color rgb="FF63BE7B"/>
      </colorScale>
    </cfRule>
  </conditionalFormatting>
  <conditionalFormatting sqref="C5629">
    <cfRule type="colorScale" priority="3448">
      <colorScale>
        <cfvo type="min"/>
        <cfvo type="percentile" val="50"/>
        <cfvo type="max"/>
        <color rgb="FFF8696B"/>
        <color rgb="FFFFEB84"/>
        <color rgb="FF63BE7B"/>
      </colorScale>
    </cfRule>
  </conditionalFormatting>
  <conditionalFormatting sqref="C5633:C5634">
    <cfRule type="colorScale" priority="3453">
      <colorScale>
        <cfvo type="min"/>
        <cfvo type="percentile" val="50"/>
        <cfvo type="max"/>
        <color rgb="FFF8696B"/>
        <color rgb="FFFFEB84"/>
        <color rgb="FF63BE7B"/>
      </colorScale>
    </cfRule>
  </conditionalFormatting>
  <conditionalFormatting sqref="C5638">
    <cfRule type="colorScale" priority="3458">
      <colorScale>
        <cfvo type="min"/>
        <cfvo type="percentile" val="50"/>
        <cfvo type="max"/>
        <color rgb="FFF8696B"/>
        <color rgb="FFFFEB84"/>
        <color rgb="FF63BE7B"/>
      </colorScale>
    </cfRule>
  </conditionalFormatting>
  <conditionalFormatting sqref="C5642:C5645">
    <cfRule type="colorScale" priority="3463">
      <colorScale>
        <cfvo type="min"/>
        <cfvo type="percentile" val="50"/>
        <cfvo type="max"/>
        <color rgb="FFF8696B"/>
        <color rgb="FFFFEB84"/>
        <color rgb="FF63BE7B"/>
      </colorScale>
    </cfRule>
  </conditionalFormatting>
  <conditionalFormatting sqref="C5649">
    <cfRule type="colorScale" priority="3469">
      <colorScale>
        <cfvo type="min"/>
        <cfvo type="percentile" val="50"/>
        <cfvo type="max"/>
        <color rgb="FFF8696B"/>
        <color rgb="FFFFEB84"/>
        <color rgb="FF63BE7B"/>
      </colorScale>
    </cfRule>
  </conditionalFormatting>
  <conditionalFormatting sqref="C5653">
    <cfRule type="colorScale" priority="3473">
      <colorScale>
        <cfvo type="min"/>
        <cfvo type="percentile" val="50"/>
        <cfvo type="max"/>
        <color rgb="FFF8696B"/>
        <color rgb="FFFFEB84"/>
        <color rgb="FF63BE7B"/>
      </colorScale>
    </cfRule>
  </conditionalFormatting>
  <conditionalFormatting sqref="C5661">
    <cfRule type="colorScale" priority="3483">
      <colorScale>
        <cfvo type="min"/>
        <cfvo type="percentile" val="50"/>
        <cfvo type="max"/>
        <color rgb="FFF8696B"/>
        <color rgb="FFFFEB84"/>
        <color rgb="FF63BE7B"/>
      </colorScale>
    </cfRule>
  </conditionalFormatting>
  <conditionalFormatting sqref="C5665">
    <cfRule type="colorScale" priority="3488">
      <colorScale>
        <cfvo type="min"/>
        <cfvo type="percentile" val="50"/>
        <cfvo type="max"/>
        <color rgb="FFF8696B"/>
        <color rgb="FFFFEB84"/>
        <color rgb="FF63BE7B"/>
      </colorScale>
    </cfRule>
  </conditionalFormatting>
  <conditionalFormatting sqref="C5669">
    <cfRule type="colorScale" priority="3493">
      <colorScale>
        <cfvo type="min"/>
        <cfvo type="percentile" val="50"/>
        <cfvo type="max"/>
        <color rgb="FFF8696B"/>
        <color rgb="FFFFEB84"/>
        <color rgb="FF63BE7B"/>
      </colorScale>
    </cfRule>
  </conditionalFormatting>
  <conditionalFormatting sqref="C5673">
    <cfRule type="colorScale" priority="3498">
      <colorScale>
        <cfvo type="min"/>
        <cfvo type="percentile" val="50"/>
        <cfvo type="max"/>
        <color rgb="FFF8696B"/>
        <color rgb="FFFFEB84"/>
        <color rgb="FF63BE7B"/>
      </colorScale>
    </cfRule>
  </conditionalFormatting>
  <conditionalFormatting sqref="C5677">
    <cfRule type="colorScale" priority="3503">
      <colorScale>
        <cfvo type="min"/>
        <cfvo type="percentile" val="50"/>
        <cfvo type="max"/>
        <color rgb="FFF8696B"/>
        <color rgb="FFFFEB84"/>
        <color rgb="FF63BE7B"/>
      </colorScale>
    </cfRule>
  </conditionalFormatting>
  <conditionalFormatting sqref="C5681">
    <cfRule type="colorScale" priority="3508">
      <colorScale>
        <cfvo type="min"/>
        <cfvo type="percentile" val="50"/>
        <cfvo type="max"/>
        <color rgb="FFF8696B"/>
        <color rgb="FFFFEB84"/>
        <color rgb="FF63BE7B"/>
      </colorScale>
    </cfRule>
  </conditionalFormatting>
  <conditionalFormatting sqref="C5685">
    <cfRule type="colorScale" priority="3513">
      <colorScale>
        <cfvo type="min"/>
        <cfvo type="percentile" val="50"/>
        <cfvo type="max"/>
        <color rgb="FFF8696B"/>
        <color rgb="FFFFEB84"/>
        <color rgb="FF63BE7B"/>
      </colorScale>
    </cfRule>
  </conditionalFormatting>
  <conditionalFormatting sqref="C5689">
    <cfRule type="colorScale" priority="3518">
      <colorScale>
        <cfvo type="min"/>
        <cfvo type="percentile" val="50"/>
        <cfvo type="max"/>
        <color rgb="FFF8696B"/>
        <color rgb="FFFFEB84"/>
        <color rgb="FF63BE7B"/>
      </colorScale>
    </cfRule>
  </conditionalFormatting>
  <conditionalFormatting sqref="C5693">
    <cfRule type="colorScale" priority="3523">
      <colorScale>
        <cfvo type="min"/>
        <cfvo type="percentile" val="50"/>
        <cfvo type="max"/>
        <color rgb="FFF8696B"/>
        <color rgb="FFFFEB84"/>
        <color rgb="FF63BE7B"/>
      </colorScale>
    </cfRule>
  </conditionalFormatting>
  <conditionalFormatting sqref="C5697">
    <cfRule type="colorScale" priority="3528">
      <colorScale>
        <cfvo type="min"/>
        <cfvo type="percentile" val="50"/>
        <cfvo type="max"/>
        <color rgb="FFF8696B"/>
        <color rgb="FFFFEB84"/>
        <color rgb="FF63BE7B"/>
      </colorScale>
    </cfRule>
  </conditionalFormatting>
  <conditionalFormatting sqref="C5701">
    <cfRule type="colorScale" priority="3533">
      <colorScale>
        <cfvo type="min"/>
        <cfvo type="percentile" val="50"/>
        <cfvo type="max"/>
        <color rgb="FFF8696B"/>
        <color rgb="FFFFEB84"/>
        <color rgb="FF63BE7B"/>
      </colorScale>
    </cfRule>
  </conditionalFormatting>
  <conditionalFormatting sqref="C5705">
    <cfRule type="colorScale" priority="3538">
      <colorScale>
        <cfvo type="min"/>
        <cfvo type="percentile" val="50"/>
        <cfvo type="max"/>
        <color rgb="FFF8696B"/>
        <color rgb="FFFFEB84"/>
        <color rgb="FF63BE7B"/>
      </colorScale>
    </cfRule>
  </conditionalFormatting>
  <conditionalFormatting sqref="C5709">
    <cfRule type="colorScale" priority="3544">
      <colorScale>
        <cfvo type="min"/>
        <cfvo type="percentile" val="50"/>
        <cfvo type="max"/>
        <color rgb="FFF8696B"/>
        <color rgb="FFFFEB84"/>
        <color rgb="FF63BE7B"/>
      </colorScale>
    </cfRule>
  </conditionalFormatting>
  <conditionalFormatting sqref="C5713:C5714">
    <cfRule type="colorScale" priority="3548">
      <colorScale>
        <cfvo type="min"/>
        <cfvo type="percentile" val="50"/>
        <cfvo type="max"/>
        <color rgb="FFF8696B"/>
        <color rgb="FFFFEB84"/>
        <color rgb="FF63BE7B"/>
      </colorScale>
    </cfRule>
  </conditionalFormatting>
  <conditionalFormatting sqref="C5722:C5723">
    <cfRule type="colorScale" priority="3558">
      <colorScale>
        <cfvo type="min"/>
        <cfvo type="percentile" val="50"/>
        <cfvo type="max"/>
        <color rgb="FFF8696B"/>
        <color rgb="FFFFEB84"/>
        <color rgb="FF63BE7B"/>
      </colorScale>
    </cfRule>
  </conditionalFormatting>
  <conditionalFormatting sqref="C5727:C5728">
    <cfRule type="colorScale" priority="3563">
      <colorScale>
        <cfvo type="min"/>
        <cfvo type="percentile" val="50"/>
        <cfvo type="max"/>
        <color rgb="FFF8696B"/>
        <color rgb="FFFFEB84"/>
        <color rgb="FF63BE7B"/>
      </colorScale>
    </cfRule>
  </conditionalFormatting>
  <conditionalFormatting sqref="C5732:C5733">
    <cfRule type="colorScale" priority="3568">
      <colorScale>
        <cfvo type="min"/>
        <cfvo type="percentile" val="50"/>
        <cfvo type="max"/>
        <color rgb="FFF8696B"/>
        <color rgb="FFFFEB84"/>
        <color rgb="FF63BE7B"/>
      </colorScale>
    </cfRule>
  </conditionalFormatting>
  <conditionalFormatting sqref="C5737:C5738">
    <cfRule type="colorScale" priority="3573">
      <colorScale>
        <cfvo type="min"/>
        <cfvo type="percentile" val="50"/>
        <cfvo type="max"/>
        <color rgb="FFF8696B"/>
        <color rgb="FFFFEB84"/>
        <color rgb="FF63BE7B"/>
      </colorScale>
    </cfRule>
  </conditionalFormatting>
  <conditionalFormatting sqref="C5742:C5743">
    <cfRule type="colorScale" priority="3578">
      <colorScale>
        <cfvo type="min"/>
        <cfvo type="percentile" val="50"/>
        <cfvo type="max"/>
        <color rgb="FFF8696B"/>
        <color rgb="FFFFEB84"/>
        <color rgb="FF63BE7B"/>
      </colorScale>
    </cfRule>
  </conditionalFormatting>
  <conditionalFormatting sqref="C5747:C5748">
    <cfRule type="colorScale" priority="3583">
      <colorScale>
        <cfvo type="min"/>
        <cfvo type="percentile" val="50"/>
        <cfvo type="max"/>
        <color rgb="FFF8696B"/>
        <color rgb="FFFFEB84"/>
        <color rgb="FF63BE7B"/>
      </colorScale>
    </cfRule>
  </conditionalFormatting>
  <conditionalFormatting sqref="C5752:C5753">
    <cfRule type="colorScale" priority="3588">
      <colorScale>
        <cfvo type="min"/>
        <cfvo type="percentile" val="50"/>
        <cfvo type="max"/>
        <color rgb="FFF8696B"/>
        <color rgb="FFFFEB84"/>
        <color rgb="FF63BE7B"/>
      </colorScale>
    </cfRule>
  </conditionalFormatting>
  <conditionalFormatting sqref="C5757:C5758">
    <cfRule type="colorScale" priority="3593">
      <colorScale>
        <cfvo type="min"/>
        <cfvo type="percentile" val="50"/>
        <cfvo type="max"/>
        <color rgb="FFF8696B"/>
        <color rgb="FFFFEB84"/>
        <color rgb="FF63BE7B"/>
      </colorScale>
    </cfRule>
  </conditionalFormatting>
  <conditionalFormatting sqref="C5762">
    <cfRule type="colorScale" priority="3598">
      <colorScale>
        <cfvo type="min"/>
        <cfvo type="percentile" val="50"/>
        <cfvo type="max"/>
        <color rgb="FFF8696B"/>
        <color rgb="FFFFEB84"/>
        <color rgb="FF63BE7B"/>
      </colorScale>
    </cfRule>
  </conditionalFormatting>
  <conditionalFormatting sqref="C5766:C5767">
    <cfRule type="colorScale" priority="3603">
      <colorScale>
        <cfvo type="min"/>
        <cfvo type="percentile" val="50"/>
        <cfvo type="max"/>
        <color rgb="FFF8696B"/>
        <color rgb="FFFFEB84"/>
        <color rgb="FF63BE7B"/>
      </colorScale>
    </cfRule>
  </conditionalFormatting>
  <conditionalFormatting sqref="C5771:C5772">
    <cfRule type="colorScale" priority="3608">
      <colorScale>
        <cfvo type="min"/>
        <cfvo type="percentile" val="50"/>
        <cfvo type="max"/>
        <color rgb="FFF8696B"/>
        <color rgb="FFFFEB84"/>
        <color rgb="FF63BE7B"/>
      </colorScale>
    </cfRule>
  </conditionalFormatting>
  <conditionalFormatting sqref="C5776:C5779">
    <cfRule type="colorScale" priority="3613">
      <colorScale>
        <cfvo type="min"/>
        <cfvo type="percentile" val="50"/>
        <cfvo type="max"/>
        <color rgb="FFF8696B"/>
        <color rgb="FFFFEB84"/>
        <color rgb="FF63BE7B"/>
      </colorScale>
    </cfRule>
  </conditionalFormatting>
  <conditionalFormatting sqref="C5783">
    <cfRule type="colorScale" priority="3619">
      <colorScale>
        <cfvo type="min"/>
        <cfvo type="percentile" val="50"/>
        <cfvo type="max"/>
        <color rgb="FFF8696B"/>
        <color rgb="FFFFEB84"/>
        <color rgb="FF63BE7B"/>
      </colorScale>
    </cfRule>
  </conditionalFormatting>
  <conditionalFormatting sqref="C5787:C5788">
    <cfRule type="colorScale" priority="3623">
      <colorScale>
        <cfvo type="min"/>
        <cfvo type="percentile" val="50"/>
        <cfvo type="max"/>
        <color rgb="FFF8696B"/>
        <color rgb="FFFFEB84"/>
        <color rgb="FF63BE7B"/>
      </colorScale>
    </cfRule>
  </conditionalFormatting>
  <conditionalFormatting sqref="C5796">
    <cfRule type="colorScale" priority="3633">
      <colorScale>
        <cfvo type="min"/>
        <cfvo type="percentile" val="50"/>
        <cfvo type="max"/>
        <color rgb="FFF8696B"/>
        <color rgb="FFFFEB84"/>
        <color rgb="FF63BE7B"/>
      </colorScale>
    </cfRule>
  </conditionalFormatting>
  <conditionalFormatting sqref="C5800">
    <cfRule type="colorScale" priority="3638">
      <colorScale>
        <cfvo type="min"/>
        <cfvo type="percentile" val="50"/>
        <cfvo type="max"/>
        <color rgb="FFF8696B"/>
        <color rgb="FFFFEB84"/>
        <color rgb="FF63BE7B"/>
      </colorScale>
    </cfRule>
  </conditionalFormatting>
  <conditionalFormatting sqref="C5804:C5805">
    <cfRule type="colorScale" priority="3643">
      <colorScale>
        <cfvo type="min"/>
        <cfvo type="percentile" val="50"/>
        <cfvo type="max"/>
        <color rgb="FFF8696B"/>
        <color rgb="FFFFEB84"/>
        <color rgb="FF63BE7B"/>
      </colorScale>
    </cfRule>
  </conditionalFormatting>
  <conditionalFormatting sqref="C5809">
    <cfRule type="colorScale" priority="3648">
      <colorScale>
        <cfvo type="min"/>
        <cfvo type="percentile" val="50"/>
        <cfvo type="max"/>
        <color rgb="FFF8696B"/>
        <color rgb="FFFFEB84"/>
        <color rgb="FF63BE7B"/>
      </colorScale>
    </cfRule>
  </conditionalFormatting>
  <conditionalFormatting sqref="C5813:C5814">
    <cfRule type="colorScale" priority="3653">
      <colorScale>
        <cfvo type="min"/>
        <cfvo type="percentile" val="50"/>
        <cfvo type="max"/>
        <color rgb="FFF8696B"/>
        <color rgb="FFFFEB84"/>
        <color rgb="FF63BE7B"/>
      </colorScale>
    </cfRule>
  </conditionalFormatting>
  <conditionalFormatting sqref="C5818">
    <cfRule type="colorScale" priority="3658">
      <colorScale>
        <cfvo type="min"/>
        <cfvo type="percentile" val="50"/>
        <cfvo type="max"/>
        <color rgb="FFF8696B"/>
        <color rgb="FFFFEB84"/>
        <color rgb="FF63BE7B"/>
      </colorScale>
    </cfRule>
  </conditionalFormatting>
  <conditionalFormatting sqref="C5822:C5823">
    <cfRule type="colorScale" priority="3663">
      <colorScale>
        <cfvo type="min"/>
        <cfvo type="percentile" val="50"/>
        <cfvo type="max"/>
        <color rgb="FFF8696B"/>
        <color rgb="FFFFEB84"/>
        <color rgb="FF63BE7B"/>
      </colorScale>
    </cfRule>
  </conditionalFormatting>
  <conditionalFormatting sqref="C5827">
    <cfRule type="colorScale" priority="3668">
      <colorScale>
        <cfvo type="min"/>
        <cfvo type="percentile" val="50"/>
        <cfvo type="max"/>
        <color rgb="FFF8696B"/>
        <color rgb="FFFFEB84"/>
        <color rgb="FF63BE7B"/>
      </colorScale>
    </cfRule>
  </conditionalFormatting>
  <conditionalFormatting sqref="C5831">
    <cfRule type="colorScale" priority="3673">
      <colorScale>
        <cfvo type="min"/>
        <cfvo type="percentile" val="50"/>
        <cfvo type="max"/>
        <color rgb="FFF8696B"/>
        <color rgb="FFFFEB84"/>
        <color rgb="FF63BE7B"/>
      </colorScale>
    </cfRule>
  </conditionalFormatting>
  <conditionalFormatting sqref="C5835:C5836">
    <cfRule type="colorScale" priority="3678">
      <colorScale>
        <cfvo type="min"/>
        <cfvo type="percentile" val="50"/>
        <cfvo type="max"/>
        <color rgb="FFF8696B"/>
        <color rgb="FFFFEB84"/>
        <color rgb="FF63BE7B"/>
      </colorScale>
    </cfRule>
  </conditionalFormatting>
  <conditionalFormatting sqref="C5840:C5841">
    <cfRule type="colorScale" priority="3683">
      <colorScale>
        <cfvo type="min"/>
        <cfvo type="percentile" val="50"/>
        <cfvo type="max"/>
        <color rgb="FFF8696B"/>
        <color rgb="FFFFEB84"/>
        <color rgb="FF63BE7B"/>
      </colorScale>
    </cfRule>
  </conditionalFormatting>
  <conditionalFormatting sqref="C5845:C5847">
    <cfRule type="colorScale" priority="3688">
      <colorScale>
        <cfvo type="min"/>
        <cfvo type="percentile" val="50"/>
        <cfvo type="max"/>
        <color rgb="FFF8696B"/>
        <color rgb="FFFFEB84"/>
        <color rgb="FF63BE7B"/>
      </colorScale>
    </cfRule>
  </conditionalFormatting>
  <conditionalFormatting sqref="C5851">
    <cfRule type="colorScale" priority="3694">
      <colorScale>
        <cfvo type="min"/>
        <cfvo type="percentile" val="50"/>
        <cfvo type="max"/>
        <color rgb="FFF8696B"/>
        <color rgb="FFFFEB84"/>
        <color rgb="FF63BE7B"/>
      </colorScale>
    </cfRule>
  </conditionalFormatting>
  <conditionalFormatting sqref="C5855:C5856">
    <cfRule type="colorScale" priority="3698">
      <colorScale>
        <cfvo type="min"/>
        <cfvo type="percentile" val="50"/>
        <cfvo type="max"/>
        <color rgb="FFF8696B"/>
        <color rgb="FFFFEB84"/>
        <color rgb="FF63BE7B"/>
      </colorScale>
    </cfRule>
  </conditionalFormatting>
  <conditionalFormatting sqref="C5864:C5865">
    <cfRule type="colorScale" priority="3708">
      <colorScale>
        <cfvo type="min"/>
        <cfvo type="percentile" val="50"/>
        <cfvo type="max"/>
        <color rgb="FFF8696B"/>
        <color rgb="FFFFEB84"/>
        <color rgb="FF63BE7B"/>
      </colorScale>
    </cfRule>
  </conditionalFormatting>
  <conditionalFormatting sqref="C5869">
    <cfRule type="colorScale" priority="3713">
      <colorScale>
        <cfvo type="min"/>
        <cfvo type="percentile" val="50"/>
        <cfvo type="max"/>
        <color rgb="FFF8696B"/>
        <color rgb="FFFFEB84"/>
        <color rgb="FF63BE7B"/>
      </colorScale>
    </cfRule>
  </conditionalFormatting>
  <conditionalFormatting sqref="C5873:C5874">
    <cfRule type="colorScale" priority="3718">
      <colorScale>
        <cfvo type="min"/>
        <cfvo type="percentile" val="50"/>
        <cfvo type="max"/>
        <color rgb="FFF8696B"/>
        <color rgb="FFFFEB84"/>
        <color rgb="FF63BE7B"/>
      </colorScale>
    </cfRule>
  </conditionalFormatting>
  <conditionalFormatting sqref="C5878:C5879">
    <cfRule type="colorScale" priority="3723">
      <colorScale>
        <cfvo type="min"/>
        <cfvo type="percentile" val="50"/>
        <cfvo type="max"/>
        <color rgb="FFF8696B"/>
        <color rgb="FFFFEB84"/>
        <color rgb="FF63BE7B"/>
      </colorScale>
    </cfRule>
  </conditionalFormatting>
  <conditionalFormatting sqref="C5883:C5884">
    <cfRule type="colorScale" priority="3728">
      <colorScale>
        <cfvo type="min"/>
        <cfvo type="percentile" val="50"/>
        <cfvo type="max"/>
        <color rgb="FFF8696B"/>
        <color rgb="FFFFEB84"/>
        <color rgb="FF63BE7B"/>
      </colorScale>
    </cfRule>
  </conditionalFormatting>
  <conditionalFormatting sqref="C5888:C5889">
    <cfRule type="colorScale" priority="3733">
      <colorScale>
        <cfvo type="min"/>
        <cfvo type="percentile" val="50"/>
        <cfvo type="max"/>
        <color rgb="FFF8696B"/>
        <color rgb="FFFFEB84"/>
        <color rgb="FF63BE7B"/>
      </colorScale>
    </cfRule>
  </conditionalFormatting>
  <conditionalFormatting sqref="C5893:C5894">
    <cfRule type="colorScale" priority="3738">
      <colorScale>
        <cfvo type="min"/>
        <cfvo type="percentile" val="50"/>
        <cfvo type="max"/>
        <color rgb="FFF8696B"/>
        <color rgb="FFFFEB84"/>
        <color rgb="FF63BE7B"/>
      </colorScale>
    </cfRule>
  </conditionalFormatting>
  <conditionalFormatting sqref="C5898:C5899">
    <cfRule type="colorScale" priority="3743">
      <colorScale>
        <cfvo type="min"/>
        <cfvo type="percentile" val="50"/>
        <cfvo type="max"/>
        <color rgb="FFF8696B"/>
        <color rgb="FFFFEB84"/>
        <color rgb="FF63BE7B"/>
      </colorScale>
    </cfRule>
  </conditionalFormatting>
  <conditionalFormatting sqref="C5903">
    <cfRule type="colorScale" priority="3748">
      <colorScale>
        <cfvo type="min"/>
        <cfvo type="percentile" val="50"/>
        <cfvo type="max"/>
        <color rgb="FFF8696B"/>
        <color rgb="FFFFEB84"/>
        <color rgb="FF63BE7B"/>
      </colorScale>
    </cfRule>
  </conditionalFormatting>
  <conditionalFormatting sqref="C5907:C5908">
    <cfRule type="colorScale" priority="3753">
      <colorScale>
        <cfvo type="min"/>
        <cfvo type="percentile" val="50"/>
        <cfvo type="max"/>
        <color rgb="FFF8696B"/>
        <color rgb="FFFFEB84"/>
        <color rgb="FF63BE7B"/>
      </colorScale>
    </cfRule>
  </conditionalFormatting>
  <conditionalFormatting sqref="C5912:C5913">
    <cfRule type="colorScale" priority="3758">
      <colorScale>
        <cfvo type="min"/>
        <cfvo type="percentile" val="50"/>
        <cfvo type="max"/>
        <color rgb="FFF8696B"/>
        <color rgb="FFFFEB84"/>
        <color rgb="FF63BE7B"/>
      </colorScale>
    </cfRule>
  </conditionalFormatting>
  <conditionalFormatting sqref="C5917:C5920">
    <cfRule type="colorScale" priority="3763">
      <colorScale>
        <cfvo type="min"/>
        <cfvo type="percentile" val="50"/>
        <cfvo type="max"/>
        <color rgb="FFF8696B"/>
        <color rgb="FFFFEB84"/>
        <color rgb="FF63BE7B"/>
      </colorScale>
    </cfRule>
  </conditionalFormatting>
  <conditionalFormatting sqref="C5924">
    <cfRule type="colorScale" priority="3769">
      <colorScale>
        <cfvo type="min"/>
        <cfvo type="percentile" val="50"/>
        <cfvo type="max"/>
        <color rgb="FFF8696B"/>
        <color rgb="FFFFEB84"/>
        <color rgb="FF63BE7B"/>
      </colorScale>
    </cfRule>
  </conditionalFormatting>
  <conditionalFormatting sqref="C5928">
    <cfRule type="colorScale" priority="3773">
      <colorScale>
        <cfvo type="min"/>
        <cfvo type="percentile" val="50"/>
        <cfvo type="max"/>
        <color rgb="FFF8696B"/>
        <color rgb="FFFFEB84"/>
        <color rgb="FF63BE7B"/>
      </colorScale>
    </cfRule>
  </conditionalFormatting>
  <conditionalFormatting sqref="C5936">
    <cfRule type="colorScale" priority="3783">
      <colorScale>
        <cfvo type="min"/>
        <cfvo type="percentile" val="50"/>
        <cfvo type="max"/>
        <color rgb="FFF8696B"/>
        <color rgb="FFFFEB84"/>
        <color rgb="FF63BE7B"/>
      </colorScale>
    </cfRule>
  </conditionalFormatting>
  <conditionalFormatting sqref="C5940">
    <cfRule type="colorScale" priority="3788">
      <colorScale>
        <cfvo type="min"/>
        <cfvo type="percentile" val="50"/>
        <cfvo type="max"/>
        <color rgb="FFF8696B"/>
        <color rgb="FFFFEB84"/>
        <color rgb="FF63BE7B"/>
      </colorScale>
    </cfRule>
  </conditionalFormatting>
  <conditionalFormatting sqref="C5944">
    <cfRule type="colorScale" priority="3793">
      <colorScale>
        <cfvo type="min"/>
        <cfvo type="percentile" val="50"/>
        <cfvo type="max"/>
        <color rgb="FFF8696B"/>
        <color rgb="FFFFEB84"/>
        <color rgb="FF63BE7B"/>
      </colorScale>
    </cfRule>
  </conditionalFormatting>
  <conditionalFormatting sqref="C5948:C5949">
    <cfRule type="colorScale" priority="3798">
      <colorScale>
        <cfvo type="min"/>
        <cfvo type="percentile" val="50"/>
        <cfvo type="max"/>
        <color rgb="FFF8696B"/>
        <color rgb="FFFFEB84"/>
        <color rgb="FF63BE7B"/>
      </colorScale>
    </cfRule>
  </conditionalFormatting>
  <conditionalFormatting sqref="C5953:C5954">
    <cfRule type="colorScale" priority="3803">
      <colorScale>
        <cfvo type="min"/>
        <cfvo type="percentile" val="50"/>
        <cfvo type="max"/>
        <color rgb="FFF8696B"/>
        <color rgb="FFFFEB84"/>
        <color rgb="FF63BE7B"/>
      </colorScale>
    </cfRule>
  </conditionalFormatting>
  <conditionalFormatting sqref="C5958:C5959">
    <cfRule type="colorScale" priority="3808">
      <colorScale>
        <cfvo type="min"/>
        <cfvo type="percentile" val="50"/>
        <cfvo type="max"/>
        <color rgb="FFF8696B"/>
        <color rgb="FFFFEB84"/>
        <color rgb="FF63BE7B"/>
      </colorScale>
    </cfRule>
  </conditionalFormatting>
  <conditionalFormatting sqref="C5963:C5964">
    <cfRule type="colorScale" priority="3813">
      <colorScale>
        <cfvo type="min"/>
        <cfvo type="percentile" val="50"/>
        <cfvo type="max"/>
        <color rgb="FFF8696B"/>
        <color rgb="FFFFEB84"/>
        <color rgb="FF63BE7B"/>
      </colorScale>
    </cfRule>
  </conditionalFormatting>
  <conditionalFormatting sqref="C5968:C5969">
    <cfRule type="colorScale" priority="3818">
      <colorScale>
        <cfvo type="min"/>
        <cfvo type="percentile" val="50"/>
        <cfvo type="max"/>
        <color rgb="FFF8696B"/>
        <color rgb="FFFFEB84"/>
        <color rgb="FF63BE7B"/>
      </colorScale>
    </cfRule>
  </conditionalFormatting>
  <conditionalFormatting sqref="C5973">
    <cfRule type="colorScale" priority="3823">
      <colorScale>
        <cfvo type="min"/>
        <cfvo type="percentile" val="50"/>
        <cfvo type="max"/>
        <color rgb="FFF8696B"/>
        <color rgb="FFFFEB84"/>
        <color rgb="FF63BE7B"/>
      </colorScale>
    </cfRule>
  </conditionalFormatting>
  <conditionalFormatting sqref="C5977:C5978">
    <cfRule type="colorScale" priority="3828">
      <colorScale>
        <cfvo type="min"/>
        <cfvo type="percentile" val="50"/>
        <cfvo type="max"/>
        <color rgb="FFF8696B"/>
        <color rgb="FFFFEB84"/>
        <color rgb="FF63BE7B"/>
      </colorScale>
    </cfRule>
  </conditionalFormatting>
  <conditionalFormatting sqref="C5982:C5983">
    <cfRule type="colorScale" priority="3833">
      <colorScale>
        <cfvo type="min"/>
        <cfvo type="percentile" val="50"/>
        <cfvo type="max"/>
        <color rgb="FFF8696B"/>
        <color rgb="FFFFEB84"/>
        <color rgb="FF63BE7B"/>
      </colorScale>
    </cfRule>
  </conditionalFormatting>
  <conditionalFormatting sqref="C5987:C5990">
    <cfRule type="colorScale" priority="3838">
      <colorScale>
        <cfvo type="min"/>
        <cfvo type="percentile" val="50"/>
        <cfvo type="max"/>
        <color rgb="FFF8696B"/>
        <color rgb="FFFFEB84"/>
        <color rgb="FF63BE7B"/>
      </colorScale>
    </cfRule>
  </conditionalFormatting>
  <conditionalFormatting sqref="C5994">
    <cfRule type="colorScale" priority="3844">
      <colorScale>
        <cfvo type="min"/>
        <cfvo type="percentile" val="50"/>
        <cfvo type="max"/>
        <color rgb="FFF8696B"/>
        <color rgb="FFFFEB84"/>
        <color rgb="FF63BE7B"/>
      </colorScale>
    </cfRule>
  </conditionalFormatting>
  <conditionalFormatting sqref="C5998">
    <cfRule type="colorScale" priority="3848">
      <colorScale>
        <cfvo type="min"/>
        <cfvo type="percentile" val="50"/>
        <cfvo type="max"/>
        <color rgb="FFF8696B"/>
        <color rgb="FFFFEB84"/>
        <color rgb="FF63BE7B"/>
      </colorScale>
    </cfRule>
  </conditionalFormatting>
  <conditionalFormatting sqref="C6006">
    <cfRule type="colorScale" priority="3858">
      <colorScale>
        <cfvo type="min"/>
        <cfvo type="percentile" val="50"/>
        <cfvo type="max"/>
        <color rgb="FFF8696B"/>
        <color rgb="FFFFEB84"/>
        <color rgb="FF63BE7B"/>
      </colorScale>
    </cfRule>
  </conditionalFormatting>
  <conditionalFormatting sqref="C6010">
    <cfRule type="colorScale" priority="3863">
      <colorScale>
        <cfvo type="min"/>
        <cfvo type="percentile" val="50"/>
        <cfvo type="max"/>
        <color rgb="FFF8696B"/>
        <color rgb="FFFFEB84"/>
        <color rgb="FF63BE7B"/>
      </colorScale>
    </cfRule>
  </conditionalFormatting>
  <conditionalFormatting sqref="C6014">
    <cfRule type="colorScale" priority="3868">
      <colorScale>
        <cfvo type="min"/>
        <cfvo type="percentile" val="50"/>
        <cfvo type="max"/>
        <color rgb="FFF8696B"/>
        <color rgb="FFFFEB84"/>
        <color rgb="FF63BE7B"/>
      </colorScale>
    </cfRule>
  </conditionalFormatting>
  <conditionalFormatting sqref="C6018">
    <cfRule type="colorScale" priority="3873">
      <colorScale>
        <cfvo type="min"/>
        <cfvo type="percentile" val="50"/>
        <cfvo type="max"/>
        <color rgb="FFF8696B"/>
        <color rgb="FFFFEB84"/>
        <color rgb="FF63BE7B"/>
      </colorScale>
    </cfRule>
  </conditionalFormatting>
  <conditionalFormatting sqref="C6022:C6023">
    <cfRule type="colorScale" priority="3878">
      <colorScale>
        <cfvo type="min"/>
        <cfvo type="percentile" val="50"/>
        <cfvo type="max"/>
        <color rgb="FFF8696B"/>
        <color rgb="FFFFEB84"/>
        <color rgb="FF63BE7B"/>
      </colorScale>
    </cfRule>
  </conditionalFormatting>
  <conditionalFormatting sqref="C6027">
    <cfRule type="colorScale" priority="3883">
      <colorScale>
        <cfvo type="min"/>
        <cfvo type="percentile" val="50"/>
        <cfvo type="max"/>
        <color rgb="FFF8696B"/>
        <color rgb="FFFFEB84"/>
        <color rgb="FF63BE7B"/>
      </colorScale>
    </cfRule>
  </conditionalFormatting>
  <conditionalFormatting sqref="C6031:C6032">
    <cfRule type="colorScale" priority="3888">
      <colorScale>
        <cfvo type="min"/>
        <cfvo type="percentile" val="50"/>
        <cfvo type="max"/>
        <color rgb="FFF8696B"/>
        <color rgb="FFFFEB84"/>
        <color rgb="FF63BE7B"/>
      </colorScale>
    </cfRule>
  </conditionalFormatting>
  <conditionalFormatting sqref="C6036">
    <cfRule type="colorScale" priority="3893">
      <colorScale>
        <cfvo type="min"/>
        <cfvo type="percentile" val="50"/>
        <cfvo type="max"/>
        <color rgb="FFF8696B"/>
        <color rgb="FFFFEB84"/>
        <color rgb="FF63BE7B"/>
      </colorScale>
    </cfRule>
  </conditionalFormatting>
  <conditionalFormatting sqref="C6040">
    <cfRule type="colorScale" priority="3898">
      <colorScale>
        <cfvo type="min"/>
        <cfvo type="percentile" val="50"/>
        <cfvo type="max"/>
        <color rgb="FFF8696B"/>
        <color rgb="FFFFEB84"/>
        <color rgb="FF63BE7B"/>
      </colorScale>
    </cfRule>
  </conditionalFormatting>
  <conditionalFormatting sqref="C6044:C6045">
    <cfRule type="colorScale" priority="3903">
      <colorScale>
        <cfvo type="min"/>
        <cfvo type="percentile" val="50"/>
        <cfvo type="max"/>
        <color rgb="FFF8696B"/>
        <color rgb="FFFFEB84"/>
        <color rgb="FF63BE7B"/>
      </colorScale>
    </cfRule>
  </conditionalFormatting>
  <conditionalFormatting sqref="C6049:C6050">
    <cfRule type="colorScale" priority="3908">
      <colorScale>
        <cfvo type="min"/>
        <cfvo type="percentile" val="50"/>
        <cfvo type="max"/>
        <color rgb="FFF8696B"/>
        <color rgb="FFFFEB84"/>
        <color rgb="FF63BE7B"/>
      </colorScale>
    </cfRule>
  </conditionalFormatting>
  <conditionalFormatting sqref="C6054:C6056">
    <cfRule type="colorScale" priority="3913">
      <colorScale>
        <cfvo type="min"/>
        <cfvo type="percentile" val="50"/>
        <cfvo type="max"/>
        <color rgb="FFF8696B"/>
        <color rgb="FFFFEB84"/>
        <color rgb="FF63BE7B"/>
      </colorScale>
    </cfRule>
  </conditionalFormatting>
  <conditionalFormatting sqref="C6060">
    <cfRule type="colorScale" priority="3919">
      <colorScale>
        <cfvo type="min"/>
        <cfvo type="percentile" val="50"/>
        <cfvo type="max"/>
        <color rgb="FFF8696B"/>
        <color rgb="FFFFEB84"/>
        <color rgb="FF63BE7B"/>
      </colorScale>
    </cfRule>
  </conditionalFormatting>
  <conditionalFormatting sqref="C6064:C6065">
    <cfRule type="colorScale" priority="3923">
      <colorScale>
        <cfvo type="min"/>
        <cfvo type="percentile" val="50"/>
        <cfvo type="max"/>
        <color rgb="FFF8696B"/>
        <color rgb="FFFFEB84"/>
        <color rgb="FF63BE7B"/>
      </colorScale>
    </cfRule>
  </conditionalFormatting>
  <conditionalFormatting sqref="C6073:C6074">
    <cfRule type="colorScale" priority="3933">
      <colorScale>
        <cfvo type="min"/>
        <cfvo type="percentile" val="50"/>
        <cfvo type="max"/>
        <color rgb="FFF8696B"/>
        <color rgb="FFFFEB84"/>
        <color rgb="FF63BE7B"/>
      </colorScale>
    </cfRule>
  </conditionalFormatting>
  <conditionalFormatting sqref="C6078">
    <cfRule type="colorScale" priority="3938">
      <colorScale>
        <cfvo type="min"/>
        <cfvo type="percentile" val="50"/>
        <cfvo type="max"/>
        <color rgb="FFF8696B"/>
        <color rgb="FFFFEB84"/>
        <color rgb="FF63BE7B"/>
      </colorScale>
    </cfRule>
  </conditionalFormatting>
  <conditionalFormatting sqref="C6082:C6083">
    <cfRule type="colorScale" priority="3943">
      <colorScale>
        <cfvo type="min"/>
        <cfvo type="percentile" val="50"/>
        <cfvo type="max"/>
        <color rgb="FFF8696B"/>
        <color rgb="FFFFEB84"/>
        <color rgb="FF63BE7B"/>
      </colorScale>
    </cfRule>
  </conditionalFormatting>
  <conditionalFormatting sqref="C6087">
    <cfRule type="colorScale" priority="3948">
      <colorScale>
        <cfvo type="min"/>
        <cfvo type="percentile" val="50"/>
        <cfvo type="max"/>
        <color rgb="FFF8696B"/>
        <color rgb="FFFFEB84"/>
        <color rgb="FF63BE7B"/>
      </colorScale>
    </cfRule>
  </conditionalFormatting>
  <conditionalFormatting sqref="C6091:C6092">
    <cfRule type="colorScale" priority="3953">
      <colorScale>
        <cfvo type="min"/>
        <cfvo type="percentile" val="50"/>
        <cfvo type="max"/>
        <color rgb="FFF8696B"/>
        <color rgb="FFFFEB84"/>
        <color rgb="FF63BE7B"/>
      </colorScale>
    </cfRule>
  </conditionalFormatting>
  <conditionalFormatting sqref="C6096:C6097">
    <cfRule type="colorScale" priority="3958">
      <colorScale>
        <cfvo type="min"/>
        <cfvo type="percentile" val="50"/>
        <cfvo type="max"/>
        <color rgb="FFF8696B"/>
        <color rgb="FFFFEB84"/>
        <color rgb="FF63BE7B"/>
      </colorScale>
    </cfRule>
  </conditionalFormatting>
  <conditionalFormatting sqref="C6101:C6102">
    <cfRule type="colorScale" priority="3963">
      <colorScale>
        <cfvo type="min"/>
        <cfvo type="percentile" val="50"/>
        <cfvo type="max"/>
        <color rgb="FFF8696B"/>
        <color rgb="FFFFEB84"/>
        <color rgb="FF63BE7B"/>
      </colorScale>
    </cfRule>
  </conditionalFormatting>
  <conditionalFormatting sqref="C6106">
    <cfRule type="colorScale" priority="3968">
      <colorScale>
        <cfvo type="min"/>
        <cfvo type="percentile" val="50"/>
        <cfvo type="max"/>
        <color rgb="FFF8696B"/>
        <color rgb="FFFFEB84"/>
        <color rgb="FF63BE7B"/>
      </colorScale>
    </cfRule>
  </conditionalFormatting>
  <conditionalFormatting sqref="C6110">
    <cfRule type="colorScale" priority="3973">
      <colorScale>
        <cfvo type="min"/>
        <cfvo type="percentile" val="50"/>
        <cfvo type="max"/>
        <color rgb="FFF8696B"/>
        <color rgb="FFFFEB84"/>
        <color rgb="FF63BE7B"/>
      </colorScale>
    </cfRule>
  </conditionalFormatting>
  <conditionalFormatting sqref="C6114:C6115">
    <cfRule type="colorScale" priority="3978">
      <colorScale>
        <cfvo type="min"/>
        <cfvo type="percentile" val="50"/>
        <cfvo type="max"/>
        <color rgb="FFF8696B"/>
        <color rgb="FFFFEB84"/>
        <color rgb="FF63BE7B"/>
      </colorScale>
    </cfRule>
  </conditionalFormatting>
  <conditionalFormatting sqref="C6119:C6120">
    <cfRule type="colorScale" priority="3983">
      <colorScale>
        <cfvo type="min"/>
        <cfvo type="percentile" val="50"/>
        <cfvo type="max"/>
        <color rgb="FFF8696B"/>
        <color rgb="FFFFEB84"/>
        <color rgb="FF63BE7B"/>
      </colorScale>
    </cfRule>
  </conditionalFormatting>
  <conditionalFormatting sqref="C6124:C6127">
    <cfRule type="colorScale" priority="3988">
      <colorScale>
        <cfvo type="min"/>
        <cfvo type="percentile" val="50"/>
        <cfvo type="max"/>
        <color rgb="FFF8696B"/>
        <color rgb="FFFFEB84"/>
        <color rgb="FF63BE7B"/>
      </colorScale>
    </cfRule>
  </conditionalFormatting>
  <conditionalFormatting sqref="C6131">
    <cfRule type="colorScale" priority="3994">
      <colorScale>
        <cfvo type="min"/>
        <cfvo type="percentile" val="50"/>
        <cfvo type="max"/>
        <color rgb="FFF8696B"/>
        <color rgb="FFFFEB84"/>
        <color rgb="FF63BE7B"/>
      </colorScale>
    </cfRule>
  </conditionalFormatting>
  <conditionalFormatting sqref="C6135:C6136">
    <cfRule type="colorScale" priority="3998">
      <colorScale>
        <cfvo type="min"/>
        <cfvo type="percentile" val="50"/>
        <cfvo type="max"/>
        <color rgb="FFF8696B"/>
        <color rgb="FFFFEB84"/>
        <color rgb="FF63BE7B"/>
      </colorScale>
    </cfRule>
  </conditionalFormatting>
  <conditionalFormatting sqref="C6144:C6145">
    <cfRule type="colorScale" priority="4008">
      <colorScale>
        <cfvo type="min"/>
        <cfvo type="percentile" val="50"/>
        <cfvo type="max"/>
        <color rgb="FFF8696B"/>
        <color rgb="FFFFEB84"/>
        <color rgb="FF63BE7B"/>
      </colorScale>
    </cfRule>
  </conditionalFormatting>
  <conditionalFormatting sqref="C6149">
    <cfRule type="colorScale" priority="4013">
      <colorScale>
        <cfvo type="min"/>
        <cfvo type="percentile" val="50"/>
        <cfvo type="max"/>
        <color rgb="FFF8696B"/>
        <color rgb="FFFFEB84"/>
        <color rgb="FF63BE7B"/>
      </colorScale>
    </cfRule>
  </conditionalFormatting>
  <conditionalFormatting sqref="C6153:C6154">
    <cfRule type="colorScale" priority="4018">
      <colorScale>
        <cfvo type="min"/>
        <cfvo type="percentile" val="50"/>
        <cfvo type="max"/>
        <color rgb="FFF8696B"/>
        <color rgb="FFFFEB84"/>
        <color rgb="FF63BE7B"/>
      </colorScale>
    </cfRule>
  </conditionalFormatting>
  <conditionalFormatting sqref="C6158:C6159">
    <cfRule type="colorScale" priority="4023">
      <colorScale>
        <cfvo type="min"/>
        <cfvo type="percentile" val="50"/>
        <cfvo type="max"/>
        <color rgb="FFF8696B"/>
        <color rgb="FFFFEB84"/>
        <color rgb="FF63BE7B"/>
      </colorScale>
    </cfRule>
  </conditionalFormatting>
  <conditionalFormatting sqref="C6163:C6164">
    <cfRule type="colorScale" priority="4028">
      <colorScale>
        <cfvo type="min"/>
        <cfvo type="percentile" val="50"/>
        <cfvo type="max"/>
        <color rgb="FFF8696B"/>
        <color rgb="FFFFEB84"/>
        <color rgb="FF63BE7B"/>
      </colorScale>
    </cfRule>
  </conditionalFormatting>
  <conditionalFormatting sqref="C6168:C6169">
    <cfRule type="colorScale" priority="4033">
      <colorScale>
        <cfvo type="min"/>
        <cfvo type="percentile" val="50"/>
        <cfvo type="max"/>
        <color rgb="FFF8696B"/>
        <color rgb="FFFFEB84"/>
        <color rgb="FF63BE7B"/>
      </colorScale>
    </cfRule>
  </conditionalFormatting>
  <conditionalFormatting sqref="C6173:C6174">
    <cfRule type="colorScale" priority="4038">
      <colorScale>
        <cfvo type="min"/>
        <cfvo type="percentile" val="50"/>
        <cfvo type="max"/>
        <color rgb="FFF8696B"/>
        <color rgb="FFFFEB84"/>
        <color rgb="FF63BE7B"/>
      </colorScale>
    </cfRule>
  </conditionalFormatting>
  <conditionalFormatting sqref="C6178:C6179">
    <cfRule type="colorScale" priority="4043">
      <colorScale>
        <cfvo type="min"/>
        <cfvo type="percentile" val="50"/>
        <cfvo type="max"/>
        <color rgb="FFF8696B"/>
        <color rgb="FFFFEB84"/>
        <color rgb="FF63BE7B"/>
      </colorScale>
    </cfRule>
  </conditionalFormatting>
  <conditionalFormatting sqref="C6183">
    <cfRule type="colorScale" priority="4048">
      <colorScale>
        <cfvo type="min"/>
        <cfvo type="percentile" val="50"/>
        <cfvo type="max"/>
        <color rgb="FFF8696B"/>
        <color rgb="FFFFEB84"/>
        <color rgb="FF63BE7B"/>
      </colorScale>
    </cfRule>
  </conditionalFormatting>
  <conditionalFormatting sqref="C6187:C6188">
    <cfRule type="colorScale" priority="4053">
      <colorScale>
        <cfvo type="min"/>
        <cfvo type="percentile" val="50"/>
        <cfvo type="max"/>
        <color rgb="FFF8696B"/>
        <color rgb="FFFFEB84"/>
        <color rgb="FF63BE7B"/>
      </colorScale>
    </cfRule>
  </conditionalFormatting>
  <conditionalFormatting sqref="C6192:C6193">
    <cfRule type="colorScale" priority="4058">
      <colorScale>
        <cfvo type="min"/>
        <cfvo type="percentile" val="50"/>
        <cfvo type="max"/>
        <color rgb="FFF8696B"/>
        <color rgb="FFFFEB84"/>
        <color rgb="FF63BE7B"/>
      </colorScale>
    </cfRule>
  </conditionalFormatting>
  <conditionalFormatting sqref="C6197:C6200">
    <cfRule type="colorScale" priority="4063">
      <colorScale>
        <cfvo type="min"/>
        <cfvo type="percentile" val="50"/>
        <cfvo type="max"/>
        <color rgb="FFF8696B"/>
        <color rgb="FFFFEB84"/>
        <color rgb="FF63BE7B"/>
      </colorScale>
    </cfRule>
  </conditionalFormatting>
  <conditionalFormatting sqref="C6204">
    <cfRule type="colorScale" priority="4069">
      <colorScale>
        <cfvo type="min"/>
        <cfvo type="percentile" val="50"/>
        <cfvo type="max"/>
        <color rgb="FFF8696B"/>
        <color rgb="FFFFEB84"/>
        <color rgb="FF63BE7B"/>
      </colorScale>
    </cfRule>
  </conditionalFormatting>
  <conditionalFormatting sqref="C6208">
    <cfRule type="colorScale" priority="4073">
      <colorScale>
        <cfvo type="min"/>
        <cfvo type="percentile" val="50"/>
        <cfvo type="max"/>
        <color rgb="FFF8696B"/>
        <color rgb="FFFFEB84"/>
        <color rgb="FF63BE7B"/>
      </colorScale>
    </cfRule>
  </conditionalFormatting>
  <conditionalFormatting sqref="C6216">
    <cfRule type="colorScale" priority="4083">
      <colorScale>
        <cfvo type="min"/>
        <cfvo type="percentile" val="50"/>
        <cfvo type="max"/>
        <color rgb="FFF8696B"/>
        <color rgb="FFFFEB84"/>
        <color rgb="FF63BE7B"/>
      </colorScale>
    </cfRule>
  </conditionalFormatting>
  <conditionalFormatting sqref="C6220">
    <cfRule type="colorScale" priority="4088">
      <colorScale>
        <cfvo type="min"/>
        <cfvo type="percentile" val="50"/>
        <cfvo type="max"/>
        <color rgb="FFF8696B"/>
        <color rgb="FFFFEB84"/>
        <color rgb="FF63BE7B"/>
      </colorScale>
    </cfRule>
  </conditionalFormatting>
  <conditionalFormatting sqref="C6224:C6225">
    <cfRule type="colorScale" priority="4093">
      <colorScale>
        <cfvo type="min"/>
        <cfvo type="percentile" val="50"/>
        <cfvo type="max"/>
        <color rgb="FFF8696B"/>
        <color rgb="FFFFEB84"/>
        <color rgb="FF63BE7B"/>
      </colorScale>
    </cfRule>
  </conditionalFormatting>
  <conditionalFormatting sqref="C6229">
    <cfRule type="colorScale" priority="4098">
      <colorScale>
        <cfvo type="min"/>
        <cfvo type="percentile" val="50"/>
        <cfvo type="max"/>
        <color rgb="FFF8696B"/>
        <color rgb="FFFFEB84"/>
        <color rgb="FF63BE7B"/>
      </colorScale>
    </cfRule>
  </conditionalFormatting>
  <conditionalFormatting sqref="C6233:C6234">
    <cfRule type="colorScale" priority="4103">
      <colorScale>
        <cfvo type="min"/>
        <cfvo type="percentile" val="50"/>
        <cfvo type="max"/>
        <color rgb="FFF8696B"/>
        <color rgb="FFFFEB84"/>
        <color rgb="FF63BE7B"/>
      </colorScale>
    </cfRule>
  </conditionalFormatting>
  <conditionalFormatting sqref="C6238:C6239">
    <cfRule type="colorScale" priority="4108">
      <colorScale>
        <cfvo type="min"/>
        <cfvo type="percentile" val="50"/>
        <cfvo type="max"/>
        <color rgb="FFF8696B"/>
        <color rgb="FFFFEB84"/>
        <color rgb="FF63BE7B"/>
      </colorScale>
    </cfRule>
  </conditionalFormatting>
  <conditionalFormatting sqref="C6243:C6244">
    <cfRule type="colorScale" priority="4113">
      <colorScale>
        <cfvo type="min"/>
        <cfvo type="percentile" val="50"/>
        <cfvo type="max"/>
        <color rgb="FFF8696B"/>
        <color rgb="FFFFEB84"/>
        <color rgb="FF63BE7B"/>
      </colorScale>
    </cfRule>
  </conditionalFormatting>
  <conditionalFormatting sqref="C6248:C6249">
    <cfRule type="colorScale" priority="4118">
      <colorScale>
        <cfvo type="min"/>
        <cfvo type="percentile" val="50"/>
        <cfvo type="max"/>
        <color rgb="FFF8696B"/>
        <color rgb="FFFFEB84"/>
        <color rgb="FF63BE7B"/>
      </colorScale>
    </cfRule>
  </conditionalFormatting>
  <conditionalFormatting sqref="C6253">
    <cfRule type="colorScale" priority="4123">
      <colorScale>
        <cfvo type="min"/>
        <cfvo type="percentile" val="50"/>
        <cfvo type="max"/>
        <color rgb="FFF8696B"/>
        <color rgb="FFFFEB84"/>
        <color rgb="FF63BE7B"/>
      </colorScale>
    </cfRule>
  </conditionalFormatting>
  <conditionalFormatting sqref="C6257:C6258">
    <cfRule type="colorScale" priority="4128">
      <colorScale>
        <cfvo type="min"/>
        <cfvo type="percentile" val="50"/>
        <cfvo type="max"/>
        <color rgb="FFF8696B"/>
        <color rgb="FFFFEB84"/>
        <color rgb="FF63BE7B"/>
      </colorScale>
    </cfRule>
  </conditionalFormatting>
  <conditionalFormatting sqref="C6262:C6263">
    <cfRule type="colorScale" priority="4133">
      <colorScale>
        <cfvo type="min"/>
        <cfvo type="percentile" val="50"/>
        <cfvo type="max"/>
        <color rgb="FFF8696B"/>
        <color rgb="FFFFEB84"/>
        <color rgb="FF63BE7B"/>
      </colorScale>
    </cfRule>
  </conditionalFormatting>
  <conditionalFormatting sqref="C6267:C6270">
    <cfRule type="colorScale" priority="4138">
      <colorScale>
        <cfvo type="min"/>
        <cfvo type="percentile" val="50"/>
        <cfvo type="max"/>
        <color rgb="FFF8696B"/>
        <color rgb="FFFFEB84"/>
        <color rgb="FF63BE7B"/>
      </colorScale>
    </cfRule>
  </conditionalFormatting>
  <conditionalFormatting sqref="C6866">
    <cfRule type="colorScale" priority="4384">
      <colorScale>
        <cfvo type="min"/>
        <cfvo type="percentile" val="50"/>
        <cfvo type="max"/>
        <color rgb="FFF8696B"/>
        <color rgb="FFFFEB84"/>
        <color rgb="FF63BE7B"/>
      </colorScale>
    </cfRule>
  </conditionalFormatting>
  <conditionalFormatting sqref="C6870:C6871">
    <cfRule type="colorScale" priority="4388">
      <colorScale>
        <cfvo type="min"/>
        <cfvo type="percentile" val="50"/>
        <cfvo type="max"/>
        <color rgb="FFF8696B"/>
        <color rgb="FFFFEB84"/>
        <color rgb="FF63BE7B"/>
      </colorScale>
    </cfRule>
  </conditionalFormatting>
  <conditionalFormatting sqref="C6879:C6880">
    <cfRule type="colorScale" priority="4398">
      <colorScale>
        <cfvo type="min"/>
        <cfvo type="percentile" val="50"/>
        <cfvo type="max"/>
        <color rgb="FFF8696B"/>
        <color rgb="FFFFEB84"/>
        <color rgb="FF63BE7B"/>
      </colorScale>
    </cfRule>
  </conditionalFormatting>
  <conditionalFormatting sqref="C6884:C6885">
    <cfRule type="colorScale" priority="4403">
      <colorScale>
        <cfvo type="min"/>
        <cfvo type="percentile" val="50"/>
        <cfvo type="max"/>
        <color rgb="FFF8696B"/>
        <color rgb="FFFFEB84"/>
        <color rgb="FF63BE7B"/>
      </colorScale>
    </cfRule>
  </conditionalFormatting>
  <conditionalFormatting sqref="C6889:C6890">
    <cfRule type="colorScale" priority="4408">
      <colorScale>
        <cfvo type="min"/>
        <cfvo type="percentile" val="50"/>
        <cfvo type="max"/>
        <color rgb="FFF8696B"/>
        <color rgb="FFFFEB84"/>
        <color rgb="FF63BE7B"/>
      </colorScale>
    </cfRule>
  </conditionalFormatting>
  <conditionalFormatting sqref="C6894:C6895">
    <cfRule type="colorScale" priority="4413">
      <colorScale>
        <cfvo type="min"/>
        <cfvo type="percentile" val="50"/>
        <cfvo type="max"/>
        <color rgb="FFF8696B"/>
        <color rgb="FFFFEB84"/>
        <color rgb="FF63BE7B"/>
      </colorScale>
    </cfRule>
  </conditionalFormatting>
  <conditionalFormatting sqref="C6899:C6900">
    <cfRule type="colorScale" priority="4418">
      <colorScale>
        <cfvo type="min"/>
        <cfvo type="percentile" val="50"/>
        <cfvo type="max"/>
        <color rgb="FFF8696B"/>
        <color rgb="FFFFEB84"/>
        <color rgb="FF63BE7B"/>
      </colorScale>
    </cfRule>
  </conditionalFormatting>
  <conditionalFormatting sqref="C6904:C6905">
    <cfRule type="colorScale" priority="4423">
      <colorScale>
        <cfvo type="min"/>
        <cfvo type="percentile" val="50"/>
        <cfvo type="max"/>
        <color rgb="FFF8696B"/>
        <color rgb="FFFFEB84"/>
        <color rgb="FF63BE7B"/>
      </colorScale>
    </cfRule>
  </conditionalFormatting>
  <conditionalFormatting sqref="C6909:C6910">
    <cfRule type="colorScale" priority="4428">
      <colorScale>
        <cfvo type="min"/>
        <cfvo type="percentile" val="50"/>
        <cfvo type="max"/>
        <color rgb="FFF8696B"/>
        <color rgb="FFFFEB84"/>
        <color rgb="FF63BE7B"/>
      </colorScale>
    </cfRule>
  </conditionalFormatting>
  <conditionalFormatting sqref="C6914:C6915">
    <cfRule type="colorScale" priority="4433">
      <colorScale>
        <cfvo type="min"/>
        <cfvo type="percentile" val="50"/>
        <cfvo type="max"/>
        <color rgb="FFF8696B"/>
        <color rgb="FFFFEB84"/>
        <color rgb="FF63BE7B"/>
      </colorScale>
    </cfRule>
  </conditionalFormatting>
  <conditionalFormatting sqref="C6919">
    <cfRule type="colorScale" priority="4438">
      <colorScale>
        <cfvo type="min"/>
        <cfvo type="percentile" val="50"/>
        <cfvo type="max"/>
        <color rgb="FFF8696B"/>
        <color rgb="FFFFEB84"/>
        <color rgb="FF63BE7B"/>
      </colorScale>
    </cfRule>
  </conditionalFormatting>
  <conditionalFormatting sqref="C6923:C6924">
    <cfRule type="colorScale" priority="4443">
      <colorScale>
        <cfvo type="min"/>
        <cfvo type="percentile" val="50"/>
        <cfvo type="max"/>
        <color rgb="FFF8696B"/>
        <color rgb="FFFFEB84"/>
        <color rgb="FF63BE7B"/>
      </colorScale>
    </cfRule>
  </conditionalFormatting>
  <conditionalFormatting sqref="C6928:C6929">
    <cfRule type="colorScale" priority="4448">
      <colorScale>
        <cfvo type="min"/>
        <cfvo type="percentile" val="50"/>
        <cfvo type="max"/>
        <color rgb="FFF8696B"/>
        <color rgb="FFFFEB84"/>
        <color rgb="FF63BE7B"/>
      </colorScale>
    </cfRule>
  </conditionalFormatting>
  <conditionalFormatting sqref="C6933:C6936">
    <cfRule type="colorScale" priority="4453">
      <colorScale>
        <cfvo type="min"/>
        <cfvo type="percentile" val="50"/>
        <cfvo type="max"/>
        <color rgb="FFF8696B"/>
        <color rgb="FFFFEB84"/>
        <color rgb="FF63BE7B"/>
      </colorScale>
    </cfRule>
  </conditionalFormatting>
  <conditionalFormatting sqref="C6940">
    <cfRule type="colorScale" priority="4459">
      <colorScale>
        <cfvo type="min"/>
        <cfvo type="percentile" val="50"/>
        <cfvo type="max"/>
        <color rgb="FFF8696B"/>
        <color rgb="FFFFEB84"/>
        <color rgb="FF63BE7B"/>
      </colorScale>
    </cfRule>
  </conditionalFormatting>
  <conditionalFormatting sqref="C6944:C6945">
    <cfRule type="colorScale" priority="4463">
      <colorScale>
        <cfvo type="min"/>
        <cfvo type="percentile" val="50"/>
        <cfvo type="max"/>
        <color rgb="FFF8696B"/>
        <color rgb="FFFFEB84"/>
        <color rgb="FF63BE7B"/>
      </colorScale>
    </cfRule>
  </conditionalFormatting>
  <conditionalFormatting sqref="C6953:C6954">
    <cfRule type="colorScale" priority="4473">
      <colorScale>
        <cfvo type="min"/>
        <cfvo type="percentile" val="50"/>
        <cfvo type="max"/>
        <color rgb="FFF8696B"/>
        <color rgb="FFFFEB84"/>
        <color rgb="FF63BE7B"/>
      </colorScale>
    </cfRule>
  </conditionalFormatting>
  <conditionalFormatting sqref="C6958:C6959">
    <cfRule type="colorScale" priority="4478">
      <colorScale>
        <cfvo type="min"/>
        <cfvo type="percentile" val="50"/>
        <cfvo type="max"/>
        <color rgb="FFF8696B"/>
        <color rgb="FFFFEB84"/>
        <color rgb="FF63BE7B"/>
      </colorScale>
    </cfRule>
  </conditionalFormatting>
  <conditionalFormatting sqref="C6963:C6964">
    <cfRule type="colorScale" priority="4483">
      <colorScale>
        <cfvo type="min"/>
        <cfvo type="percentile" val="50"/>
        <cfvo type="max"/>
        <color rgb="FFF8696B"/>
        <color rgb="FFFFEB84"/>
        <color rgb="FF63BE7B"/>
      </colorScale>
    </cfRule>
  </conditionalFormatting>
  <conditionalFormatting sqref="C6968:C6969">
    <cfRule type="colorScale" priority="4488">
      <colorScale>
        <cfvo type="min"/>
        <cfvo type="percentile" val="50"/>
        <cfvo type="max"/>
        <color rgb="FFF8696B"/>
        <color rgb="FFFFEB84"/>
        <color rgb="FF63BE7B"/>
      </colorScale>
    </cfRule>
  </conditionalFormatting>
  <conditionalFormatting sqref="C6973:C6974">
    <cfRule type="colorScale" priority="4493">
      <colorScale>
        <cfvo type="min"/>
        <cfvo type="percentile" val="50"/>
        <cfvo type="max"/>
        <color rgb="FFF8696B"/>
        <color rgb="FFFFEB84"/>
        <color rgb="FF63BE7B"/>
      </colorScale>
    </cfRule>
  </conditionalFormatting>
  <conditionalFormatting sqref="C6978:C6979">
    <cfRule type="colorScale" priority="4498">
      <colorScale>
        <cfvo type="min"/>
        <cfvo type="percentile" val="50"/>
        <cfvo type="max"/>
        <color rgb="FFF8696B"/>
        <color rgb="FFFFEB84"/>
        <color rgb="FF63BE7B"/>
      </colorScale>
    </cfRule>
  </conditionalFormatting>
  <conditionalFormatting sqref="C6983:C6984">
    <cfRule type="colorScale" priority="4503">
      <colorScale>
        <cfvo type="min"/>
        <cfvo type="percentile" val="50"/>
        <cfvo type="max"/>
        <color rgb="FFF8696B"/>
        <color rgb="FFFFEB84"/>
        <color rgb="FF63BE7B"/>
      </colorScale>
    </cfRule>
  </conditionalFormatting>
  <conditionalFormatting sqref="C6988:C6989">
    <cfRule type="colorScale" priority="4508">
      <colorScale>
        <cfvo type="min"/>
        <cfvo type="percentile" val="50"/>
        <cfvo type="max"/>
        <color rgb="FFF8696B"/>
        <color rgb="FFFFEB84"/>
        <color rgb="FF63BE7B"/>
      </colorScale>
    </cfRule>
  </conditionalFormatting>
  <conditionalFormatting sqref="C6993">
    <cfRule type="colorScale" priority="4513">
      <colorScale>
        <cfvo type="min"/>
        <cfvo type="percentile" val="50"/>
        <cfvo type="max"/>
        <color rgb="FFF8696B"/>
        <color rgb="FFFFEB84"/>
        <color rgb="FF63BE7B"/>
      </colorScale>
    </cfRule>
  </conditionalFormatting>
  <conditionalFormatting sqref="C6997:C6998">
    <cfRule type="colorScale" priority="4518">
      <colorScale>
        <cfvo type="min"/>
        <cfvo type="percentile" val="50"/>
        <cfvo type="max"/>
        <color rgb="FFF8696B"/>
        <color rgb="FFFFEB84"/>
        <color rgb="FF63BE7B"/>
      </colorScale>
    </cfRule>
  </conditionalFormatting>
  <conditionalFormatting sqref="C7002:C7003">
    <cfRule type="colorScale" priority="4523">
      <colorScale>
        <cfvo type="min"/>
        <cfvo type="percentile" val="50"/>
        <cfvo type="max"/>
        <color rgb="FFF8696B"/>
        <color rgb="FFFFEB84"/>
        <color rgb="FF63BE7B"/>
      </colorScale>
    </cfRule>
  </conditionalFormatting>
  <conditionalFormatting sqref="C7007:C7010">
    <cfRule type="colorScale" priority="4528">
      <colorScale>
        <cfvo type="min"/>
        <cfvo type="percentile" val="50"/>
        <cfvo type="max"/>
        <color rgb="FFF8696B"/>
        <color rgb="FFFFEB84"/>
        <color rgb="FF63BE7B"/>
      </colorScale>
    </cfRule>
  </conditionalFormatting>
  <conditionalFormatting sqref="C7088">
    <cfRule type="colorScale" priority="4564">
      <colorScale>
        <cfvo type="min"/>
        <cfvo type="percentile" val="50"/>
        <cfvo type="max"/>
        <color rgb="FFF8696B"/>
        <color rgb="FFFFEB84"/>
        <color rgb="FF63BE7B"/>
      </colorScale>
    </cfRule>
  </conditionalFormatting>
  <conditionalFormatting sqref="C7092">
    <cfRule type="colorScale" priority="4568">
      <colorScale>
        <cfvo type="min"/>
        <cfvo type="percentile" val="50"/>
        <cfvo type="max"/>
        <color rgb="FFF8696B"/>
        <color rgb="FFFFEB84"/>
        <color rgb="FF63BE7B"/>
      </colorScale>
    </cfRule>
  </conditionalFormatting>
  <conditionalFormatting sqref="C7100">
    <cfRule type="colorScale" priority="4578">
      <colorScale>
        <cfvo type="min"/>
        <cfvo type="percentile" val="50"/>
        <cfvo type="max"/>
        <color rgb="FFF8696B"/>
        <color rgb="FFFFEB84"/>
        <color rgb="FF63BE7B"/>
      </colorScale>
    </cfRule>
  </conditionalFormatting>
  <conditionalFormatting sqref="C7104">
    <cfRule type="colorScale" priority="4583">
      <colorScale>
        <cfvo type="min"/>
        <cfvo type="percentile" val="50"/>
        <cfvo type="max"/>
        <color rgb="FFF8696B"/>
        <color rgb="FFFFEB84"/>
        <color rgb="FF63BE7B"/>
      </colorScale>
    </cfRule>
  </conditionalFormatting>
  <conditionalFormatting sqref="C7108">
    <cfRule type="colorScale" priority="4588">
      <colorScale>
        <cfvo type="min"/>
        <cfvo type="percentile" val="50"/>
        <cfvo type="max"/>
        <color rgb="FFF8696B"/>
        <color rgb="FFFFEB84"/>
        <color rgb="FF63BE7B"/>
      </colorScale>
    </cfRule>
  </conditionalFormatting>
  <conditionalFormatting sqref="C7112">
    <cfRule type="colorScale" priority="4593">
      <colorScale>
        <cfvo type="min"/>
        <cfvo type="percentile" val="50"/>
        <cfvo type="max"/>
        <color rgb="FFF8696B"/>
        <color rgb="FFFFEB84"/>
        <color rgb="FF63BE7B"/>
      </colorScale>
    </cfRule>
  </conditionalFormatting>
  <conditionalFormatting sqref="C7116:C7117">
    <cfRule type="colorScale" priority="4598">
      <colorScale>
        <cfvo type="min"/>
        <cfvo type="percentile" val="50"/>
        <cfvo type="max"/>
        <color rgb="FFF8696B"/>
        <color rgb="FFFFEB84"/>
        <color rgb="FF63BE7B"/>
      </colorScale>
    </cfRule>
  </conditionalFormatting>
  <conditionalFormatting sqref="C7121:C7122">
    <cfRule type="colorScale" priority="4603">
      <colorScale>
        <cfvo type="min"/>
        <cfvo type="percentile" val="50"/>
        <cfvo type="max"/>
        <color rgb="FFF8696B"/>
        <color rgb="FFFFEB84"/>
        <color rgb="FF63BE7B"/>
      </colorScale>
    </cfRule>
  </conditionalFormatting>
  <conditionalFormatting sqref="C7126">
    <cfRule type="colorScale" priority="4608">
      <colorScale>
        <cfvo type="min"/>
        <cfvo type="percentile" val="50"/>
        <cfvo type="max"/>
        <color rgb="FFF8696B"/>
        <color rgb="FFFFEB84"/>
        <color rgb="FF63BE7B"/>
      </colorScale>
    </cfRule>
  </conditionalFormatting>
  <conditionalFormatting sqref="C7130">
    <cfRule type="colorScale" priority="4613">
      <colorScale>
        <cfvo type="min"/>
        <cfvo type="percentile" val="50"/>
        <cfvo type="max"/>
        <color rgb="FFF8696B"/>
        <color rgb="FFFFEB84"/>
        <color rgb="FF63BE7B"/>
      </colorScale>
    </cfRule>
  </conditionalFormatting>
  <conditionalFormatting sqref="C7134">
    <cfRule type="colorScale" priority="4618">
      <colorScale>
        <cfvo type="min"/>
        <cfvo type="percentile" val="50"/>
        <cfvo type="max"/>
        <color rgb="FFF8696B"/>
        <color rgb="FFFFEB84"/>
        <color rgb="FF63BE7B"/>
      </colorScale>
    </cfRule>
  </conditionalFormatting>
  <conditionalFormatting sqref="C7138:C7139">
    <cfRule type="colorScale" priority="4623">
      <colorScale>
        <cfvo type="min"/>
        <cfvo type="percentile" val="50"/>
        <cfvo type="max"/>
        <color rgb="FFF8696B"/>
        <color rgb="FFFFEB84"/>
        <color rgb="FF63BE7B"/>
      </colorScale>
    </cfRule>
  </conditionalFormatting>
  <conditionalFormatting sqref="C7143:C7144">
    <cfRule type="colorScale" priority="4628">
      <colorScale>
        <cfvo type="min"/>
        <cfvo type="percentile" val="50"/>
        <cfvo type="max"/>
        <color rgb="FFF8696B"/>
        <color rgb="FFFFEB84"/>
        <color rgb="FF63BE7B"/>
      </colorScale>
    </cfRule>
  </conditionalFormatting>
  <conditionalFormatting sqref="C7148:C7150">
    <cfRule type="colorScale" priority="4633">
      <colorScale>
        <cfvo type="min"/>
        <cfvo type="percentile" val="50"/>
        <cfvo type="max"/>
        <color rgb="FFF8696B"/>
        <color rgb="FFFFEB84"/>
        <color rgb="FF63BE7B"/>
      </colorScale>
    </cfRule>
  </conditionalFormatting>
  <conditionalFormatting sqref="C7154">
    <cfRule type="colorScale" priority="4639">
      <colorScale>
        <cfvo type="min"/>
        <cfvo type="percentile" val="50"/>
        <cfvo type="max"/>
        <color rgb="FFF8696B"/>
        <color rgb="FFFFEB84"/>
        <color rgb="FF63BE7B"/>
      </colorScale>
    </cfRule>
  </conditionalFormatting>
  <conditionalFormatting sqref="C7158:C7159">
    <cfRule type="colorScale" priority="4643">
      <colorScale>
        <cfvo type="min"/>
        <cfvo type="percentile" val="50"/>
        <cfvo type="max"/>
        <color rgb="FFF8696B"/>
        <color rgb="FFFFEB84"/>
        <color rgb="FF63BE7B"/>
      </colorScale>
    </cfRule>
  </conditionalFormatting>
  <conditionalFormatting sqref="C7167:C7168">
    <cfRule type="colorScale" priority="4653">
      <colorScale>
        <cfvo type="min"/>
        <cfvo type="percentile" val="50"/>
        <cfvo type="max"/>
        <color rgb="FFF8696B"/>
        <color rgb="FFFFEB84"/>
        <color rgb="FF63BE7B"/>
      </colorScale>
    </cfRule>
  </conditionalFormatting>
  <conditionalFormatting sqref="C7172:C7173">
    <cfRule type="colorScale" priority="4658">
      <colorScale>
        <cfvo type="min"/>
        <cfvo type="percentile" val="50"/>
        <cfvo type="max"/>
        <color rgb="FFF8696B"/>
        <color rgb="FFFFEB84"/>
        <color rgb="FF63BE7B"/>
      </colorScale>
    </cfRule>
  </conditionalFormatting>
  <conditionalFormatting sqref="C7177:C7178">
    <cfRule type="colorScale" priority="4663">
      <colorScale>
        <cfvo type="min"/>
        <cfvo type="percentile" val="50"/>
        <cfvo type="max"/>
        <color rgb="FFF8696B"/>
        <color rgb="FFFFEB84"/>
        <color rgb="FF63BE7B"/>
      </colorScale>
    </cfRule>
  </conditionalFormatting>
  <conditionalFormatting sqref="C7182:C7183">
    <cfRule type="colorScale" priority="4668">
      <colorScale>
        <cfvo type="min"/>
        <cfvo type="percentile" val="50"/>
        <cfvo type="max"/>
        <color rgb="FFF8696B"/>
        <color rgb="FFFFEB84"/>
        <color rgb="FF63BE7B"/>
      </colorScale>
    </cfRule>
  </conditionalFormatting>
  <conditionalFormatting sqref="C7187:C7188">
    <cfRule type="colorScale" priority="4673">
      <colorScale>
        <cfvo type="min"/>
        <cfvo type="percentile" val="50"/>
        <cfvo type="max"/>
        <color rgb="FFF8696B"/>
        <color rgb="FFFFEB84"/>
        <color rgb="FF63BE7B"/>
      </colorScale>
    </cfRule>
  </conditionalFormatting>
  <conditionalFormatting sqref="C7192:C7193">
    <cfRule type="colorScale" priority="4678">
      <colorScale>
        <cfvo type="min"/>
        <cfvo type="percentile" val="50"/>
        <cfvo type="max"/>
        <color rgb="FFF8696B"/>
        <color rgb="FFFFEB84"/>
        <color rgb="FF63BE7B"/>
      </colorScale>
    </cfRule>
  </conditionalFormatting>
  <conditionalFormatting sqref="C7197:C7198">
    <cfRule type="colorScale" priority="4683">
      <colorScale>
        <cfvo type="min"/>
        <cfvo type="percentile" val="50"/>
        <cfvo type="max"/>
        <color rgb="FFF8696B"/>
        <color rgb="FFFFEB84"/>
        <color rgb="FF63BE7B"/>
      </colorScale>
    </cfRule>
  </conditionalFormatting>
  <conditionalFormatting sqref="C7202:C7203">
    <cfRule type="colorScale" priority="4688">
      <colorScale>
        <cfvo type="min"/>
        <cfvo type="percentile" val="50"/>
        <cfvo type="max"/>
        <color rgb="FFF8696B"/>
        <color rgb="FFFFEB84"/>
        <color rgb="FF63BE7B"/>
      </colorScale>
    </cfRule>
  </conditionalFormatting>
  <conditionalFormatting sqref="C7207">
    <cfRule type="colorScale" priority="4693">
      <colorScale>
        <cfvo type="min"/>
        <cfvo type="percentile" val="50"/>
        <cfvo type="max"/>
        <color rgb="FFF8696B"/>
        <color rgb="FFFFEB84"/>
        <color rgb="FF63BE7B"/>
      </colorScale>
    </cfRule>
  </conditionalFormatting>
  <conditionalFormatting sqref="C7211:C7212">
    <cfRule type="colorScale" priority="4698">
      <colorScale>
        <cfvo type="min"/>
        <cfvo type="percentile" val="50"/>
        <cfvo type="max"/>
        <color rgb="FFF8696B"/>
        <color rgb="FFFFEB84"/>
        <color rgb="FF63BE7B"/>
      </colorScale>
    </cfRule>
  </conditionalFormatting>
  <conditionalFormatting sqref="C7216:C7217">
    <cfRule type="colorScale" priority="4703">
      <colorScale>
        <cfvo type="min"/>
        <cfvo type="percentile" val="50"/>
        <cfvo type="max"/>
        <color rgb="FFF8696B"/>
        <color rgb="FFFFEB84"/>
        <color rgb="FF63BE7B"/>
      </colorScale>
    </cfRule>
  </conditionalFormatting>
  <conditionalFormatting sqref="C7221:C7224">
    <cfRule type="colorScale" priority="4708">
      <colorScale>
        <cfvo type="min"/>
        <cfvo type="percentile" val="50"/>
        <cfvo type="max"/>
        <color rgb="FFF8696B"/>
        <color rgb="FFFFEB84"/>
        <color rgb="FF63BE7B"/>
      </colorScale>
    </cfRule>
  </conditionalFormatting>
  <conditionalFormatting sqref="C7228">
    <cfRule type="colorScale" priority="4714">
      <colorScale>
        <cfvo type="min"/>
        <cfvo type="percentile" val="50"/>
        <cfvo type="max"/>
        <color rgb="FFF8696B"/>
        <color rgb="FFFFEB84"/>
        <color rgb="FF63BE7B"/>
      </colorScale>
    </cfRule>
  </conditionalFormatting>
  <conditionalFormatting sqref="C7232:C7233">
    <cfRule type="colorScale" priority="4718">
      <colorScale>
        <cfvo type="min"/>
        <cfvo type="percentile" val="50"/>
        <cfvo type="max"/>
        <color rgb="FFF8696B"/>
        <color rgb="FFFFEB84"/>
        <color rgb="FF63BE7B"/>
      </colorScale>
    </cfRule>
  </conditionalFormatting>
  <conditionalFormatting sqref="C7241:C7242">
    <cfRule type="colorScale" priority="4728">
      <colorScale>
        <cfvo type="min"/>
        <cfvo type="percentile" val="50"/>
        <cfvo type="max"/>
        <color rgb="FFF8696B"/>
        <color rgb="FFFFEB84"/>
        <color rgb="FF63BE7B"/>
      </colorScale>
    </cfRule>
  </conditionalFormatting>
  <conditionalFormatting sqref="C7246">
    <cfRule type="colorScale" priority="4733">
      <colorScale>
        <cfvo type="min"/>
        <cfvo type="percentile" val="50"/>
        <cfvo type="max"/>
        <color rgb="FFF8696B"/>
        <color rgb="FFFFEB84"/>
        <color rgb="FF63BE7B"/>
      </colorScale>
    </cfRule>
  </conditionalFormatting>
  <conditionalFormatting sqref="C7250:C7251">
    <cfRule type="colorScale" priority="4738">
      <colorScale>
        <cfvo type="min"/>
        <cfvo type="percentile" val="50"/>
        <cfvo type="max"/>
        <color rgb="FFF8696B"/>
        <color rgb="FFFFEB84"/>
        <color rgb="FF63BE7B"/>
      </colorScale>
    </cfRule>
  </conditionalFormatting>
  <conditionalFormatting sqref="C7255:C7256">
    <cfRule type="colorScale" priority="4743">
      <colorScale>
        <cfvo type="min"/>
        <cfvo type="percentile" val="50"/>
        <cfvo type="max"/>
        <color rgb="FFF8696B"/>
        <color rgb="FFFFEB84"/>
        <color rgb="FF63BE7B"/>
      </colorScale>
    </cfRule>
  </conditionalFormatting>
  <conditionalFormatting sqref="C7260:C7261">
    <cfRule type="colorScale" priority="4748">
      <colorScale>
        <cfvo type="min"/>
        <cfvo type="percentile" val="50"/>
        <cfvo type="max"/>
        <color rgb="FFF8696B"/>
        <color rgb="FFFFEB84"/>
        <color rgb="FF63BE7B"/>
      </colorScale>
    </cfRule>
  </conditionalFormatting>
  <conditionalFormatting sqref="C7265:C7266">
    <cfRule type="colorScale" priority="4753">
      <colorScale>
        <cfvo type="min"/>
        <cfvo type="percentile" val="50"/>
        <cfvo type="max"/>
        <color rgb="FFF8696B"/>
        <color rgb="FFFFEB84"/>
        <color rgb="FF63BE7B"/>
      </colorScale>
    </cfRule>
  </conditionalFormatting>
  <conditionalFormatting sqref="C7270:C7271">
    <cfRule type="colorScale" priority="4758">
      <colorScale>
        <cfvo type="min"/>
        <cfvo type="percentile" val="50"/>
        <cfvo type="max"/>
        <color rgb="FFF8696B"/>
        <color rgb="FFFFEB84"/>
        <color rgb="FF63BE7B"/>
      </colorScale>
    </cfRule>
  </conditionalFormatting>
  <conditionalFormatting sqref="C7275:C7276">
    <cfRule type="colorScale" priority="4763">
      <colorScale>
        <cfvo type="min"/>
        <cfvo type="percentile" val="50"/>
        <cfvo type="max"/>
        <color rgb="FFF8696B"/>
        <color rgb="FFFFEB84"/>
        <color rgb="FF63BE7B"/>
      </colorScale>
    </cfRule>
  </conditionalFormatting>
  <conditionalFormatting sqref="C7280">
    <cfRule type="colorScale" priority="4768">
      <colorScale>
        <cfvo type="min"/>
        <cfvo type="percentile" val="50"/>
        <cfvo type="max"/>
        <color rgb="FFF8696B"/>
        <color rgb="FFFFEB84"/>
        <color rgb="FF63BE7B"/>
      </colorScale>
    </cfRule>
  </conditionalFormatting>
  <conditionalFormatting sqref="C7284:C7285">
    <cfRule type="colorScale" priority="4773">
      <colorScale>
        <cfvo type="min"/>
        <cfvo type="percentile" val="50"/>
        <cfvo type="max"/>
        <color rgb="FFF8696B"/>
        <color rgb="FFFFEB84"/>
        <color rgb="FF63BE7B"/>
      </colorScale>
    </cfRule>
  </conditionalFormatting>
  <conditionalFormatting sqref="C7289:C7290">
    <cfRule type="colorScale" priority="4778">
      <colorScale>
        <cfvo type="min"/>
        <cfvo type="percentile" val="50"/>
        <cfvo type="max"/>
        <color rgb="FFF8696B"/>
        <color rgb="FFFFEB84"/>
        <color rgb="FF63BE7B"/>
      </colorScale>
    </cfRule>
  </conditionalFormatting>
  <conditionalFormatting sqref="C7294:C7297">
    <cfRule type="colorScale" priority="4783">
      <colorScale>
        <cfvo type="min"/>
        <cfvo type="percentile" val="50"/>
        <cfvo type="max"/>
        <color rgb="FFF8696B"/>
        <color rgb="FFFFEB84"/>
        <color rgb="FF63BE7B"/>
      </colorScale>
    </cfRule>
  </conditionalFormatting>
  <conditionalFormatting sqref="C7301">
    <cfRule type="colorScale" priority="4789">
      <colorScale>
        <cfvo type="min"/>
        <cfvo type="percentile" val="50"/>
        <cfvo type="max"/>
        <color rgb="FFF8696B"/>
        <color rgb="FFFFEB84"/>
        <color rgb="FF63BE7B"/>
      </colorScale>
    </cfRule>
  </conditionalFormatting>
  <conditionalFormatting sqref="C7305:C7306">
    <cfRule type="colorScale" priority="4793">
      <colorScale>
        <cfvo type="min"/>
        <cfvo type="percentile" val="50"/>
        <cfvo type="max"/>
        <color rgb="FFF8696B"/>
        <color rgb="FFFFEB84"/>
        <color rgb="FF63BE7B"/>
      </colorScale>
    </cfRule>
  </conditionalFormatting>
  <conditionalFormatting sqref="C7314:C7315">
    <cfRule type="colorScale" priority="4803">
      <colorScale>
        <cfvo type="min"/>
        <cfvo type="percentile" val="50"/>
        <cfvo type="max"/>
        <color rgb="FFF8696B"/>
        <color rgb="FFFFEB84"/>
        <color rgb="FF63BE7B"/>
      </colorScale>
    </cfRule>
  </conditionalFormatting>
  <conditionalFormatting sqref="C7319">
    <cfRule type="colorScale" priority="4808">
      <colorScale>
        <cfvo type="min"/>
        <cfvo type="percentile" val="50"/>
        <cfvo type="max"/>
        <color rgb="FFF8696B"/>
        <color rgb="FFFFEB84"/>
        <color rgb="FF63BE7B"/>
      </colorScale>
    </cfRule>
  </conditionalFormatting>
  <conditionalFormatting sqref="C7323:C7324">
    <cfRule type="colorScale" priority="4813">
      <colorScale>
        <cfvo type="min"/>
        <cfvo type="percentile" val="50"/>
        <cfvo type="max"/>
        <color rgb="FFF8696B"/>
        <color rgb="FFFFEB84"/>
        <color rgb="FF63BE7B"/>
      </colorScale>
    </cfRule>
  </conditionalFormatting>
  <conditionalFormatting sqref="C7328:C7329">
    <cfRule type="colorScale" priority="4818">
      <colorScale>
        <cfvo type="min"/>
        <cfvo type="percentile" val="50"/>
        <cfvo type="max"/>
        <color rgb="FFF8696B"/>
        <color rgb="FFFFEB84"/>
        <color rgb="FF63BE7B"/>
      </colorScale>
    </cfRule>
  </conditionalFormatting>
  <conditionalFormatting sqref="C7333:C7334">
    <cfRule type="colorScale" priority="4823">
      <colorScale>
        <cfvo type="min"/>
        <cfvo type="percentile" val="50"/>
        <cfvo type="max"/>
        <color rgb="FFF8696B"/>
        <color rgb="FFFFEB84"/>
        <color rgb="FF63BE7B"/>
      </colorScale>
    </cfRule>
  </conditionalFormatting>
  <conditionalFormatting sqref="C7338:C7339">
    <cfRule type="colorScale" priority="4828">
      <colorScale>
        <cfvo type="min"/>
        <cfvo type="percentile" val="50"/>
        <cfvo type="max"/>
        <color rgb="FFF8696B"/>
        <color rgb="FFFFEB84"/>
        <color rgb="FF63BE7B"/>
      </colorScale>
    </cfRule>
  </conditionalFormatting>
  <conditionalFormatting sqref="C7343:C7344">
    <cfRule type="colorScale" priority="4833">
      <colorScale>
        <cfvo type="min"/>
        <cfvo type="percentile" val="50"/>
        <cfvo type="max"/>
        <color rgb="FFF8696B"/>
        <color rgb="FFFFEB84"/>
        <color rgb="FF63BE7B"/>
      </colorScale>
    </cfRule>
  </conditionalFormatting>
  <conditionalFormatting sqref="C7348:C7349">
    <cfRule type="colorScale" priority="4838">
      <colorScale>
        <cfvo type="min"/>
        <cfvo type="percentile" val="50"/>
        <cfvo type="max"/>
        <color rgb="FFF8696B"/>
        <color rgb="FFFFEB84"/>
        <color rgb="FF63BE7B"/>
      </colorScale>
    </cfRule>
  </conditionalFormatting>
  <conditionalFormatting sqref="C7353">
    <cfRule type="colorScale" priority="4843">
      <colorScale>
        <cfvo type="min"/>
        <cfvo type="percentile" val="50"/>
        <cfvo type="max"/>
        <color rgb="FFF8696B"/>
        <color rgb="FFFFEB84"/>
        <color rgb="FF63BE7B"/>
      </colorScale>
    </cfRule>
  </conditionalFormatting>
  <conditionalFormatting sqref="C7357:C7358">
    <cfRule type="colorScale" priority="4848">
      <colorScale>
        <cfvo type="min"/>
        <cfvo type="percentile" val="50"/>
        <cfvo type="max"/>
        <color rgb="FFF8696B"/>
        <color rgb="FFFFEB84"/>
        <color rgb="FF63BE7B"/>
      </colorScale>
    </cfRule>
  </conditionalFormatting>
  <conditionalFormatting sqref="C7362:C7363">
    <cfRule type="colorScale" priority="4853">
      <colorScale>
        <cfvo type="min"/>
        <cfvo type="percentile" val="50"/>
        <cfvo type="max"/>
        <color rgb="FFF8696B"/>
        <color rgb="FFFFEB84"/>
        <color rgb="FF63BE7B"/>
      </colorScale>
    </cfRule>
  </conditionalFormatting>
  <conditionalFormatting sqref="C7367:C7370">
    <cfRule type="colorScale" priority="4858">
      <colorScale>
        <cfvo type="min"/>
        <cfvo type="percentile" val="50"/>
        <cfvo type="max"/>
        <color rgb="FFF8696B"/>
        <color rgb="FFFFEB84"/>
        <color rgb="FF63BE7B"/>
      </colorScale>
    </cfRule>
  </conditionalFormatting>
  <conditionalFormatting sqref="C7374">
    <cfRule type="colorScale" priority="4864">
      <colorScale>
        <cfvo type="min"/>
        <cfvo type="percentile" val="50"/>
        <cfvo type="max"/>
        <color rgb="FFF8696B"/>
        <color rgb="FFFFEB84"/>
        <color rgb="FF63BE7B"/>
      </colorScale>
    </cfRule>
  </conditionalFormatting>
  <conditionalFormatting sqref="C7378:C7379">
    <cfRule type="colorScale" priority="4868">
      <colorScale>
        <cfvo type="min"/>
        <cfvo type="percentile" val="50"/>
        <cfvo type="max"/>
        <color rgb="FFF8696B"/>
        <color rgb="FFFFEB84"/>
        <color rgb="FF63BE7B"/>
      </colorScale>
    </cfRule>
  </conditionalFormatting>
  <conditionalFormatting sqref="C7387">
    <cfRule type="colorScale" priority="4878">
      <colorScale>
        <cfvo type="min"/>
        <cfvo type="percentile" val="50"/>
        <cfvo type="max"/>
        <color rgb="FFF8696B"/>
        <color rgb="FFFFEB84"/>
        <color rgb="FF63BE7B"/>
      </colorScale>
    </cfRule>
  </conditionalFormatting>
  <conditionalFormatting sqref="C7391">
    <cfRule type="colorScale" priority="4883">
      <colorScale>
        <cfvo type="min"/>
        <cfvo type="percentile" val="50"/>
        <cfvo type="max"/>
        <color rgb="FFF8696B"/>
        <color rgb="FFFFEB84"/>
        <color rgb="FF63BE7B"/>
      </colorScale>
    </cfRule>
  </conditionalFormatting>
  <conditionalFormatting sqref="C7395">
    <cfRule type="colorScale" priority="4888">
      <colorScale>
        <cfvo type="min"/>
        <cfvo type="percentile" val="50"/>
        <cfvo type="max"/>
        <color rgb="FFF8696B"/>
        <color rgb="FFFFEB84"/>
        <color rgb="FF63BE7B"/>
      </colorScale>
    </cfRule>
  </conditionalFormatting>
  <conditionalFormatting sqref="C7399">
    <cfRule type="colorScale" priority="4893">
      <colorScale>
        <cfvo type="min"/>
        <cfvo type="percentile" val="50"/>
        <cfvo type="max"/>
        <color rgb="FFF8696B"/>
        <color rgb="FFFFEB84"/>
        <color rgb="FF63BE7B"/>
      </colorScale>
    </cfRule>
  </conditionalFormatting>
  <conditionalFormatting sqref="C7403:C7404">
    <cfRule type="colorScale" priority="4898">
      <colorScale>
        <cfvo type="min"/>
        <cfvo type="percentile" val="50"/>
        <cfvo type="max"/>
        <color rgb="FFF8696B"/>
        <color rgb="FFFFEB84"/>
        <color rgb="FF63BE7B"/>
      </colorScale>
    </cfRule>
  </conditionalFormatting>
  <conditionalFormatting sqref="C7408:C7409">
    <cfRule type="colorScale" priority="4903">
      <colorScale>
        <cfvo type="min"/>
        <cfvo type="percentile" val="50"/>
        <cfvo type="max"/>
        <color rgb="FFF8696B"/>
        <color rgb="FFFFEB84"/>
        <color rgb="FF63BE7B"/>
      </colorScale>
    </cfRule>
  </conditionalFormatting>
  <conditionalFormatting sqref="C7413:C7414">
    <cfRule type="colorScale" priority="4908">
      <colorScale>
        <cfvo type="min"/>
        <cfvo type="percentile" val="50"/>
        <cfvo type="max"/>
        <color rgb="FFF8696B"/>
        <color rgb="FFFFEB84"/>
        <color rgb="FF63BE7B"/>
      </colorScale>
    </cfRule>
  </conditionalFormatting>
  <conditionalFormatting sqref="C7418:C7419">
    <cfRule type="colorScale" priority="4913">
      <colorScale>
        <cfvo type="min"/>
        <cfvo type="percentile" val="50"/>
        <cfvo type="max"/>
        <color rgb="FFF8696B"/>
        <color rgb="FFFFEB84"/>
        <color rgb="FF63BE7B"/>
      </colorScale>
    </cfRule>
  </conditionalFormatting>
  <conditionalFormatting sqref="C7423">
    <cfRule type="colorScale" priority="4918">
      <colorScale>
        <cfvo type="min"/>
        <cfvo type="percentile" val="50"/>
        <cfvo type="max"/>
        <color rgb="FFF8696B"/>
        <color rgb="FFFFEB84"/>
        <color rgb="FF63BE7B"/>
      </colorScale>
    </cfRule>
  </conditionalFormatting>
  <conditionalFormatting sqref="C7427:C7428">
    <cfRule type="colorScale" priority="4923">
      <colorScale>
        <cfvo type="min"/>
        <cfvo type="percentile" val="50"/>
        <cfvo type="max"/>
        <color rgb="FFF8696B"/>
        <color rgb="FFFFEB84"/>
        <color rgb="FF63BE7B"/>
      </colorScale>
    </cfRule>
  </conditionalFormatting>
  <conditionalFormatting sqref="C7432:C7433">
    <cfRule type="colorScale" priority="4928">
      <colorScale>
        <cfvo type="min"/>
        <cfvo type="percentile" val="50"/>
        <cfvo type="max"/>
        <color rgb="FFF8696B"/>
        <color rgb="FFFFEB84"/>
        <color rgb="FF63BE7B"/>
      </colorScale>
    </cfRule>
  </conditionalFormatting>
  <conditionalFormatting sqref="C7437:C7440">
    <cfRule type="colorScale" priority="4933">
      <colorScale>
        <cfvo type="min"/>
        <cfvo type="percentile" val="50"/>
        <cfvo type="max"/>
        <color rgb="FFF8696B"/>
        <color rgb="FFFFEB84"/>
        <color rgb="FF63BE7B"/>
      </colorScale>
    </cfRule>
  </conditionalFormatting>
  <conditionalFormatting sqref="C7444">
    <cfRule type="colorScale" priority="4939">
      <colorScale>
        <cfvo type="min"/>
        <cfvo type="percentile" val="50"/>
        <cfvo type="max"/>
        <color rgb="FFF8696B"/>
        <color rgb="FFFFEB84"/>
        <color rgb="FF63BE7B"/>
      </colorScale>
    </cfRule>
  </conditionalFormatting>
  <conditionalFormatting sqref="C7448:C7449">
    <cfRule type="colorScale" priority="4943">
      <colorScale>
        <cfvo type="min"/>
        <cfvo type="percentile" val="50"/>
        <cfvo type="max"/>
        <color rgb="FFF8696B"/>
        <color rgb="FFFFEB84"/>
        <color rgb="FF63BE7B"/>
      </colorScale>
    </cfRule>
  </conditionalFormatting>
  <conditionalFormatting sqref="C7457:C7458">
    <cfRule type="colorScale" priority="4953">
      <colorScale>
        <cfvo type="min"/>
        <cfvo type="percentile" val="50"/>
        <cfvo type="max"/>
        <color rgb="FFF8696B"/>
        <color rgb="FFFFEB84"/>
        <color rgb="FF63BE7B"/>
      </colorScale>
    </cfRule>
  </conditionalFormatting>
  <conditionalFormatting sqref="C7462">
    <cfRule type="colorScale" priority="4958">
      <colorScale>
        <cfvo type="min"/>
        <cfvo type="percentile" val="50"/>
        <cfvo type="max"/>
        <color rgb="FFF8696B"/>
        <color rgb="FFFFEB84"/>
        <color rgb="FF63BE7B"/>
      </colorScale>
    </cfRule>
  </conditionalFormatting>
  <conditionalFormatting sqref="C7466:C7467">
    <cfRule type="colorScale" priority="4963">
      <colorScale>
        <cfvo type="min"/>
        <cfvo type="percentile" val="50"/>
        <cfvo type="max"/>
        <color rgb="FFF8696B"/>
        <color rgb="FFFFEB84"/>
        <color rgb="FF63BE7B"/>
      </colorScale>
    </cfRule>
  </conditionalFormatting>
  <conditionalFormatting sqref="C7471:C7472">
    <cfRule type="colorScale" priority="4968">
      <colorScale>
        <cfvo type="min"/>
        <cfvo type="percentile" val="50"/>
        <cfvo type="max"/>
        <color rgb="FFF8696B"/>
        <color rgb="FFFFEB84"/>
        <color rgb="FF63BE7B"/>
      </colorScale>
    </cfRule>
  </conditionalFormatting>
  <conditionalFormatting sqref="C7476:C7477">
    <cfRule type="colorScale" priority="4973">
      <colorScale>
        <cfvo type="min"/>
        <cfvo type="percentile" val="50"/>
        <cfvo type="max"/>
        <color rgb="FFF8696B"/>
        <color rgb="FFFFEB84"/>
        <color rgb="FF63BE7B"/>
      </colorScale>
    </cfRule>
  </conditionalFormatting>
  <conditionalFormatting sqref="C7481:C7482">
    <cfRule type="colorScale" priority="4978">
      <colorScale>
        <cfvo type="min"/>
        <cfvo type="percentile" val="50"/>
        <cfvo type="max"/>
        <color rgb="FFF8696B"/>
        <color rgb="FFFFEB84"/>
        <color rgb="FF63BE7B"/>
      </colorScale>
    </cfRule>
  </conditionalFormatting>
  <conditionalFormatting sqref="C7486:C7487">
    <cfRule type="colorScale" priority="4983">
      <colorScale>
        <cfvo type="min"/>
        <cfvo type="percentile" val="50"/>
        <cfvo type="max"/>
        <color rgb="FFF8696B"/>
        <color rgb="FFFFEB84"/>
        <color rgb="FF63BE7B"/>
      </colorScale>
    </cfRule>
  </conditionalFormatting>
  <conditionalFormatting sqref="C7491:C7492">
    <cfRule type="colorScale" priority="4988">
      <colorScale>
        <cfvo type="min"/>
        <cfvo type="percentile" val="50"/>
        <cfvo type="max"/>
        <color rgb="FFF8696B"/>
        <color rgb="FFFFEB84"/>
        <color rgb="FF63BE7B"/>
      </colorScale>
    </cfRule>
  </conditionalFormatting>
  <conditionalFormatting sqref="C7496">
    <cfRule type="colorScale" priority="4993">
      <colorScale>
        <cfvo type="min"/>
        <cfvo type="percentile" val="50"/>
        <cfvo type="max"/>
        <color rgb="FFF8696B"/>
        <color rgb="FFFFEB84"/>
        <color rgb="FF63BE7B"/>
      </colorScale>
    </cfRule>
  </conditionalFormatting>
  <conditionalFormatting sqref="C7500:C7501">
    <cfRule type="colorScale" priority="4998">
      <colorScale>
        <cfvo type="min"/>
        <cfvo type="percentile" val="50"/>
        <cfvo type="max"/>
        <color rgb="FFF8696B"/>
        <color rgb="FFFFEB84"/>
        <color rgb="FF63BE7B"/>
      </colorScale>
    </cfRule>
  </conditionalFormatting>
  <conditionalFormatting sqref="C7505:C7506">
    <cfRule type="colorScale" priority="5003">
      <colorScale>
        <cfvo type="min"/>
        <cfvo type="percentile" val="50"/>
        <cfvo type="max"/>
        <color rgb="FFF8696B"/>
        <color rgb="FFFFEB84"/>
        <color rgb="FF63BE7B"/>
      </colorScale>
    </cfRule>
  </conditionalFormatting>
  <conditionalFormatting sqref="C7510:C7513">
    <cfRule type="colorScale" priority="5008">
      <colorScale>
        <cfvo type="min"/>
        <cfvo type="percentile" val="50"/>
        <cfvo type="max"/>
        <color rgb="FFF8696B"/>
        <color rgb="FFFFEB84"/>
        <color rgb="FF63BE7B"/>
      </colorScale>
    </cfRule>
  </conditionalFormatting>
  <conditionalFormatting sqref="C7517">
    <cfRule type="colorScale" priority="5014">
      <colorScale>
        <cfvo type="min"/>
        <cfvo type="percentile" val="50"/>
        <cfvo type="max"/>
        <color rgb="FFF8696B"/>
        <color rgb="FFFFEB84"/>
        <color rgb="FF63BE7B"/>
      </colorScale>
    </cfRule>
  </conditionalFormatting>
  <conditionalFormatting sqref="C7521">
    <cfRule type="colorScale" priority="5018">
      <colorScale>
        <cfvo type="min"/>
        <cfvo type="percentile" val="50"/>
        <cfvo type="max"/>
        <color rgb="FFF8696B"/>
        <color rgb="FFFFEB84"/>
        <color rgb="FF63BE7B"/>
      </colorScale>
    </cfRule>
  </conditionalFormatting>
  <conditionalFormatting sqref="C7529:C7530">
    <cfRule type="colorScale" priority="5028">
      <colorScale>
        <cfvo type="min"/>
        <cfvo type="percentile" val="50"/>
        <cfvo type="max"/>
        <color rgb="FFF8696B"/>
        <color rgb="FFFFEB84"/>
        <color rgb="FF63BE7B"/>
      </colorScale>
    </cfRule>
  </conditionalFormatting>
  <conditionalFormatting sqref="C7534">
    <cfRule type="colorScale" priority="5033">
      <colorScale>
        <cfvo type="min"/>
        <cfvo type="percentile" val="50"/>
        <cfvo type="max"/>
        <color rgb="FFF8696B"/>
        <color rgb="FFFFEB84"/>
        <color rgb="FF63BE7B"/>
      </colorScale>
    </cfRule>
  </conditionalFormatting>
  <conditionalFormatting sqref="C7538:C7539">
    <cfRule type="colorScale" priority="5038">
      <colorScale>
        <cfvo type="min"/>
        <cfvo type="percentile" val="50"/>
        <cfvo type="max"/>
        <color rgb="FFF8696B"/>
        <color rgb="FFFFEB84"/>
        <color rgb="FF63BE7B"/>
      </colorScale>
    </cfRule>
  </conditionalFormatting>
  <conditionalFormatting sqref="C7543">
    <cfRule type="colorScale" priority="5043">
      <colorScale>
        <cfvo type="min"/>
        <cfvo type="percentile" val="50"/>
        <cfvo type="max"/>
        <color rgb="FFF8696B"/>
        <color rgb="FFFFEB84"/>
        <color rgb="FF63BE7B"/>
      </colorScale>
    </cfRule>
  </conditionalFormatting>
  <conditionalFormatting sqref="C7547:C7548">
    <cfRule type="colorScale" priority="5048">
      <colorScale>
        <cfvo type="min"/>
        <cfvo type="percentile" val="50"/>
        <cfvo type="max"/>
        <color rgb="FFF8696B"/>
        <color rgb="FFFFEB84"/>
        <color rgb="FF63BE7B"/>
      </colorScale>
    </cfRule>
  </conditionalFormatting>
  <conditionalFormatting sqref="C7552:C7553">
    <cfRule type="colorScale" priority="5053">
      <colorScale>
        <cfvo type="min"/>
        <cfvo type="percentile" val="50"/>
        <cfvo type="max"/>
        <color rgb="FFF8696B"/>
        <color rgb="FFFFEB84"/>
        <color rgb="FF63BE7B"/>
      </colorScale>
    </cfRule>
  </conditionalFormatting>
  <conditionalFormatting sqref="C7557:C7558">
    <cfRule type="colorScale" priority="5058">
      <colorScale>
        <cfvo type="min"/>
        <cfvo type="percentile" val="50"/>
        <cfvo type="max"/>
        <color rgb="FFF8696B"/>
        <color rgb="FFFFEB84"/>
        <color rgb="FF63BE7B"/>
      </colorScale>
    </cfRule>
  </conditionalFormatting>
  <conditionalFormatting sqref="C7562:C7563">
    <cfRule type="colorScale" priority="5063">
      <colorScale>
        <cfvo type="min"/>
        <cfvo type="percentile" val="50"/>
        <cfvo type="max"/>
        <color rgb="FFF8696B"/>
        <color rgb="FFFFEB84"/>
        <color rgb="FF63BE7B"/>
      </colorScale>
    </cfRule>
  </conditionalFormatting>
  <conditionalFormatting sqref="C7567">
    <cfRule type="colorScale" priority="5068">
      <colorScale>
        <cfvo type="min"/>
        <cfvo type="percentile" val="50"/>
        <cfvo type="max"/>
        <color rgb="FFF8696B"/>
        <color rgb="FFFFEB84"/>
        <color rgb="FF63BE7B"/>
      </colorScale>
    </cfRule>
  </conditionalFormatting>
  <conditionalFormatting sqref="C7571:C7572">
    <cfRule type="colorScale" priority="5073">
      <colorScale>
        <cfvo type="min"/>
        <cfvo type="percentile" val="50"/>
        <cfvo type="max"/>
        <color rgb="FFF8696B"/>
        <color rgb="FFFFEB84"/>
        <color rgb="FF63BE7B"/>
      </colorScale>
    </cfRule>
  </conditionalFormatting>
  <conditionalFormatting sqref="C7576:C7577">
    <cfRule type="colorScale" priority="5078">
      <colorScale>
        <cfvo type="min"/>
        <cfvo type="percentile" val="50"/>
        <cfvo type="max"/>
        <color rgb="FFF8696B"/>
        <color rgb="FFFFEB84"/>
        <color rgb="FF63BE7B"/>
      </colorScale>
    </cfRule>
  </conditionalFormatting>
  <conditionalFormatting sqref="C7581:C7584">
    <cfRule type="colorScale" priority="5083">
      <colorScale>
        <cfvo type="min"/>
        <cfvo type="percentile" val="50"/>
        <cfvo type="max"/>
        <color rgb="FFF8696B"/>
        <color rgb="FFFFEB84"/>
        <color rgb="FF63BE7B"/>
      </colorScale>
    </cfRule>
  </conditionalFormatting>
  <conditionalFormatting sqref="C7588">
    <cfRule type="colorScale" priority="5089">
      <colorScale>
        <cfvo type="min"/>
        <cfvo type="percentile" val="50"/>
        <cfvo type="max"/>
        <color rgb="FFF8696B"/>
        <color rgb="FFFFEB84"/>
        <color rgb="FF63BE7B"/>
      </colorScale>
    </cfRule>
  </conditionalFormatting>
  <conditionalFormatting sqref="C7592">
    <cfRule type="colorScale" priority="5093">
      <colorScale>
        <cfvo type="min"/>
        <cfvo type="percentile" val="50"/>
        <cfvo type="max"/>
        <color rgb="FFF8696B"/>
        <color rgb="FFFFEB84"/>
        <color rgb="FF63BE7B"/>
      </colorScale>
    </cfRule>
  </conditionalFormatting>
  <conditionalFormatting sqref="C7600:C7601">
    <cfRule type="colorScale" priority="5103">
      <colorScale>
        <cfvo type="min"/>
        <cfvo type="percentile" val="50"/>
        <cfvo type="max"/>
        <color rgb="FFF8696B"/>
        <color rgb="FFFFEB84"/>
        <color rgb="FF63BE7B"/>
      </colorScale>
    </cfRule>
  </conditionalFormatting>
  <conditionalFormatting sqref="C7605:C7606">
    <cfRule type="colorScale" priority="5108">
      <colorScale>
        <cfvo type="min"/>
        <cfvo type="percentile" val="50"/>
        <cfvo type="max"/>
        <color rgb="FFF8696B"/>
        <color rgb="FFFFEB84"/>
        <color rgb="FF63BE7B"/>
      </colorScale>
    </cfRule>
  </conditionalFormatting>
  <conditionalFormatting sqref="C7610:C7611">
    <cfRule type="colorScale" priority="5113">
      <colorScale>
        <cfvo type="min"/>
        <cfvo type="percentile" val="50"/>
        <cfvo type="max"/>
        <color rgb="FFF8696B"/>
        <color rgb="FFFFEB84"/>
        <color rgb="FF63BE7B"/>
      </colorScale>
    </cfRule>
  </conditionalFormatting>
  <conditionalFormatting sqref="C7615">
    <cfRule type="colorScale" priority="5118">
      <colorScale>
        <cfvo type="min"/>
        <cfvo type="percentile" val="50"/>
        <cfvo type="max"/>
        <color rgb="FFF8696B"/>
        <color rgb="FFFFEB84"/>
        <color rgb="FF63BE7B"/>
      </colorScale>
    </cfRule>
  </conditionalFormatting>
  <conditionalFormatting sqref="C7619:C7620">
    <cfRule type="colorScale" priority="5123">
      <colorScale>
        <cfvo type="min"/>
        <cfvo type="percentile" val="50"/>
        <cfvo type="max"/>
        <color rgb="FFF8696B"/>
        <color rgb="FFFFEB84"/>
        <color rgb="FF63BE7B"/>
      </colorScale>
    </cfRule>
  </conditionalFormatting>
  <conditionalFormatting sqref="C7624:C7625">
    <cfRule type="colorScale" priority="5128">
      <colorScale>
        <cfvo type="min"/>
        <cfvo type="percentile" val="50"/>
        <cfvo type="max"/>
        <color rgb="FFF8696B"/>
        <color rgb="FFFFEB84"/>
        <color rgb="FF63BE7B"/>
      </colorScale>
    </cfRule>
  </conditionalFormatting>
  <conditionalFormatting sqref="C7629:C7630">
    <cfRule type="colorScale" priority="5133">
      <colorScale>
        <cfvo type="min"/>
        <cfvo type="percentile" val="50"/>
        <cfvo type="max"/>
        <color rgb="FFF8696B"/>
        <color rgb="FFFFEB84"/>
        <color rgb="FF63BE7B"/>
      </colorScale>
    </cfRule>
  </conditionalFormatting>
  <conditionalFormatting sqref="C7634:C7635">
    <cfRule type="colorScale" priority="5138">
      <colorScale>
        <cfvo type="min"/>
        <cfvo type="percentile" val="50"/>
        <cfvo type="max"/>
        <color rgb="FFF8696B"/>
        <color rgb="FFFFEB84"/>
        <color rgb="FF63BE7B"/>
      </colorScale>
    </cfRule>
  </conditionalFormatting>
  <conditionalFormatting sqref="C7639">
    <cfRule type="colorScale" priority="5143">
      <colorScale>
        <cfvo type="min"/>
        <cfvo type="percentile" val="50"/>
        <cfvo type="max"/>
        <color rgb="FFF8696B"/>
        <color rgb="FFFFEB84"/>
        <color rgb="FF63BE7B"/>
      </colorScale>
    </cfRule>
  </conditionalFormatting>
  <conditionalFormatting sqref="C7643:C7644">
    <cfRule type="colorScale" priority="5148">
      <colorScale>
        <cfvo type="min"/>
        <cfvo type="percentile" val="50"/>
        <cfvo type="max"/>
        <color rgb="FFF8696B"/>
        <color rgb="FFFFEB84"/>
        <color rgb="FF63BE7B"/>
      </colorScale>
    </cfRule>
  </conditionalFormatting>
  <conditionalFormatting sqref="C7648:C7649">
    <cfRule type="colorScale" priority="5153">
      <colorScale>
        <cfvo type="min"/>
        <cfvo type="percentile" val="50"/>
        <cfvo type="max"/>
        <color rgb="FFF8696B"/>
        <color rgb="FFFFEB84"/>
        <color rgb="FF63BE7B"/>
      </colorScale>
    </cfRule>
  </conditionalFormatting>
  <conditionalFormatting sqref="C7653:C7656">
    <cfRule type="colorScale" priority="5158">
      <colorScale>
        <cfvo type="min"/>
        <cfvo type="percentile" val="50"/>
        <cfvo type="max"/>
        <color rgb="FFF8696B"/>
        <color rgb="FFFFEB84"/>
        <color rgb="FF63BE7B"/>
      </colorScale>
    </cfRule>
  </conditionalFormatting>
  <conditionalFormatting sqref="C7660">
    <cfRule type="colorScale" priority="5164">
      <colorScale>
        <cfvo type="min"/>
        <cfvo type="percentile" val="50"/>
        <cfvo type="max"/>
        <color rgb="FFF8696B"/>
        <color rgb="FFFFEB84"/>
        <color rgb="FF63BE7B"/>
      </colorScale>
    </cfRule>
  </conditionalFormatting>
  <conditionalFormatting sqref="C7664:C7665">
    <cfRule type="colorScale" priority="5168">
      <colorScale>
        <cfvo type="min"/>
        <cfvo type="percentile" val="50"/>
        <cfvo type="max"/>
        <color rgb="FFF8696B"/>
        <color rgb="FFFFEB84"/>
        <color rgb="FF63BE7B"/>
      </colorScale>
    </cfRule>
  </conditionalFormatting>
  <conditionalFormatting sqref="C7673:C7674">
    <cfRule type="colorScale" priority="5178">
      <colorScale>
        <cfvo type="min"/>
        <cfvo type="percentile" val="50"/>
        <cfvo type="max"/>
        <color rgb="FFF8696B"/>
        <color rgb="FFFFEB84"/>
        <color rgb="FF63BE7B"/>
      </colorScale>
    </cfRule>
  </conditionalFormatting>
  <conditionalFormatting sqref="C7678:C7679">
    <cfRule type="colorScale" priority="5183">
      <colorScale>
        <cfvo type="min"/>
        <cfvo type="percentile" val="50"/>
        <cfvo type="max"/>
        <color rgb="FFF8696B"/>
        <color rgb="FFFFEB84"/>
        <color rgb="FF63BE7B"/>
      </colorScale>
    </cfRule>
  </conditionalFormatting>
  <conditionalFormatting sqref="C7683:C7684">
    <cfRule type="colorScale" priority="5188">
      <colorScale>
        <cfvo type="min"/>
        <cfvo type="percentile" val="50"/>
        <cfvo type="max"/>
        <color rgb="FFF8696B"/>
        <color rgb="FFFFEB84"/>
        <color rgb="FF63BE7B"/>
      </colorScale>
    </cfRule>
  </conditionalFormatting>
  <conditionalFormatting sqref="C7688:C7689">
    <cfRule type="colorScale" priority="5193">
      <colorScale>
        <cfvo type="min"/>
        <cfvo type="percentile" val="50"/>
        <cfvo type="max"/>
        <color rgb="FFF8696B"/>
        <color rgb="FFFFEB84"/>
        <color rgb="FF63BE7B"/>
      </colorScale>
    </cfRule>
  </conditionalFormatting>
  <conditionalFormatting sqref="C7693:C7694">
    <cfRule type="colorScale" priority="5198">
      <colorScale>
        <cfvo type="min"/>
        <cfvo type="percentile" val="50"/>
        <cfvo type="max"/>
        <color rgb="FFF8696B"/>
        <color rgb="FFFFEB84"/>
        <color rgb="FF63BE7B"/>
      </colorScale>
    </cfRule>
  </conditionalFormatting>
  <conditionalFormatting sqref="C7698:C7699">
    <cfRule type="colorScale" priority="5203">
      <colorScale>
        <cfvo type="min"/>
        <cfvo type="percentile" val="50"/>
        <cfvo type="max"/>
        <color rgb="FFF8696B"/>
        <color rgb="FFFFEB84"/>
        <color rgb="FF63BE7B"/>
      </colorScale>
    </cfRule>
  </conditionalFormatting>
  <conditionalFormatting sqref="C7703:C7704">
    <cfRule type="colorScale" priority="5208">
      <colorScale>
        <cfvo type="min"/>
        <cfvo type="percentile" val="50"/>
        <cfvo type="max"/>
        <color rgb="FFF8696B"/>
        <color rgb="FFFFEB84"/>
        <color rgb="FF63BE7B"/>
      </colorScale>
    </cfRule>
  </conditionalFormatting>
  <conditionalFormatting sqref="C7708:C7709">
    <cfRule type="colorScale" priority="5213">
      <colorScale>
        <cfvo type="min"/>
        <cfvo type="percentile" val="50"/>
        <cfvo type="max"/>
        <color rgb="FFF8696B"/>
        <color rgb="FFFFEB84"/>
        <color rgb="FF63BE7B"/>
      </colorScale>
    </cfRule>
  </conditionalFormatting>
  <conditionalFormatting sqref="C7713">
    <cfRule type="colorScale" priority="5218">
      <colorScale>
        <cfvo type="min"/>
        <cfvo type="percentile" val="50"/>
        <cfvo type="max"/>
        <color rgb="FFF8696B"/>
        <color rgb="FFFFEB84"/>
        <color rgb="FF63BE7B"/>
      </colorScale>
    </cfRule>
  </conditionalFormatting>
  <conditionalFormatting sqref="C7717:C7718">
    <cfRule type="colorScale" priority="5223">
      <colorScale>
        <cfvo type="min"/>
        <cfvo type="percentile" val="50"/>
        <cfvo type="max"/>
        <color rgb="FFF8696B"/>
        <color rgb="FFFFEB84"/>
        <color rgb="FF63BE7B"/>
      </colorScale>
    </cfRule>
  </conditionalFormatting>
  <conditionalFormatting sqref="C7722:C7723">
    <cfRule type="colorScale" priority="5228">
      <colorScale>
        <cfvo type="min"/>
        <cfvo type="percentile" val="50"/>
        <cfvo type="max"/>
        <color rgb="FFF8696B"/>
        <color rgb="FFFFEB84"/>
        <color rgb="FF63BE7B"/>
      </colorScale>
    </cfRule>
  </conditionalFormatting>
  <conditionalFormatting sqref="C7727:C7730">
    <cfRule type="colorScale" priority="5233">
      <colorScale>
        <cfvo type="min"/>
        <cfvo type="percentile" val="50"/>
        <cfvo type="max"/>
        <color rgb="FFF8696B"/>
        <color rgb="FFFFEB84"/>
        <color rgb="FF63BE7B"/>
      </colorScale>
    </cfRule>
  </conditionalFormatting>
  <conditionalFormatting sqref="C7734">
    <cfRule type="colorScale" priority="5239">
      <colorScale>
        <cfvo type="min"/>
        <cfvo type="percentile" val="50"/>
        <cfvo type="max"/>
        <color rgb="FFF8696B"/>
        <color rgb="FFFFEB84"/>
        <color rgb="FF63BE7B"/>
      </colorScale>
    </cfRule>
  </conditionalFormatting>
  <conditionalFormatting sqref="C7738">
    <cfRule type="colorScale" priority="5243">
      <colorScale>
        <cfvo type="min"/>
        <cfvo type="percentile" val="50"/>
        <cfvo type="max"/>
        <color rgb="FFF8696B"/>
        <color rgb="FFFFEB84"/>
        <color rgb="FF63BE7B"/>
      </colorScale>
    </cfRule>
  </conditionalFormatting>
  <conditionalFormatting sqref="C7746:C7747">
    <cfRule type="colorScale" priority="5253">
      <colorScale>
        <cfvo type="min"/>
        <cfvo type="percentile" val="50"/>
        <cfvo type="max"/>
        <color rgb="FFF8696B"/>
        <color rgb="FFFFEB84"/>
        <color rgb="FF63BE7B"/>
      </colorScale>
    </cfRule>
  </conditionalFormatting>
  <conditionalFormatting sqref="C7751">
    <cfRule type="colorScale" priority="5258">
      <colorScale>
        <cfvo type="min"/>
        <cfvo type="percentile" val="50"/>
        <cfvo type="max"/>
        <color rgb="FFF8696B"/>
        <color rgb="FFFFEB84"/>
        <color rgb="FF63BE7B"/>
      </colorScale>
    </cfRule>
  </conditionalFormatting>
  <conditionalFormatting sqref="C7755:C7756">
    <cfRule type="colorScale" priority="5263">
      <colorScale>
        <cfvo type="min"/>
        <cfvo type="percentile" val="50"/>
        <cfvo type="max"/>
        <color rgb="FFF8696B"/>
        <color rgb="FFFFEB84"/>
        <color rgb="FF63BE7B"/>
      </colorScale>
    </cfRule>
  </conditionalFormatting>
  <conditionalFormatting sqref="C7760">
    <cfRule type="colorScale" priority="5268">
      <colorScale>
        <cfvo type="min"/>
        <cfvo type="percentile" val="50"/>
        <cfvo type="max"/>
        <color rgb="FFF8696B"/>
        <color rgb="FFFFEB84"/>
        <color rgb="FF63BE7B"/>
      </colorScale>
    </cfRule>
  </conditionalFormatting>
  <conditionalFormatting sqref="C7764:C7765">
    <cfRule type="colorScale" priority="5273">
      <colorScale>
        <cfvo type="min"/>
        <cfvo type="percentile" val="50"/>
        <cfvo type="max"/>
        <color rgb="FFF8696B"/>
        <color rgb="FFFFEB84"/>
        <color rgb="FF63BE7B"/>
      </colorScale>
    </cfRule>
  </conditionalFormatting>
  <conditionalFormatting sqref="C7769:C7770">
    <cfRule type="colorScale" priority="5278">
      <colorScale>
        <cfvo type="min"/>
        <cfvo type="percentile" val="50"/>
        <cfvo type="max"/>
        <color rgb="FFF8696B"/>
        <color rgb="FFFFEB84"/>
        <color rgb="FF63BE7B"/>
      </colorScale>
    </cfRule>
  </conditionalFormatting>
  <conditionalFormatting sqref="C7774:C7775">
    <cfRule type="colorScale" priority="5283">
      <colorScale>
        <cfvo type="min"/>
        <cfvo type="percentile" val="50"/>
        <cfvo type="max"/>
        <color rgb="FFF8696B"/>
        <color rgb="FFFFEB84"/>
        <color rgb="FF63BE7B"/>
      </colorScale>
    </cfRule>
  </conditionalFormatting>
  <conditionalFormatting sqref="C7779:C7780">
    <cfRule type="colorScale" priority="5288">
      <colorScale>
        <cfvo type="min"/>
        <cfvo type="percentile" val="50"/>
        <cfvo type="max"/>
        <color rgb="FFF8696B"/>
        <color rgb="FFFFEB84"/>
        <color rgb="FF63BE7B"/>
      </colorScale>
    </cfRule>
  </conditionalFormatting>
  <conditionalFormatting sqref="C7784">
    <cfRule type="colorScale" priority="5293">
      <colorScale>
        <cfvo type="min"/>
        <cfvo type="percentile" val="50"/>
        <cfvo type="max"/>
        <color rgb="FFF8696B"/>
        <color rgb="FFFFEB84"/>
        <color rgb="FF63BE7B"/>
      </colorScale>
    </cfRule>
  </conditionalFormatting>
  <conditionalFormatting sqref="C7788:C7789">
    <cfRule type="colorScale" priority="5298">
      <colorScale>
        <cfvo type="min"/>
        <cfvo type="percentile" val="50"/>
        <cfvo type="max"/>
        <color rgb="FFF8696B"/>
        <color rgb="FFFFEB84"/>
        <color rgb="FF63BE7B"/>
      </colorScale>
    </cfRule>
  </conditionalFormatting>
  <conditionalFormatting sqref="C7793:C7794">
    <cfRule type="colorScale" priority="5303">
      <colorScale>
        <cfvo type="min"/>
        <cfvo type="percentile" val="50"/>
        <cfvo type="max"/>
        <color rgb="FFF8696B"/>
        <color rgb="FFFFEB84"/>
        <color rgb="FF63BE7B"/>
      </colorScale>
    </cfRule>
  </conditionalFormatting>
  <conditionalFormatting sqref="C7798:C7801">
    <cfRule type="colorScale" priority="5308">
      <colorScale>
        <cfvo type="min"/>
        <cfvo type="percentile" val="50"/>
        <cfvo type="max"/>
        <color rgb="FFF8696B"/>
        <color rgb="FFFFEB84"/>
        <color rgb="FF63BE7B"/>
      </colorScale>
    </cfRule>
  </conditionalFormatting>
  <conditionalFormatting sqref="C7805">
    <cfRule type="colorScale" priority="5314">
      <colorScale>
        <cfvo type="min"/>
        <cfvo type="percentile" val="50"/>
        <cfvo type="max"/>
        <color rgb="FFF8696B"/>
        <color rgb="FFFFEB84"/>
        <color rgb="FF63BE7B"/>
      </colorScale>
    </cfRule>
  </conditionalFormatting>
  <conditionalFormatting sqref="C7809">
    <cfRule type="colorScale" priority="5318">
      <colorScale>
        <cfvo type="min"/>
        <cfvo type="percentile" val="50"/>
        <cfvo type="max"/>
        <color rgb="FFF8696B"/>
        <color rgb="FFFFEB84"/>
        <color rgb="FF63BE7B"/>
      </colorScale>
    </cfRule>
  </conditionalFormatting>
  <conditionalFormatting sqref="C7817:C7818">
    <cfRule type="colorScale" priority="5328">
      <colorScale>
        <cfvo type="min"/>
        <cfvo type="percentile" val="50"/>
        <cfvo type="max"/>
        <color rgb="FFF8696B"/>
        <color rgb="FFFFEB84"/>
        <color rgb="FF63BE7B"/>
      </colorScale>
    </cfRule>
  </conditionalFormatting>
  <conditionalFormatting sqref="C7822">
    <cfRule type="colorScale" priority="5333">
      <colorScale>
        <cfvo type="min"/>
        <cfvo type="percentile" val="50"/>
        <cfvo type="max"/>
        <color rgb="FFF8696B"/>
        <color rgb="FFFFEB84"/>
        <color rgb="FF63BE7B"/>
      </colorScale>
    </cfRule>
  </conditionalFormatting>
  <conditionalFormatting sqref="C7826">
    <cfRule type="colorScale" priority="5338">
      <colorScale>
        <cfvo type="min"/>
        <cfvo type="percentile" val="50"/>
        <cfvo type="max"/>
        <color rgb="FFF8696B"/>
        <color rgb="FFFFEB84"/>
        <color rgb="FF63BE7B"/>
      </colorScale>
    </cfRule>
  </conditionalFormatting>
  <conditionalFormatting sqref="C7830:C7831">
    <cfRule type="colorScale" priority="5343">
      <colorScale>
        <cfvo type="min"/>
        <cfvo type="percentile" val="50"/>
        <cfvo type="max"/>
        <color rgb="FFF8696B"/>
        <color rgb="FFFFEB84"/>
        <color rgb="FF63BE7B"/>
      </colorScale>
    </cfRule>
  </conditionalFormatting>
  <conditionalFormatting sqref="C7835:C7836">
    <cfRule type="colorScale" priority="5348">
      <colorScale>
        <cfvo type="min"/>
        <cfvo type="percentile" val="50"/>
        <cfvo type="max"/>
        <color rgb="FFF8696B"/>
        <color rgb="FFFFEB84"/>
        <color rgb="FF63BE7B"/>
      </colorScale>
    </cfRule>
  </conditionalFormatting>
  <conditionalFormatting sqref="C7840:C7841">
    <cfRule type="colorScale" priority="5353">
      <colorScale>
        <cfvo type="min"/>
        <cfvo type="percentile" val="50"/>
        <cfvo type="max"/>
        <color rgb="FFF8696B"/>
        <color rgb="FFFFEB84"/>
        <color rgb="FF63BE7B"/>
      </colorScale>
    </cfRule>
  </conditionalFormatting>
  <conditionalFormatting sqref="C7845:C7846">
    <cfRule type="colorScale" priority="5358">
      <colorScale>
        <cfvo type="min"/>
        <cfvo type="percentile" val="50"/>
        <cfvo type="max"/>
        <color rgb="FFF8696B"/>
        <color rgb="FFFFEB84"/>
        <color rgb="FF63BE7B"/>
      </colorScale>
    </cfRule>
  </conditionalFormatting>
  <conditionalFormatting sqref="C7850:C7851">
    <cfRule type="colorScale" priority="5363">
      <colorScale>
        <cfvo type="min"/>
        <cfvo type="percentile" val="50"/>
        <cfvo type="max"/>
        <color rgb="FFF8696B"/>
        <color rgb="FFFFEB84"/>
        <color rgb="FF63BE7B"/>
      </colorScale>
    </cfRule>
  </conditionalFormatting>
  <conditionalFormatting sqref="C7855">
    <cfRule type="colorScale" priority="5368">
      <colorScale>
        <cfvo type="min"/>
        <cfvo type="percentile" val="50"/>
        <cfvo type="max"/>
        <color rgb="FFF8696B"/>
        <color rgb="FFFFEB84"/>
        <color rgb="FF63BE7B"/>
      </colorScale>
    </cfRule>
  </conditionalFormatting>
  <conditionalFormatting sqref="C7859:C7860">
    <cfRule type="colorScale" priority="5373">
      <colorScale>
        <cfvo type="min"/>
        <cfvo type="percentile" val="50"/>
        <cfvo type="max"/>
        <color rgb="FFF8696B"/>
        <color rgb="FFFFEB84"/>
        <color rgb="FF63BE7B"/>
      </colorScale>
    </cfRule>
  </conditionalFormatting>
  <conditionalFormatting sqref="C7864">
    <cfRule type="colorScale" priority="5378">
      <colorScale>
        <cfvo type="min"/>
        <cfvo type="percentile" val="50"/>
        <cfvo type="max"/>
        <color rgb="FFF8696B"/>
        <color rgb="FFFFEB84"/>
        <color rgb="FF63BE7B"/>
      </colorScale>
    </cfRule>
  </conditionalFormatting>
  <conditionalFormatting sqref="C7868:C7871">
    <cfRule type="colorScale" priority="5383">
      <colorScale>
        <cfvo type="min"/>
        <cfvo type="percentile" val="50"/>
        <cfvo type="max"/>
        <color rgb="FFF8696B"/>
        <color rgb="FFFFEB84"/>
        <color rgb="FF63BE7B"/>
      </colorScale>
    </cfRule>
  </conditionalFormatting>
  <conditionalFormatting sqref="C7875">
    <cfRule type="colorScale" priority="5389">
      <colorScale>
        <cfvo type="min"/>
        <cfvo type="percentile" val="50"/>
        <cfvo type="max"/>
        <color rgb="FFF8696B"/>
        <color rgb="FFFFEB84"/>
        <color rgb="FF63BE7B"/>
      </colorScale>
    </cfRule>
  </conditionalFormatting>
  <conditionalFormatting sqref="C7879">
    <cfRule type="colorScale" priority="5393">
      <colorScale>
        <cfvo type="min"/>
        <cfvo type="percentile" val="50"/>
        <cfvo type="max"/>
        <color rgb="FFF8696B"/>
        <color rgb="FFFFEB84"/>
        <color rgb="FF63BE7B"/>
      </colorScale>
    </cfRule>
  </conditionalFormatting>
  <conditionalFormatting sqref="C7887">
    <cfRule type="colorScale" priority="5403">
      <colorScale>
        <cfvo type="min"/>
        <cfvo type="percentile" val="50"/>
        <cfvo type="max"/>
        <color rgb="FFF8696B"/>
        <color rgb="FFFFEB84"/>
        <color rgb="FF63BE7B"/>
      </colorScale>
    </cfRule>
  </conditionalFormatting>
  <conditionalFormatting sqref="C7891">
    <cfRule type="colorScale" priority="5408">
      <colorScale>
        <cfvo type="min"/>
        <cfvo type="percentile" val="50"/>
        <cfvo type="max"/>
        <color rgb="FFF8696B"/>
        <color rgb="FFFFEB84"/>
        <color rgb="FF63BE7B"/>
      </colorScale>
    </cfRule>
  </conditionalFormatting>
  <conditionalFormatting sqref="C7895:C7896">
    <cfRule type="colorScale" priority="5413">
      <colorScale>
        <cfvo type="min"/>
        <cfvo type="percentile" val="50"/>
        <cfvo type="max"/>
        <color rgb="FFF8696B"/>
        <color rgb="FFFFEB84"/>
        <color rgb="FF63BE7B"/>
      </colorScale>
    </cfRule>
  </conditionalFormatting>
  <conditionalFormatting sqref="C7900">
    <cfRule type="colorScale" priority="5418">
      <colorScale>
        <cfvo type="min"/>
        <cfvo type="percentile" val="50"/>
        <cfvo type="max"/>
        <color rgb="FFF8696B"/>
        <color rgb="FFFFEB84"/>
        <color rgb="FF63BE7B"/>
      </colorScale>
    </cfRule>
  </conditionalFormatting>
  <conditionalFormatting sqref="C7904:C7905">
    <cfRule type="colorScale" priority="5423">
      <colorScale>
        <cfvo type="min"/>
        <cfvo type="percentile" val="50"/>
        <cfvo type="max"/>
        <color rgb="FFF8696B"/>
        <color rgb="FFFFEB84"/>
        <color rgb="FF63BE7B"/>
      </colorScale>
    </cfRule>
  </conditionalFormatting>
  <conditionalFormatting sqref="C7909:C7910">
    <cfRule type="colorScale" priority="5428">
      <colorScale>
        <cfvo type="min"/>
        <cfvo type="percentile" val="50"/>
        <cfvo type="max"/>
        <color rgb="FFF8696B"/>
        <color rgb="FFFFEB84"/>
        <color rgb="FF63BE7B"/>
      </colorScale>
    </cfRule>
  </conditionalFormatting>
  <conditionalFormatting sqref="C7914:C7915">
    <cfRule type="colorScale" priority="5433">
      <colorScale>
        <cfvo type="min"/>
        <cfvo type="percentile" val="50"/>
        <cfvo type="max"/>
        <color rgb="FFF8696B"/>
        <color rgb="FFFFEB84"/>
        <color rgb="FF63BE7B"/>
      </colorScale>
    </cfRule>
  </conditionalFormatting>
  <conditionalFormatting sqref="C7919:C7920">
    <cfRule type="colorScale" priority="5438">
      <colorScale>
        <cfvo type="min"/>
        <cfvo type="percentile" val="50"/>
        <cfvo type="max"/>
        <color rgb="FFF8696B"/>
        <color rgb="FFFFEB84"/>
        <color rgb="FF63BE7B"/>
      </colorScale>
    </cfRule>
  </conditionalFormatting>
  <conditionalFormatting sqref="C7924">
    <cfRule type="colorScale" priority="5443">
      <colorScale>
        <cfvo type="min"/>
        <cfvo type="percentile" val="50"/>
        <cfvo type="max"/>
        <color rgb="FFF8696B"/>
        <color rgb="FFFFEB84"/>
        <color rgb="FF63BE7B"/>
      </colorScale>
    </cfRule>
  </conditionalFormatting>
  <conditionalFormatting sqref="C7928:C7929">
    <cfRule type="colorScale" priority="5448">
      <colorScale>
        <cfvo type="min"/>
        <cfvo type="percentile" val="50"/>
        <cfvo type="max"/>
        <color rgb="FFF8696B"/>
        <color rgb="FFFFEB84"/>
        <color rgb="FF63BE7B"/>
      </colorScale>
    </cfRule>
  </conditionalFormatting>
  <conditionalFormatting sqref="C7933:C7934">
    <cfRule type="colorScale" priority="5453">
      <colorScale>
        <cfvo type="min"/>
        <cfvo type="percentile" val="50"/>
        <cfvo type="max"/>
        <color rgb="FFF8696B"/>
        <color rgb="FFFFEB84"/>
        <color rgb="FF63BE7B"/>
      </colorScale>
    </cfRule>
  </conditionalFormatting>
  <conditionalFormatting sqref="C7938:C7941">
    <cfRule type="colorScale" priority="5458">
      <colorScale>
        <cfvo type="min"/>
        <cfvo type="percentile" val="50"/>
        <cfvo type="max"/>
        <color rgb="FFF8696B"/>
        <color rgb="FFFFEB84"/>
        <color rgb="FF63BE7B"/>
      </colorScale>
    </cfRule>
  </conditionalFormatting>
  <conditionalFormatting sqref="C7945">
    <cfRule type="colorScale" priority="5464">
      <colorScale>
        <cfvo type="min"/>
        <cfvo type="percentile" val="50"/>
        <cfvo type="max"/>
        <color rgb="FFF8696B"/>
        <color rgb="FFFFEB84"/>
        <color rgb="FF63BE7B"/>
      </colorScale>
    </cfRule>
  </conditionalFormatting>
  <conditionalFormatting sqref="C7949:C7950">
    <cfRule type="colorScale" priority="5468">
      <colorScale>
        <cfvo type="min"/>
        <cfvo type="percentile" val="50"/>
        <cfvo type="max"/>
        <color rgb="FFF8696B"/>
        <color rgb="FFFFEB84"/>
        <color rgb="FF63BE7B"/>
      </colorScale>
    </cfRule>
  </conditionalFormatting>
  <conditionalFormatting sqref="C7958:C7959">
    <cfRule type="colorScale" priority="5478">
      <colorScale>
        <cfvo type="min"/>
        <cfvo type="percentile" val="50"/>
        <cfvo type="max"/>
        <color rgb="FFF8696B"/>
        <color rgb="FFFFEB84"/>
        <color rgb="FF63BE7B"/>
      </colorScale>
    </cfRule>
  </conditionalFormatting>
  <conditionalFormatting sqref="C7963:C7964">
    <cfRule type="colorScale" priority="5483">
      <colorScale>
        <cfvo type="min"/>
        <cfvo type="percentile" val="50"/>
        <cfvo type="max"/>
        <color rgb="FFF8696B"/>
        <color rgb="FFFFEB84"/>
        <color rgb="FF63BE7B"/>
      </colorScale>
    </cfRule>
  </conditionalFormatting>
  <conditionalFormatting sqref="C7968:C7969">
    <cfRule type="colorScale" priority="5488">
      <colorScale>
        <cfvo type="min"/>
        <cfvo type="percentile" val="50"/>
        <cfvo type="max"/>
        <color rgb="FFF8696B"/>
        <color rgb="FFFFEB84"/>
        <color rgb="FF63BE7B"/>
      </colorScale>
    </cfRule>
  </conditionalFormatting>
  <conditionalFormatting sqref="C7973">
    <cfRule type="colorScale" priority="5493">
      <colorScale>
        <cfvo type="min"/>
        <cfvo type="percentile" val="50"/>
        <cfvo type="max"/>
        <color rgb="FFF8696B"/>
        <color rgb="FFFFEB84"/>
        <color rgb="FF63BE7B"/>
      </colorScale>
    </cfRule>
  </conditionalFormatting>
  <conditionalFormatting sqref="C7977:C7978">
    <cfRule type="colorScale" priority="5498">
      <colorScale>
        <cfvo type="min"/>
        <cfvo type="percentile" val="50"/>
        <cfvo type="max"/>
        <color rgb="FFF8696B"/>
        <color rgb="FFFFEB84"/>
        <color rgb="FF63BE7B"/>
      </colorScale>
    </cfRule>
  </conditionalFormatting>
  <conditionalFormatting sqref="C7982:C7983">
    <cfRule type="colorScale" priority="5503">
      <colorScale>
        <cfvo type="min"/>
        <cfvo type="percentile" val="50"/>
        <cfvo type="max"/>
        <color rgb="FFF8696B"/>
        <color rgb="FFFFEB84"/>
        <color rgb="FF63BE7B"/>
      </colorScale>
    </cfRule>
  </conditionalFormatting>
  <conditionalFormatting sqref="C7987:C7988">
    <cfRule type="colorScale" priority="5508">
      <colorScale>
        <cfvo type="min"/>
        <cfvo type="percentile" val="50"/>
        <cfvo type="max"/>
        <color rgb="FFF8696B"/>
        <color rgb="FFFFEB84"/>
        <color rgb="FF63BE7B"/>
      </colorScale>
    </cfRule>
  </conditionalFormatting>
  <conditionalFormatting sqref="C7992:C7993">
    <cfRule type="colorScale" priority="5513">
      <colorScale>
        <cfvo type="min"/>
        <cfvo type="percentile" val="50"/>
        <cfvo type="max"/>
        <color rgb="FFF8696B"/>
        <color rgb="FFFFEB84"/>
        <color rgb="FF63BE7B"/>
      </colorScale>
    </cfRule>
  </conditionalFormatting>
  <conditionalFormatting sqref="C7997">
    <cfRule type="colorScale" priority="5518">
      <colorScale>
        <cfvo type="min"/>
        <cfvo type="percentile" val="50"/>
        <cfvo type="max"/>
        <color rgb="FFF8696B"/>
        <color rgb="FFFFEB84"/>
        <color rgb="FF63BE7B"/>
      </colorScale>
    </cfRule>
  </conditionalFormatting>
  <conditionalFormatting sqref="C8001:C8002">
    <cfRule type="colorScale" priority="5523">
      <colorScale>
        <cfvo type="min"/>
        <cfvo type="percentile" val="50"/>
        <cfvo type="max"/>
        <color rgb="FFF8696B"/>
        <color rgb="FFFFEB84"/>
        <color rgb="FF63BE7B"/>
      </colorScale>
    </cfRule>
  </conditionalFormatting>
  <conditionalFormatting sqref="C8006:C8007">
    <cfRule type="colorScale" priority="5528">
      <colorScale>
        <cfvo type="min"/>
        <cfvo type="percentile" val="50"/>
        <cfvo type="max"/>
        <color rgb="FFF8696B"/>
        <color rgb="FFFFEB84"/>
        <color rgb="FF63BE7B"/>
      </colorScale>
    </cfRule>
  </conditionalFormatting>
  <conditionalFormatting sqref="C8011:C8014">
    <cfRule type="colorScale" priority="5533">
      <colorScale>
        <cfvo type="min"/>
        <cfvo type="percentile" val="50"/>
        <cfvo type="max"/>
        <color rgb="FFF8696B"/>
        <color rgb="FFFFEB84"/>
        <color rgb="FF63BE7B"/>
      </colorScale>
    </cfRule>
  </conditionalFormatting>
  <conditionalFormatting sqref="C8018">
    <cfRule type="colorScale" priority="5539">
      <colorScale>
        <cfvo type="min"/>
        <cfvo type="percentile" val="50"/>
        <cfvo type="max"/>
        <color rgb="FFF8696B"/>
        <color rgb="FFFFEB84"/>
        <color rgb="FF63BE7B"/>
      </colorScale>
    </cfRule>
  </conditionalFormatting>
  <conditionalFormatting sqref="C8022">
    <cfRule type="colorScale" priority="5543">
      <colorScale>
        <cfvo type="min"/>
        <cfvo type="percentile" val="50"/>
        <cfvo type="max"/>
        <color rgb="FFF8696B"/>
        <color rgb="FFFFEB84"/>
        <color rgb="FF63BE7B"/>
      </colorScale>
    </cfRule>
  </conditionalFormatting>
  <conditionalFormatting sqref="C8030">
    <cfRule type="colorScale" priority="5553">
      <colorScale>
        <cfvo type="min"/>
        <cfvo type="percentile" val="50"/>
        <cfvo type="max"/>
        <color rgb="FFF8696B"/>
        <color rgb="FFFFEB84"/>
        <color rgb="FF63BE7B"/>
      </colorScale>
    </cfRule>
  </conditionalFormatting>
  <conditionalFormatting sqref="C8034">
    <cfRule type="colorScale" priority="5558">
      <colorScale>
        <cfvo type="min"/>
        <cfvo type="percentile" val="50"/>
        <cfvo type="max"/>
        <color rgb="FFF8696B"/>
        <color rgb="FFFFEB84"/>
        <color rgb="FF63BE7B"/>
      </colorScale>
    </cfRule>
  </conditionalFormatting>
  <conditionalFormatting sqref="C8038:C8039">
    <cfRule type="colorScale" priority="5563">
      <colorScale>
        <cfvo type="min"/>
        <cfvo type="percentile" val="50"/>
        <cfvo type="max"/>
        <color rgb="FFF8696B"/>
        <color rgb="FFFFEB84"/>
        <color rgb="FF63BE7B"/>
      </colorScale>
    </cfRule>
  </conditionalFormatting>
  <conditionalFormatting sqref="C8043">
    <cfRule type="colorScale" priority="5568">
      <colorScale>
        <cfvo type="min"/>
        <cfvo type="percentile" val="50"/>
        <cfvo type="max"/>
        <color rgb="FFF8696B"/>
        <color rgb="FFFFEB84"/>
        <color rgb="FF63BE7B"/>
      </colorScale>
    </cfRule>
  </conditionalFormatting>
  <conditionalFormatting sqref="C8047:C8048">
    <cfRule type="colorScale" priority="5573">
      <colorScale>
        <cfvo type="min"/>
        <cfvo type="percentile" val="50"/>
        <cfvo type="max"/>
        <color rgb="FFF8696B"/>
        <color rgb="FFFFEB84"/>
        <color rgb="FF63BE7B"/>
      </colorScale>
    </cfRule>
  </conditionalFormatting>
  <conditionalFormatting sqref="C8052:C8053">
    <cfRule type="colorScale" priority="5578">
      <colorScale>
        <cfvo type="min"/>
        <cfvo type="percentile" val="50"/>
        <cfvo type="max"/>
        <color rgb="FFF8696B"/>
        <color rgb="FFFFEB84"/>
        <color rgb="FF63BE7B"/>
      </colorScale>
    </cfRule>
  </conditionalFormatting>
  <conditionalFormatting sqref="C8057:C8058">
    <cfRule type="colorScale" priority="5583">
      <colorScale>
        <cfvo type="min"/>
        <cfvo type="percentile" val="50"/>
        <cfvo type="max"/>
        <color rgb="FFF8696B"/>
        <color rgb="FFFFEB84"/>
        <color rgb="FF63BE7B"/>
      </colorScale>
    </cfRule>
  </conditionalFormatting>
  <conditionalFormatting sqref="C8062">
    <cfRule type="colorScale" priority="5588">
      <colorScale>
        <cfvo type="min"/>
        <cfvo type="percentile" val="50"/>
        <cfvo type="max"/>
        <color rgb="FFF8696B"/>
        <color rgb="FFFFEB84"/>
        <color rgb="FF63BE7B"/>
      </colorScale>
    </cfRule>
  </conditionalFormatting>
  <conditionalFormatting sqref="C8066">
    <cfRule type="colorScale" priority="5593">
      <colorScale>
        <cfvo type="min"/>
        <cfvo type="percentile" val="50"/>
        <cfvo type="max"/>
        <color rgb="FFF8696B"/>
        <color rgb="FFFFEB84"/>
        <color rgb="FF63BE7B"/>
      </colorScale>
    </cfRule>
  </conditionalFormatting>
  <conditionalFormatting sqref="C8070:C8071">
    <cfRule type="colorScale" priority="5598">
      <colorScale>
        <cfvo type="min"/>
        <cfvo type="percentile" val="50"/>
        <cfvo type="max"/>
        <color rgb="FFF8696B"/>
        <color rgb="FFFFEB84"/>
        <color rgb="FF63BE7B"/>
      </colorScale>
    </cfRule>
  </conditionalFormatting>
  <conditionalFormatting sqref="C8075:C8076">
    <cfRule type="colorScale" priority="5603">
      <colorScale>
        <cfvo type="min"/>
        <cfvo type="percentile" val="50"/>
        <cfvo type="max"/>
        <color rgb="FFF8696B"/>
        <color rgb="FFFFEB84"/>
        <color rgb="FF63BE7B"/>
      </colorScale>
    </cfRule>
  </conditionalFormatting>
  <conditionalFormatting sqref="C8080:C8083">
    <cfRule type="colorScale" priority="5608">
      <colorScale>
        <cfvo type="min"/>
        <cfvo type="percentile" val="50"/>
        <cfvo type="max"/>
        <color rgb="FFF8696B"/>
        <color rgb="FFFFEB84"/>
        <color rgb="FF63BE7B"/>
      </colorScale>
    </cfRule>
  </conditionalFormatting>
  <conditionalFormatting sqref="C8087">
    <cfRule type="colorScale" priority="5614">
      <colorScale>
        <cfvo type="min"/>
        <cfvo type="percentile" val="50"/>
        <cfvo type="max"/>
        <color rgb="FFF8696B"/>
        <color rgb="FFFFEB84"/>
        <color rgb="FF63BE7B"/>
      </colorScale>
    </cfRule>
  </conditionalFormatting>
  <conditionalFormatting sqref="C8091">
    <cfRule type="colorScale" priority="5618">
      <colorScale>
        <cfvo type="min"/>
        <cfvo type="percentile" val="50"/>
        <cfvo type="max"/>
        <color rgb="FFF8696B"/>
        <color rgb="FFFFEB84"/>
        <color rgb="FF63BE7B"/>
      </colorScale>
    </cfRule>
  </conditionalFormatting>
  <conditionalFormatting sqref="C8099:C8100">
    <cfRule type="colorScale" priority="5628">
      <colorScale>
        <cfvo type="min"/>
        <cfvo type="percentile" val="50"/>
        <cfvo type="max"/>
        <color rgb="FFF8696B"/>
        <color rgb="FFFFEB84"/>
        <color rgb="FF63BE7B"/>
      </colorScale>
    </cfRule>
  </conditionalFormatting>
  <conditionalFormatting sqref="C8104">
    <cfRule type="colorScale" priority="5633">
      <colorScale>
        <cfvo type="min"/>
        <cfvo type="percentile" val="50"/>
        <cfvo type="max"/>
        <color rgb="FFF8696B"/>
        <color rgb="FFFFEB84"/>
        <color rgb="FF63BE7B"/>
      </colorScale>
    </cfRule>
  </conditionalFormatting>
  <conditionalFormatting sqref="C8108:C8109">
    <cfRule type="colorScale" priority="5638">
      <colorScale>
        <cfvo type="min"/>
        <cfvo type="percentile" val="50"/>
        <cfvo type="max"/>
        <color rgb="FFF8696B"/>
        <color rgb="FFFFEB84"/>
        <color rgb="FF63BE7B"/>
      </colorScale>
    </cfRule>
  </conditionalFormatting>
  <conditionalFormatting sqref="C8113">
    <cfRule type="colorScale" priority="5643">
      <colorScale>
        <cfvo type="min"/>
        <cfvo type="percentile" val="50"/>
        <cfvo type="max"/>
        <color rgb="FFF8696B"/>
        <color rgb="FFFFEB84"/>
        <color rgb="FF63BE7B"/>
      </colorScale>
    </cfRule>
  </conditionalFormatting>
  <conditionalFormatting sqref="C8117:C8118">
    <cfRule type="colorScale" priority="5648">
      <colorScale>
        <cfvo type="min"/>
        <cfvo type="percentile" val="50"/>
        <cfvo type="max"/>
        <color rgb="FFF8696B"/>
        <color rgb="FFFFEB84"/>
        <color rgb="FF63BE7B"/>
      </colorScale>
    </cfRule>
  </conditionalFormatting>
  <conditionalFormatting sqref="C8122:C8123">
    <cfRule type="colorScale" priority="5653">
      <colorScale>
        <cfvo type="min"/>
        <cfvo type="percentile" val="50"/>
        <cfvo type="max"/>
        <color rgb="FFF8696B"/>
        <color rgb="FFFFEB84"/>
        <color rgb="FF63BE7B"/>
      </colorScale>
    </cfRule>
  </conditionalFormatting>
  <conditionalFormatting sqref="C8127:C8128">
    <cfRule type="colorScale" priority="5658">
      <colorScale>
        <cfvo type="min"/>
        <cfvo type="percentile" val="50"/>
        <cfvo type="max"/>
        <color rgb="FFF8696B"/>
        <color rgb="FFFFEB84"/>
        <color rgb="FF63BE7B"/>
      </colorScale>
    </cfRule>
  </conditionalFormatting>
  <conditionalFormatting sqref="C8132:C8133">
    <cfRule type="colorScale" priority="5663">
      <colorScale>
        <cfvo type="min"/>
        <cfvo type="percentile" val="50"/>
        <cfvo type="max"/>
        <color rgb="FFF8696B"/>
        <color rgb="FFFFEB84"/>
        <color rgb="FF63BE7B"/>
      </colorScale>
    </cfRule>
  </conditionalFormatting>
  <conditionalFormatting sqref="C8137">
    <cfRule type="colorScale" priority="5668">
      <colorScale>
        <cfvo type="min"/>
        <cfvo type="percentile" val="50"/>
        <cfvo type="max"/>
        <color rgb="FFF8696B"/>
        <color rgb="FFFFEB84"/>
        <color rgb="FF63BE7B"/>
      </colorScale>
    </cfRule>
  </conditionalFormatting>
  <conditionalFormatting sqref="C8141:C8142">
    <cfRule type="colorScale" priority="5673">
      <colorScale>
        <cfvo type="min"/>
        <cfvo type="percentile" val="50"/>
        <cfvo type="max"/>
        <color rgb="FFF8696B"/>
        <color rgb="FFFFEB84"/>
        <color rgb="FF63BE7B"/>
      </colorScale>
    </cfRule>
  </conditionalFormatting>
  <conditionalFormatting sqref="C8146:C8147">
    <cfRule type="colorScale" priority="5678">
      <colorScale>
        <cfvo type="min"/>
        <cfvo type="percentile" val="50"/>
        <cfvo type="max"/>
        <color rgb="FFF8696B"/>
        <color rgb="FFFFEB84"/>
        <color rgb="FF63BE7B"/>
      </colorScale>
    </cfRule>
  </conditionalFormatting>
  <conditionalFormatting sqref="C8151:C8154">
    <cfRule type="colorScale" priority="5683">
      <colorScale>
        <cfvo type="min"/>
        <cfvo type="percentile" val="50"/>
        <cfvo type="max"/>
        <color rgb="FFF8696B"/>
        <color rgb="FFFFEB84"/>
        <color rgb="FF63BE7B"/>
      </colorScale>
    </cfRule>
  </conditionalFormatting>
  <conditionalFormatting sqref="C8158">
    <cfRule type="colorScale" priority="5689">
      <colorScale>
        <cfvo type="min"/>
        <cfvo type="percentile" val="50"/>
        <cfvo type="max"/>
        <color rgb="FFF8696B"/>
        <color rgb="FFFFEB84"/>
        <color rgb="FF63BE7B"/>
      </colorScale>
    </cfRule>
  </conditionalFormatting>
  <conditionalFormatting sqref="C8162">
    <cfRule type="colorScale" priority="5693">
      <colorScale>
        <cfvo type="min"/>
        <cfvo type="percentile" val="50"/>
        <cfvo type="max"/>
        <color rgb="FFF8696B"/>
        <color rgb="FFFFEB84"/>
        <color rgb="FF63BE7B"/>
      </colorScale>
    </cfRule>
  </conditionalFormatting>
  <conditionalFormatting sqref="C8170">
    <cfRule type="colorScale" priority="5703">
      <colorScale>
        <cfvo type="min"/>
        <cfvo type="percentile" val="50"/>
        <cfvo type="max"/>
        <color rgb="FFF8696B"/>
        <color rgb="FFFFEB84"/>
        <color rgb="FF63BE7B"/>
      </colorScale>
    </cfRule>
  </conditionalFormatting>
  <conditionalFormatting sqref="C8174">
    <cfRule type="colorScale" priority="5708">
      <colorScale>
        <cfvo type="min"/>
        <cfvo type="percentile" val="50"/>
        <cfvo type="max"/>
        <color rgb="FFF8696B"/>
        <color rgb="FFFFEB84"/>
        <color rgb="FF63BE7B"/>
      </colorScale>
    </cfRule>
  </conditionalFormatting>
  <conditionalFormatting sqref="C8178">
    <cfRule type="colorScale" priority="5713">
      <colorScale>
        <cfvo type="min"/>
        <cfvo type="percentile" val="50"/>
        <cfvo type="max"/>
        <color rgb="FFF8696B"/>
        <color rgb="FFFFEB84"/>
        <color rgb="FF63BE7B"/>
      </colorScale>
    </cfRule>
  </conditionalFormatting>
  <conditionalFormatting sqref="C8182">
    <cfRule type="colorScale" priority="5718">
      <colorScale>
        <cfvo type="min"/>
        <cfvo type="percentile" val="50"/>
        <cfvo type="max"/>
        <color rgb="FFF8696B"/>
        <color rgb="FFFFEB84"/>
        <color rgb="FF63BE7B"/>
      </colorScale>
    </cfRule>
  </conditionalFormatting>
  <conditionalFormatting sqref="C8186:C8187">
    <cfRule type="colorScale" priority="5723">
      <colorScale>
        <cfvo type="min"/>
        <cfvo type="percentile" val="50"/>
        <cfvo type="max"/>
        <color rgb="FFF8696B"/>
        <color rgb="FFFFEB84"/>
        <color rgb="FF63BE7B"/>
      </colorScale>
    </cfRule>
  </conditionalFormatting>
  <conditionalFormatting sqref="C8191:C8192">
    <cfRule type="colorScale" priority="5728">
      <colorScale>
        <cfvo type="min"/>
        <cfvo type="percentile" val="50"/>
        <cfvo type="max"/>
        <color rgb="FFF8696B"/>
        <color rgb="FFFFEB84"/>
        <color rgb="FF63BE7B"/>
      </colorScale>
    </cfRule>
  </conditionalFormatting>
  <conditionalFormatting sqref="C8196:C8197">
    <cfRule type="colorScale" priority="5733">
      <colorScale>
        <cfvo type="min"/>
        <cfvo type="percentile" val="50"/>
        <cfvo type="max"/>
        <color rgb="FFF8696B"/>
        <color rgb="FFFFEB84"/>
        <color rgb="FF63BE7B"/>
      </colorScale>
    </cfRule>
  </conditionalFormatting>
  <conditionalFormatting sqref="C8201">
    <cfRule type="colorScale" priority="5738">
      <colorScale>
        <cfvo type="min"/>
        <cfvo type="percentile" val="50"/>
        <cfvo type="max"/>
        <color rgb="FFF8696B"/>
        <color rgb="FFFFEB84"/>
        <color rgb="FF63BE7B"/>
      </colorScale>
    </cfRule>
  </conditionalFormatting>
  <conditionalFormatting sqref="C8205">
    <cfRule type="colorScale" priority="5743">
      <colorScale>
        <cfvo type="min"/>
        <cfvo type="percentile" val="50"/>
        <cfvo type="max"/>
        <color rgb="FFF8696B"/>
        <color rgb="FFFFEB84"/>
        <color rgb="FF63BE7B"/>
      </colorScale>
    </cfRule>
  </conditionalFormatting>
  <conditionalFormatting sqref="C8209:C8210">
    <cfRule type="colorScale" priority="5748">
      <colorScale>
        <cfvo type="min"/>
        <cfvo type="percentile" val="50"/>
        <cfvo type="max"/>
        <color rgb="FFF8696B"/>
        <color rgb="FFFFEB84"/>
        <color rgb="FF63BE7B"/>
      </colorScale>
    </cfRule>
  </conditionalFormatting>
  <conditionalFormatting sqref="C8214">
    <cfRule type="colorScale" priority="5753">
      <colorScale>
        <cfvo type="min"/>
        <cfvo type="percentile" val="50"/>
        <cfvo type="max"/>
        <color rgb="FFF8696B"/>
        <color rgb="FFFFEB84"/>
        <color rgb="FF63BE7B"/>
      </colorScale>
    </cfRule>
  </conditionalFormatting>
  <conditionalFormatting sqref="C8218:C8220">
    <cfRule type="colorScale" priority="5758">
      <colorScale>
        <cfvo type="min"/>
        <cfvo type="percentile" val="50"/>
        <cfvo type="max"/>
        <color rgb="FFF8696B"/>
        <color rgb="FFFFEB84"/>
        <color rgb="FF63BE7B"/>
      </colorScale>
    </cfRule>
  </conditionalFormatting>
  <conditionalFormatting sqref="C8224">
    <cfRule type="colorScale" priority="5764">
      <colorScale>
        <cfvo type="min"/>
        <cfvo type="percentile" val="50"/>
        <cfvo type="max"/>
        <color rgb="FFF8696B"/>
        <color rgb="FFFFEB84"/>
        <color rgb="FF63BE7B"/>
      </colorScale>
    </cfRule>
  </conditionalFormatting>
  <conditionalFormatting sqref="C8228:C8229">
    <cfRule type="colorScale" priority="5768">
      <colorScale>
        <cfvo type="min"/>
        <cfvo type="percentile" val="50"/>
        <cfvo type="max"/>
        <color rgb="FFF8696B"/>
        <color rgb="FFFFEB84"/>
        <color rgb="FF63BE7B"/>
      </colorScale>
    </cfRule>
  </conditionalFormatting>
  <conditionalFormatting sqref="C8237:C8238">
    <cfRule type="colorScale" priority="5778">
      <colorScale>
        <cfvo type="min"/>
        <cfvo type="percentile" val="50"/>
        <cfvo type="max"/>
        <color rgb="FFF8696B"/>
        <color rgb="FFFFEB84"/>
        <color rgb="FF63BE7B"/>
      </colorScale>
    </cfRule>
  </conditionalFormatting>
  <conditionalFormatting sqref="C8242">
    <cfRule type="colorScale" priority="5783">
      <colorScale>
        <cfvo type="min"/>
        <cfvo type="percentile" val="50"/>
        <cfvo type="max"/>
        <color rgb="FFF8696B"/>
        <color rgb="FFFFEB84"/>
        <color rgb="FF63BE7B"/>
      </colorScale>
    </cfRule>
  </conditionalFormatting>
  <conditionalFormatting sqref="C8246:C8247">
    <cfRule type="colorScale" priority="5788">
      <colorScale>
        <cfvo type="min"/>
        <cfvo type="percentile" val="50"/>
        <cfvo type="max"/>
        <color rgb="FFF8696B"/>
        <color rgb="FFFFEB84"/>
        <color rgb="FF63BE7B"/>
      </colorScale>
    </cfRule>
  </conditionalFormatting>
  <conditionalFormatting sqref="C8251">
    <cfRule type="colorScale" priority="5793">
      <colorScale>
        <cfvo type="min"/>
        <cfvo type="percentile" val="50"/>
        <cfvo type="max"/>
        <color rgb="FFF8696B"/>
        <color rgb="FFFFEB84"/>
        <color rgb="FF63BE7B"/>
      </colorScale>
    </cfRule>
  </conditionalFormatting>
  <conditionalFormatting sqref="C8255:C8256">
    <cfRule type="colorScale" priority="5798">
      <colorScale>
        <cfvo type="min"/>
        <cfvo type="percentile" val="50"/>
        <cfvo type="max"/>
        <color rgb="FFF8696B"/>
        <color rgb="FFFFEB84"/>
        <color rgb="FF63BE7B"/>
      </colorScale>
    </cfRule>
  </conditionalFormatting>
  <conditionalFormatting sqref="C8260:C8261">
    <cfRule type="colorScale" priority="5803">
      <colorScale>
        <cfvo type="min"/>
        <cfvo type="percentile" val="50"/>
        <cfvo type="max"/>
        <color rgb="FFF8696B"/>
        <color rgb="FFFFEB84"/>
        <color rgb="FF63BE7B"/>
      </colorScale>
    </cfRule>
  </conditionalFormatting>
  <conditionalFormatting sqref="C8265:C8266">
    <cfRule type="colorScale" priority="5808">
      <colorScale>
        <cfvo type="min"/>
        <cfvo type="percentile" val="50"/>
        <cfvo type="max"/>
        <color rgb="FFF8696B"/>
        <color rgb="FFFFEB84"/>
        <color rgb="FF63BE7B"/>
      </colorScale>
    </cfRule>
  </conditionalFormatting>
  <conditionalFormatting sqref="C8270">
    <cfRule type="colorScale" priority="5813">
      <colorScale>
        <cfvo type="min"/>
        <cfvo type="percentile" val="50"/>
        <cfvo type="max"/>
        <color rgb="FFF8696B"/>
        <color rgb="FFFFEB84"/>
        <color rgb="FF63BE7B"/>
      </colorScale>
    </cfRule>
  </conditionalFormatting>
  <conditionalFormatting sqref="C8274">
    <cfRule type="colorScale" priority="5818">
      <colorScale>
        <cfvo type="min"/>
        <cfvo type="percentile" val="50"/>
        <cfvo type="max"/>
        <color rgb="FFF8696B"/>
        <color rgb="FFFFEB84"/>
        <color rgb="FF63BE7B"/>
      </colorScale>
    </cfRule>
  </conditionalFormatting>
  <conditionalFormatting sqref="C8278:C8279">
    <cfRule type="colorScale" priority="5823">
      <colorScale>
        <cfvo type="min"/>
        <cfvo type="percentile" val="50"/>
        <cfvo type="max"/>
        <color rgb="FFF8696B"/>
        <color rgb="FFFFEB84"/>
        <color rgb="FF63BE7B"/>
      </colorScale>
    </cfRule>
  </conditionalFormatting>
  <conditionalFormatting sqref="C8283:C8284">
    <cfRule type="colorScale" priority="5828">
      <colorScale>
        <cfvo type="min"/>
        <cfvo type="percentile" val="50"/>
        <cfvo type="max"/>
        <color rgb="FFF8696B"/>
        <color rgb="FFFFEB84"/>
        <color rgb="FF63BE7B"/>
      </colorScale>
    </cfRule>
  </conditionalFormatting>
  <conditionalFormatting sqref="C8288:C8291">
    <cfRule type="colorScale" priority="5833">
      <colorScale>
        <cfvo type="min"/>
        <cfvo type="percentile" val="50"/>
        <cfvo type="max"/>
        <color rgb="FFF8696B"/>
        <color rgb="FFFFEB84"/>
        <color rgb="FF63BE7B"/>
      </colorScale>
    </cfRule>
  </conditionalFormatting>
  <conditionalFormatting sqref="C8295">
    <cfRule type="colorScale" priority="5839">
      <colorScale>
        <cfvo type="min"/>
        <cfvo type="percentile" val="50"/>
        <cfvo type="max"/>
        <color rgb="FFF8696B"/>
        <color rgb="FFFFEB84"/>
        <color rgb="FF63BE7B"/>
      </colorScale>
    </cfRule>
  </conditionalFormatting>
  <conditionalFormatting sqref="C8299:C8300">
    <cfRule type="colorScale" priority="5843">
      <colorScale>
        <cfvo type="min"/>
        <cfvo type="percentile" val="50"/>
        <cfvo type="max"/>
        <color rgb="FFF8696B"/>
        <color rgb="FFFFEB84"/>
        <color rgb="FF63BE7B"/>
      </colorScale>
    </cfRule>
  </conditionalFormatting>
  <conditionalFormatting sqref="C8308:C8309">
    <cfRule type="colorScale" priority="5853">
      <colorScale>
        <cfvo type="min"/>
        <cfvo type="percentile" val="50"/>
        <cfvo type="max"/>
        <color rgb="FFF8696B"/>
        <color rgb="FFFFEB84"/>
        <color rgb="FF63BE7B"/>
      </colorScale>
    </cfRule>
  </conditionalFormatting>
  <conditionalFormatting sqref="C8313">
    <cfRule type="colorScale" priority="5858">
      <colorScale>
        <cfvo type="min"/>
        <cfvo type="percentile" val="50"/>
        <cfvo type="max"/>
        <color rgb="FFF8696B"/>
        <color rgb="FFFFEB84"/>
        <color rgb="FF63BE7B"/>
      </colorScale>
    </cfRule>
  </conditionalFormatting>
  <conditionalFormatting sqref="C8317:C8318">
    <cfRule type="colorScale" priority="5863">
      <colorScale>
        <cfvo type="min"/>
        <cfvo type="percentile" val="50"/>
        <cfvo type="max"/>
        <color rgb="FFF8696B"/>
        <color rgb="FFFFEB84"/>
        <color rgb="FF63BE7B"/>
      </colorScale>
    </cfRule>
  </conditionalFormatting>
  <conditionalFormatting sqref="C8322">
    <cfRule type="colorScale" priority="5868">
      <colorScale>
        <cfvo type="min"/>
        <cfvo type="percentile" val="50"/>
        <cfvo type="max"/>
        <color rgb="FFF8696B"/>
        <color rgb="FFFFEB84"/>
        <color rgb="FF63BE7B"/>
      </colorScale>
    </cfRule>
  </conditionalFormatting>
  <conditionalFormatting sqref="C8326:C8327">
    <cfRule type="colorScale" priority="5873">
      <colorScale>
        <cfvo type="min"/>
        <cfvo type="percentile" val="50"/>
        <cfvo type="max"/>
        <color rgb="FFF8696B"/>
        <color rgb="FFFFEB84"/>
        <color rgb="FF63BE7B"/>
      </colorScale>
    </cfRule>
  </conditionalFormatting>
  <conditionalFormatting sqref="C8331:C8332">
    <cfRule type="colorScale" priority="5878">
      <colorScale>
        <cfvo type="min"/>
        <cfvo type="percentile" val="50"/>
        <cfvo type="max"/>
        <color rgb="FFF8696B"/>
        <color rgb="FFFFEB84"/>
        <color rgb="FF63BE7B"/>
      </colorScale>
    </cfRule>
  </conditionalFormatting>
  <conditionalFormatting sqref="C8336:C8337">
    <cfRule type="colorScale" priority="5883">
      <colorScale>
        <cfvo type="min"/>
        <cfvo type="percentile" val="50"/>
        <cfvo type="max"/>
        <color rgb="FFF8696B"/>
        <color rgb="FFFFEB84"/>
        <color rgb="FF63BE7B"/>
      </colorScale>
    </cfRule>
  </conditionalFormatting>
  <conditionalFormatting sqref="C8341:C8342">
    <cfRule type="colorScale" priority="5888">
      <colorScale>
        <cfvo type="min"/>
        <cfvo type="percentile" val="50"/>
        <cfvo type="max"/>
        <color rgb="FFF8696B"/>
        <color rgb="FFFFEB84"/>
        <color rgb="FF63BE7B"/>
      </colorScale>
    </cfRule>
  </conditionalFormatting>
  <conditionalFormatting sqref="C8346">
    <cfRule type="colorScale" priority="5893">
      <colorScale>
        <cfvo type="min"/>
        <cfvo type="percentile" val="50"/>
        <cfvo type="max"/>
        <color rgb="FFF8696B"/>
        <color rgb="FFFFEB84"/>
        <color rgb="FF63BE7B"/>
      </colorScale>
    </cfRule>
  </conditionalFormatting>
  <conditionalFormatting sqref="C8350:C8351">
    <cfRule type="colorScale" priority="5898">
      <colorScale>
        <cfvo type="min"/>
        <cfvo type="percentile" val="50"/>
        <cfvo type="max"/>
        <color rgb="FFF8696B"/>
        <color rgb="FFFFEB84"/>
        <color rgb="FF63BE7B"/>
      </colorScale>
    </cfRule>
  </conditionalFormatting>
  <conditionalFormatting sqref="C8355:C8356">
    <cfRule type="colorScale" priority="5903">
      <colorScale>
        <cfvo type="min"/>
        <cfvo type="percentile" val="50"/>
        <cfvo type="max"/>
        <color rgb="FFF8696B"/>
        <color rgb="FFFFEB84"/>
        <color rgb="FF63BE7B"/>
      </colorScale>
    </cfRule>
  </conditionalFormatting>
  <conditionalFormatting sqref="C8360:C8363">
    <cfRule type="colorScale" priority="5908">
      <colorScale>
        <cfvo type="min"/>
        <cfvo type="percentile" val="50"/>
        <cfvo type="max"/>
        <color rgb="FFF8696B"/>
        <color rgb="FFFFEB84"/>
        <color rgb="FF63BE7B"/>
      </colorScale>
    </cfRule>
  </conditionalFormatting>
  <conditionalFormatting sqref="C8367">
    <cfRule type="colorScale" priority="5914">
      <colorScale>
        <cfvo type="min"/>
        <cfvo type="percentile" val="50"/>
        <cfvo type="max"/>
        <color rgb="FFF8696B"/>
        <color rgb="FFFFEB84"/>
        <color rgb="FF63BE7B"/>
      </colorScale>
    </cfRule>
  </conditionalFormatting>
  <conditionalFormatting sqref="C8371:C8372">
    <cfRule type="colorScale" priority="5918">
      <colorScale>
        <cfvo type="min"/>
        <cfvo type="percentile" val="50"/>
        <cfvo type="max"/>
        <color rgb="FFF8696B"/>
        <color rgb="FFFFEB84"/>
        <color rgb="FF63BE7B"/>
      </colorScale>
    </cfRule>
  </conditionalFormatting>
  <conditionalFormatting sqref="C8380:C8381">
    <cfRule type="colorScale" priority="5928">
      <colorScale>
        <cfvo type="min"/>
        <cfvo type="percentile" val="50"/>
        <cfvo type="max"/>
        <color rgb="FFF8696B"/>
        <color rgb="FFFFEB84"/>
        <color rgb="FF63BE7B"/>
      </colorScale>
    </cfRule>
  </conditionalFormatting>
  <conditionalFormatting sqref="C8385:C8386">
    <cfRule type="colorScale" priority="5933">
      <colorScale>
        <cfvo type="min"/>
        <cfvo type="percentile" val="50"/>
        <cfvo type="max"/>
        <color rgb="FFF8696B"/>
        <color rgb="FFFFEB84"/>
        <color rgb="FF63BE7B"/>
      </colorScale>
    </cfRule>
  </conditionalFormatting>
  <conditionalFormatting sqref="C8390:C8391">
    <cfRule type="colorScale" priority="5938">
      <colorScale>
        <cfvo type="min"/>
        <cfvo type="percentile" val="50"/>
        <cfvo type="max"/>
        <color rgb="FFF8696B"/>
        <color rgb="FFFFEB84"/>
        <color rgb="FF63BE7B"/>
      </colorScale>
    </cfRule>
  </conditionalFormatting>
  <conditionalFormatting sqref="C8395:C8396">
    <cfRule type="colorScale" priority="5943">
      <colorScale>
        <cfvo type="min"/>
        <cfvo type="percentile" val="50"/>
        <cfvo type="max"/>
        <color rgb="FFF8696B"/>
        <color rgb="FFFFEB84"/>
        <color rgb="FF63BE7B"/>
      </colorScale>
    </cfRule>
  </conditionalFormatting>
  <conditionalFormatting sqref="C8400:C8401">
    <cfRule type="colorScale" priority="5948">
      <colorScale>
        <cfvo type="min"/>
        <cfvo type="percentile" val="50"/>
        <cfvo type="max"/>
        <color rgb="FFF8696B"/>
        <color rgb="FFFFEB84"/>
        <color rgb="FF63BE7B"/>
      </colorScale>
    </cfRule>
  </conditionalFormatting>
  <conditionalFormatting sqref="C8405:C8406">
    <cfRule type="colorScale" priority="5953">
      <colorScale>
        <cfvo type="min"/>
        <cfvo type="percentile" val="50"/>
        <cfvo type="max"/>
        <color rgb="FFF8696B"/>
        <color rgb="FFFFEB84"/>
        <color rgb="FF63BE7B"/>
      </colorScale>
    </cfRule>
  </conditionalFormatting>
  <conditionalFormatting sqref="C8410:C8411">
    <cfRule type="colorScale" priority="5958">
      <colorScale>
        <cfvo type="min"/>
        <cfvo type="percentile" val="50"/>
        <cfvo type="max"/>
        <color rgb="FFF8696B"/>
        <color rgb="FFFFEB84"/>
        <color rgb="FF63BE7B"/>
      </colorScale>
    </cfRule>
  </conditionalFormatting>
  <conditionalFormatting sqref="C8415:C8416">
    <cfRule type="colorScale" priority="5963">
      <colorScale>
        <cfvo type="min"/>
        <cfvo type="percentile" val="50"/>
        <cfvo type="max"/>
        <color rgb="FFF8696B"/>
        <color rgb="FFFFEB84"/>
        <color rgb="FF63BE7B"/>
      </colorScale>
    </cfRule>
  </conditionalFormatting>
  <conditionalFormatting sqref="C8420">
    <cfRule type="colorScale" priority="5968">
      <colorScale>
        <cfvo type="min"/>
        <cfvo type="percentile" val="50"/>
        <cfvo type="max"/>
        <color rgb="FFF8696B"/>
        <color rgb="FFFFEB84"/>
        <color rgb="FF63BE7B"/>
      </colorScale>
    </cfRule>
  </conditionalFormatting>
  <conditionalFormatting sqref="C8424:C8425">
    <cfRule type="colorScale" priority="5973">
      <colorScale>
        <cfvo type="min"/>
        <cfvo type="percentile" val="50"/>
        <cfvo type="max"/>
        <color rgb="FFF8696B"/>
        <color rgb="FFFFEB84"/>
        <color rgb="FF63BE7B"/>
      </colorScale>
    </cfRule>
  </conditionalFormatting>
  <conditionalFormatting sqref="C8429:C8430">
    <cfRule type="colorScale" priority="5978">
      <colorScale>
        <cfvo type="min"/>
        <cfvo type="percentile" val="50"/>
        <cfvo type="max"/>
        <color rgb="FFF8696B"/>
        <color rgb="FFFFEB84"/>
        <color rgb="FF63BE7B"/>
      </colorScale>
    </cfRule>
  </conditionalFormatting>
  <conditionalFormatting sqref="C8434:C8437">
    <cfRule type="colorScale" priority="5983">
      <colorScale>
        <cfvo type="min"/>
        <cfvo type="percentile" val="50"/>
        <cfvo type="max"/>
        <color rgb="FFF8696B"/>
        <color rgb="FFFFEB84"/>
        <color rgb="FF63BE7B"/>
      </colorScale>
    </cfRule>
  </conditionalFormatting>
  <conditionalFormatting sqref="C8441">
    <cfRule type="colorScale" priority="5989">
      <colorScale>
        <cfvo type="min"/>
        <cfvo type="percentile" val="50"/>
        <cfvo type="max"/>
        <color rgb="FFF8696B"/>
        <color rgb="FFFFEB84"/>
        <color rgb="FF63BE7B"/>
      </colorScale>
    </cfRule>
  </conditionalFormatting>
  <conditionalFormatting sqref="C8445:C8446">
    <cfRule type="colorScale" priority="5993">
      <colorScale>
        <cfvo type="min"/>
        <cfvo type="percentile" val="50"/>
        <cfvo type="max"/>
        <color rgb="FFF8696B"/>
        <color rgb="FFFFEB84"/>
        <color rgb="FF63BE7B"/>
      </colorScale>
    </cfRule>
  </conditionalFormatting>
  <conditionalFormatting sqref="C8454">
    <cfRule type="colorScale" priority="6003">
      <colorScale>
        <cfvo type="min"/>
        <cfvo type="percentile" val="50"/>
        <cfvo type="max"/>
        <color rgb="FFF8696B"/>
        <color rgb="FFFFEB84"/>
        <color rgb="FF63BE7B"/>
      </colorScale>
    </cfRule>
  </conditionalFormatting>
  <conditionalFormatting sqref="C8458">
    <cfRule type="colorScale" priority="6008">
      <colorScale>
        <cfvo type="min"/>
        <cfvo type="percentile" val="50"/>
        <cfvo type="max"/>
        <color rgb="FFF8696B"/>
        <color rgb="FFFFEB84"/>
        <color rgb="FF63BE7B"/>
      </colorScale>
    </cfRule>
  </conditionalFormatting>
  <conditionalFormatting sqref="C8462:C8463">
    <cfRule type="colorScale" priority="6013">
      <colorScale>
        <cfvo type="min"/>
        <cfvo type="percentile" val="50"/>
        <cfvo type="max"/>
        <color rgb="FFF8696B"/>
        <color rgb="FFFFEB84"/>
        <color rgb="FF63BE7B"/>
      </colorScale>
    </cfRule>
  </conditionalFormatting>
  <conditionalFormatting sqref="C8467">
    <cfRule type="colorScale" priority="6018">
      <colorScale>
        <cfvo type="min"/>
        <cfvo type="percentile" val="50"/>
        <cfvo type="max"/>
        <color rgb="FFF8696B"/>
        <color rgb="FFFFEB84"/>
        <color rgb="FF63BE7B"/>
      </colorScale>
    </cfRule>
  </conditionalFormatting>
  <conditionalFormatting sqref="C8471:C8472">
    <cfRule type="colorScale" priority="6023">
      <colorScale>
        <cfvo type="min"/>
        <cfvo type="percentile" val="50"/>
        <cfvo type="max"/>
        <color rgb="FFF8696B"/>
        <color rgb="FFFFEB84"/>
        <color rgb="FF63BE7B"/>
      </colorScale>
    </cfRule>
  </conditionalFormatting>
  <conditionalFormatting sqref="C8476:C8477">
    <cfRule type="colorScale" priority="6028">
      <colorScale>
        <cfvo type="min"/>
        <cfvo type="percentile" val="50"/>
        <cfvo type="max"/>
        <color rgb="FFF8696B"/>
        <color rgb="FFFFEB84"/>
        <color rgb="FF63BE7B"/>
      </colorScale>
    </cfRule>
  </conditionalFormatting>
  <conditionalFormatting sqref="C8481:C8482">
    <cfRule type="colorScale" priority="6033">
      <colorScale>
        <cfvo type="min"/>
        <cfvo type="percentile" val="50"/>
        <cfvo type="max"/>
        <color rgb="FFF8696B"/>
        <color rgb="FFFFEB84"/>
        <color rgb="FF63BE7B"/>
      </colorScale>
    </cfRule>
  </conditionalFormatting>
  <conditionalFormatting sqref="C8486:C8487">
    <cfRule type="colorScale" priority="6038">
      <colorScale>
        <cfvo type="min"/>
        <cfvo type="percentile" val="50"/>
        <cfvo type="max"/>
        <color rgb="FFF8696B"/>
        <color rgb="FFFFEB84"/>
        <color rgb="FF63BE7B"/>
      </colorScale>
    </cfRule>
  </conditionalFormatting>
  <conditionalFormatting sqref="C8491">
    <cfRule type="colorScale" priority="6043">
      <colorScale>
        <cfvo type="min"/>
        <cfvo type="percentile" val="50"/>
        <cfvo type="max"/>
        <color rgb="FFF8696B"/>
        <color rgb="FFFFEB84"/>
        <color rgb="FF63BE7B"/>
      </colorScale>
    </cfRule>
  </conditionalFormatting>
  <conditionalFormatting sqref="C8495:C8496">
    <cfRule type="colorScale" priority="6048">
      <colorScale>
        <cfvo type="min"/>
        <cfvo type="percentile" val="50"/>
        <cfvo type="max"/>
        <color rgb="FFF8696B"/>
        <color rgb="FFFFEB84"/>
        <color rgb="FF63BE7B"/>
      </colorScale>
    </cfRule>
  </conditionalFormatting>
  <conditionalFormatting sqref="C8500:C8501">
    <cfRule type="colorScale" priority="6053">
      <colorScale>
        <cfvo type="min"/>
        <cfvo type="percentile" val="50"/>
        <cfvo type="max"/>
        <color rgb="FFF8696B"/>
        <color rgb="FFFFEB84"/>
        <color rgb="FF63BE7B"/>
      </colorScale>
    </cfRule>
  </conditionalFormatting>
  <conditionalFormatting sqref="C8505:C8508">
    <cfRule type="colorScale" priority="6058">
      <colorScale>
        <cfvo type="min"/>
        <cfvo type="percentile" val="50"/>
        <cfvo type="max"/>
        <color rgb="FFF8696B"/>
        <color rgb="FFFFEB84"/>
        <color rgb="FF63BE7B"/>
      </colorScale>
    </cfRule>
  </conditionalFormatting>
  <conditionalFormatting sqref="C8512">
    <cfRule type="colorScale" priority="6064">
      <colorScale>
        <cfvo type="min"/>
        <cfvo type="percentile" val="50"/>
        <cfvo type="max"/>
        <color rgb="FFF8696B"/>
        <color rgb="FFFFEB84"/>
        <color rgb="FF63BE7B"/>
      </colorScale>
    </cfRule>
  </conditionalFormatting>
  <conditionalFormatting sqref="C8516">
    <cfRule type="colorScale" priority="6068">
      <colorScale>
        <cfvo type="min"/>
        <cfvo type="percentile" val="50"/>
        <cfvo type="max"/>
        <color rgb="FFF8696B"/>
        <color rgb="FFFFEB84"/>
        <color rgb="FF63BE7B"/>
      </colorScale>
    </cfRule>
  </conditionalFormatting>
  <conditionalFormatting sqref="C8524">
    <cfRule type="colorScale" priority="6078">
      <colorScale>
        <cfvo type="min"/>
        <cfvo type="percentile" val="50"/>
        <cfvo type="max"/>
        <color rgb="FFF8696B"/>
        <color rgb="FFFFEB84"/>
        <color rgb="FF63BE7B"/>
      </colorScale>
    </cfRule>
  </conditionalFormatting>
  <conditionalFormatting sqref="C8528">
    <cfRule type="colorScale" priority="6083">
      <colorScale>
        <cfvo type="min"/>
        <cfvo type="percentile" val="50"/>
        <cfvo type="max"/>
        <color rgb="FFF8696B"/>
        <color rgb="FFFFEB84"/>
        <color rgb="FF63BE7B"/>
      </colorScale>
    </cfRule>
  </conditionalFormatting>
  <conditionalFormatting sqref="C8532">
    <cfRule type="colorScale" priority="6088">
      <colorScale>
        <cfvo type="min"/>
        <cfvo type="percentile" val="50"/>
        <cfvo type="max"/>
        <color rgb="FFF8696B"/>
        <color rgb="FFFFEB84"/>
        <color rgb="FF63BE7B"/>
      </colorScale>
    </cfRule>
  </conditionalFormatting>
  <conditionalFormatting sqref="C8536">
    <cfRule type="colorScale" priority="6093">
      <colorScale>
        <cfvo type="min"/>
        <cfvo type="percentile" val="50"/>
        <cfvo type="max"/>
        <color rgb="FFF8696B"/>
        <color rgb="FFFFEB84"/>
        <color rgb="FF63BE7B"/>
      </colorScale>
    </cfRule>
  </conditionalFormatting>
  <conditionalFormatting sqref="C8540">
    <cfRule type="colorScale" priority="6098">
      <colorScale>
        <cfvo type="min"/>
        <cfvo type="percentile" val="50"/>
        <cfvo type="max"/>
        <color rgb="FFF8696B"/>
        <color rgb="FFFFEB84"/>
        <color rgb="FF63BE7B"/>
      </colorScale>
    </cfRule>
  </conditionalFormatting>
  <conditionalFormatting sqref="C8544:C8545">
    <cfRule type="colorScale" priority="6103">
      <colorScale>
        <cfvo type="min"/>
        <cfvo type="percentile" val="50"/>
        <cfvo type="max"/>
        <color rgb="FFF8696B"/>
        <color rgb="FFFFEB84"/>
        <color rgb="FF63BE7B"/>
      </colorScale>
    </cfRule>
  </conditionalFormatting>
  <conditionalFormatting sqref="C8549:C8550">
    <cfRule type="colorScale" priority="6108">
      <colorScale>
        <cfvo type="min"/>
        <cfvo type="percentile" val="50"/>
        <cfvo type="max"/>
        <color rgb="FFF8696B"/>
        <color rgb="FFFFEB84"/>
        <color rgb="FF63BE7B"/>
      </colorScale>
    </cfRule>
  </conditionalFormatting>
  <conditionalFormatting sqref="C8554:C8555">
    <cfRule type="colorScale" priority="6113">
      <colorScale>
        <cfvo type="min"/>
        <cfvo type="percentile" val="50"/>
        <cfvo type="max"/>
        <color rgb="FFF8696B"/>
        <color rgb="FFFFEB84"/>
        <color rgb="FF63BE7B"/>
      </colorScale>
    </cfRule>
  </conditionalFormatting>
  <conditionalFormatting sqref="C8559">
    <cfRule type="colorScale" priority="6118">
      <colorScale>
        <cfvo type="min"/>
        <cfvo type="percentile" val="50"/>
        <cfvo type="max"/>
        <color rgb="FFF8696B"/>
        <color rgb="FFFFEB84"/>
        <color rgb="FF63BE7B"/>
      </colorScale>
    </cfRule>
  </conditionalFormatting>
  <conditionalFormatting sqref="C8563:C8564">
    <cfRule type="colorScale" priority="6123">
      <colorScale>
        <cfvo type="min"/>
        <cfvo type="percentile" val="50"/>
        <cfvo type="max"/>
        <color rgb="FFF8696B"/>
        <color rgb="FFFFEB84"/>
        <color rgb="FF63BE7B"/>
      </colorScale>
    </cfRule>
  </conditionalFormatting>
  <conditionalFormatting sqref="C8568">
    <cfRule type="colorScale" priority="6128">
      <colorScale>
        <cfvo type="min"/>
        <cfvo type="percentile" val="50"/>
        <cfvo type="max"/>
        <color rgb="FFF8696B"/>
        <color rgb="FFFFEB84"/>
        <color rgb="FF63BE7B"/>
      </colorScale>
    </cfRule>
  </conditionalFormatting>
  <conditionalFormatting sqref="C8572:C8574">
    <cfRule type="colorScale" priority="6133">
      <colorScale>
        <cfvo type="min"/>
        <cfvo type="percentile" val="50"/>
        <cfvo type="max"/>
        <color rgb="FFF8696B"/>
        <color rgb="FFFFEB84"/>
        <color rgb="FF63BE7B"/>
      </colorScale>
    </cfRule>
  </conditionalFormatting>
  <conditionalFormatting sqref="C8578">
    <cfRule type="colorScale" priority="6139">
      <colorScale>
        <cfvo type="min"/>
        <cfvo type="percentile" val="50"/>
        <cfvo type="max"/>
        <color rgb="FFF8696B"/>
        <color rgb="FFFFEB84"/>
        <color rgb="FF63BE7B"/>
      </colorScale>
    </cfRule>
  </conditionalFormatting>
  <conditionalFormatting sqref="C8582:C8583">
    <cfRule type="colorScale" priority="6143">
      <colorScale>
        <cfvo type="min"/>
        <cfvo type="percentile" val="50"/>
        <cfvo type="max"/>
        <color rgb="FFF8696B"/>
        <color rgb="FFFFEB84"/>
        <color rgb="FF63BE7B"/>
      </colorScale>
    </cfRule>
  </conditionalFormatting>
  <conditionalFormatting sqref="C8591:C8592">
    <cfRule type="colorScale" priority="6153">
      <colorScale>
        <cfvo type="min"/>
        <cfvo type="percentile" val="50"/>
        <cfvo type="max"/>
        <color rgb="FFF8696B"/>
        <color rgb="FFFFEB84"/>
        <color rgb="FF63BE7B"/>
      </colorScale>
    </cfRule>
  </conditionalFormatting>
  <conditionalFormatting sqref="C8596:C8597">
    <cfRule type="colorScale" priority="6158">
      <colorScale>
        <cfvo type="min"/>
        <cfvo type="percentile" val="50"/>
        <cfvo type="max"/>
        <color rgb="FFF8696B"/>
        <color rgb="FFFFEB84"/>
        <color rgb="FF63BE7B"/>
      </colorScale>
    </cfRule>
  </conditionalFormatting>
  <conditionalFormatting sqref="C8601:C8602">
    <cfRule type="colorScale" priority="6163">
      <colorScale>
        <cfvo type="min"/>
        <cfvo type="percentile" val="50"/>
        <cfvo type="max"/>
        <color rgb="FFF8696B"/>
        <color rgb="FFFFEB84"/>
        <color rgb="FF63BE7B"/>
      </colorScale>
    </cfRule>
  </conditionalFormatting>
  <conditionalFormatting sqref="C8606:C8607">
    <cfRule type="colorScale" priority="6168">
      <colorScale>
        <cfvo type="min"/>
        <cfvo type="percentile" val="50"/>
        <cfvo type="max"/>
        <color rgb="FFF8696B"/>
        <color rgb="FFFFEB84"/>
        <color rgb="FF63BE7B"/>
      </colorScale>
    </cfRule>
  </conditionalFormatting>
  <conditionalFormatting sqref="C8611:C8612">
    <cfRule type="colorScale" priority="6173">
      <colorScale>
        <cfvo type="min"/>
        <cfvo type="percentile" val="50"/>
        <cfvo type="max"/>
        <color rgb="FFF8696B"/>
        <color rgb="FFFFEB84"/>
        <color rgb="FF63BE7B"/>
      </colorScale>
    </cfRule>
  </conditionalFormatting>
  <conditionalFormatting sqref="C8616:C8617">
    <cfRule type="colorScale" priority="6178">
      <colorScale>
        <cfvo type="min"/>
        <cfvo type="percentile" val="50"/>
        <cfvo type="max"/>
        <color rgb="FFF8696B"/>
        <color rgb="FFFFEB84"/>
        <color rgb="FF63BE7B"/>
      </colorScale>
    </cfRule>
  </conditionalFormatting>
  <conditionalFormatting sqref="C8621:C8622">
    <cfRule type="colorScale" priority="6183">
      <colorScale>
        <cfvo type="min"/>
        <cfvo type="percentile" val="50"/>
        <cfvo type="max"/>
        <color rgb="FFF8696B"/>
        <color rgb="FFFFEB84"/>
        <color rgb="FF63BE7B"/>
      </colorScale>
    </cfRule>
  </conditionalFormatting>
  <conditionalFormatting sqref="C8626:C8627">
    <cfRule type="colorScale" priority="6188">
      <colorScale>
        <cfvo type="min"/>
        <cfvo type="percentile" val="50"/>
        <cfvo type="max"/>
        <color rgb="FFF8696B"/>
        <color rgb="FFFFEB84"/>
        <color rgb="FF63BE7B"/>
      </colorScale>
    </cfRule>
  </conditionalFormatting>
  <conditionalFormatting sqref="C8631">
    <cfRule type="colorScale" priority="6193">
      <colorScale>
        <cfvo type="min"/>
        <cfvo type="percentile" val="50"/>
        <cfvo type="max"/>
        <color rgb="FFF8696B"/>
        <color rgb="FFFFEB84"/>
        <color rgb="FF63BE7B"/>
      </colorScale>
    </cfRule>
  </conditionalFormatting>
  <conditionalFormatting sqref="C8635:C8636">
    <cfRule type="colorScale" priority="6198">
      <colorScale>
        <cfvo type="min"/>
        <cfvo type="percentile" val="50"/>
        <cfvo type="max"/>
        <color rgb="FFF8696B"/>
        <color rgb="FFFFEB84"/>
        <color rgb="FF63BE7B"/>
      </colorScale>
    </cfRule>
  </conditionalFormatting>
  <conditionalFormatting sqref="C8640:C8641">
    <cfRule type="colorScale" priority="6203">
      <colorScale>
        <cfvo type="min"/>
        <cfvo type="percentile" val="50"/>
        <cfvo type="max"/>
        <color rgb="FFF8696B"/>
        <color rgb="FFFFEB84"/>
        <color rgb="FF63BE7B"/>
      </colorScale>
    </cfRule>
  </conditionalFormatting>
  <conditionalFormatting sqref="C8645:C8648">
    <cfRule type="colorScale" priority="6208">
      <colorScale>
        <cfvo type="min"/>
        <cfvo type="percentile" val="50"/>
        <cfvo type="max"/>
        <color rgb="FFF8696B"/>
        <color rgb="FFFFEB84"/>
        <color rgb="FF63BE7B"/>
      </colorScale>
    </cfRule>
  </conditionalFormatting>
  <conditionalFormatting sqref="C8652">
    <cfRule type="colorScale" priority="6214">
      <colorScale>
        <cfvo type="min"/>
        <cfvo type="percentile" val="50"/>
        <cfvo type="max"/>
        <color rgb="FFF8696B"/>
        <color rgb="FFFFEB84"/>
        <color rgb="FF63BE7B"/>
      </colorScale>
    </cfRule>
  </conditionalFormatting>
  <conditionalFormatting sqref="C8656:C8657">
    <cfRule type="colorScale" priority="6218">
      <colorScale>
        <cfvo type="min"/>
        <cfvo type="percentile" val="50"/>
        <cfvo type="max"/>
        <color rgb="FFF8696B"/>
        <color rgb="FFFFEB84"/>
        <color rgb="FF63BE7B"/>
      </colorScale>
    </cfRule>
  </conditionalFormatting>
  <conditionalFormatting sqref="C8665:C8666">
    <cfRule type="colorScale" priority="6228">
      <colorScale>
        <cfvo type="min"/>
        <cfvo type="percentile" val="50"/>
        <cfvo type="max"/>
        <color rgb="FFF8696B"/>
        <color rgb="FFFFEB84"/>
        <color rgb="FF63BE7B"/>
      </colorScale>
    </cfRule>
  </conditionalFormatting>
  <conditionalFormatting sqref="C8670">
    <cfRule type="colorScale" priority="6233">
      <colorScale>
        <cfvo type="min"/>
        <cfvo type="percentile" val="50"/>
        <cfvo type="max"/>
        <color rgb="FFF8696B"/>
        <color rgb="FFFFEB84"/>
        <color rgb="FF63BE7B"/>
      </colorScale>
    </cfRule>
  </conditionalFormatting>
  <conditionalFormatting sqref="C8674:C8675">
    <cfRule type="colorScale" priority="6238">
      <colorScale>
        <cfvo type="min"/>
        <cfvo type="percentile" val="50"/>
        <cfvo type="max"/>
        <color rgb="FFF8696B"/>
        <color rgb="FFFFEB84"/>
        <color rgb="FF63BE7B"/>
      </colorScale>
    </cfRule>
  </conditionalFormatting>
  <conditionalFormatting sqref="C8679:C8680">
    <cfRule type="colorScale" priority="6243">
      <colorScale>
        <cfvo type="min"/>
        <cfvo type="percentile" val="50"/>
        <cfvo type="max"/>
        <color rgb="FFF8696B"/>
        <color rgb="FFFFEB84"/>
        <color rgb="FF63BE7B"/>
      </colorScale>
    </cfRule>
  </conditionalFormatting>
  <conditionalFormatting sqref="C8684:C8685">
    <cfRule type="colorScale" priority="6248">
      <colorScale>
        <cfvo type="min"/>
        <cfvo type="percentile" val="50"/>
        <cfvo type="max"/>
        <color rgb="FFF8696B"/>
        <color rgb="FFFFEB84"/>
        <color rgb="FF63BE7B"/>
      </colorScale>
    </cfRule>
  </conditionalFormatting>
  <conditionalFormatting sqref="C8689:C8690">
    <cfRule type="colorScale" priority="6253">
      <colorScale>
        <cfvo type="min"/>
        <cfvo type="percentile" val="50"/>
        <cfvo type="max"/>
        <color rgb="FFF8696B"/>
        <color rgb="FFFFEB84"/>
        <color rgb="FF63BE7B"/>
      </colorScale>
    </cfRule>
  </conditionalFormatting>
  <conditionalFormatting sqref="C8694:C8695">
    <cfRule type="colorScale" priority="6258">
      <colorScale>
        <cfvo type="min"/>
        <cfvo type="percentile" val="50"/>
        <cfvo type="max"/>
        <color rgb="FFF8696B"/>
        <color rgb="FFFFEB84"/>
        <color rgb="FF63BE7B"/>
      </colorScale>
    </cfRule>
  </conditionalFormatting>
  <conditionalFormatting sqref="C8699:C8700">
    <cfRule type="colorScale" priority="6263">
      <colorScale>
        <cfvo type="min"/>
        <cfvo type="percentile" val="50"/>
        <cfvo type="max"/>
        <color rgb="FFF8696B"/>
        <color rgb="FFFFEB84"/>
        <color rgb="FF63BE7B"/>
      </colorScale>
    </cfRule>
  </conditionalFormatting>
  <conditionalFormatting sqref="C8704">
    <cfRule type="colorScale" priority="6268">
      <colorScale>
        <cfvo type="min"/>
        <cfvo type="percentile" val="50"/>
        <cfvo type="max"/>
        <color rgb="FFF8696B"/>
        <color rgb="FFFFEB84"/>
        <color rgb="FF63BE7B"/>
      </colorScale>
    </cfRule>
  </conditionalFormatting>
  <conditionalFormatting sqref="C8708:C8709">
    <cfRule type="colorScale" priority="6273">
      <colorScale>
        <cfvo type="min"/>
        <cfvo type="percentile" val="50"/>
        <cfvo type="max"/>
        <color rgb="FFF8696B"/>
        <color rgb="FFFFEB84"/>
        <color rgb="FF63BE7B"/>
      </colorScale>
    </cfRule>
  </conditionalFormatting>
  <conditionalFormatting sqref="C8713:C8714">
    <cfRule type="colorScale" priority="6278">
      <colorScale>
        <cfvo type="min"/>
        <cfvo type="percentile" val="50"/>
        <cfvo type="max"/>
        <color rgb="FFF8696B"/>
        <color rgb="FFFFEB84"/>
        <color rgb="FF63BE7B"/>
      </colorScale>
    </cfRule>
  </conditionalFormatting>
  <conditionalFormatting sqref="C8718:C8721">
    <cfRule type="colorScale" priority="6283">
      <colorScale>
        <cfvo type="min"/>
        <cfvo type="percentile" val="50"/>
        <cfvo type="max"/>
        <color rgb="FFF8696B"/>
        <color rgb="FFFFEB84"/>
        <color rgb="FF63BE7B"/>
      </colorScale>
    </cfRule>
  </conditionalFormatting>
  <conditionalFormatting sqref="C8725">
    <cfRule type="colorScale" priority="6289">
      <colorScale>
        <cfvo type="min"/>
        <cfvo type="percentile" val="50"/>
        <cfvo type="max"/>
        <color rgb="FFF8696B"/>
        <color rgb="FFFFEB84"/>
        <color rgb="FF63BE7B"/>
      </colorScale>
    </cfRule>
  </conditionalFormatting>
  <conditionalFormatting sqref="C8729:C8730">
    <cfRule type="colorScale" priority="6293">
      <colorScale>
        <cfvo type="min"/>
        <cfvo type="percentile" val="50"/>
        <cfvo type="max"/>
        <color rgb="FFF8696B"/>
        <color rgb="FFFFEB84"/>
        <color rgb="FF63BE7B"/>
      </colorScale>
    </cfRule>
  </conditionalFormatting>
  <conditionalFormatting sqref="C8738:C8739">
    <cfRule type="colorScale" priority="6303">
      <colorScale>
        <cfvo type="min"/>
        <cfvo type="percentile" val="50"/>
        <cfvo type="max"/>
        <color rgb="FFF8696B"/>
        <color rgb="FFFFEB84"/>
        <color rgb="FF63BE7B"/>
      </colorScale>
    </cfRule>
  </conditionalFormatting>
  <conditionalFormatting sqref="C8743">
    <cfRule type="colorScale" priority="6308">
      <colorScale>
        <cfvo type="min"/>
        <cfvo type="percentile" val="50"/>
        <cfvo type="max"/>
        <color rgb="FFF8696B"/>
        <color rgb="FFFFEB84"/>
        <color rgb="FF63BE7B"/>
      </colorScale>
    </cfRule>
  </conditionalFormatting>
  <conditionalFormatting sqref="C8747:C8748">
    <cfRule type="colorScale" priority="6313">
      <colorScale>
        <cfvo type="min"/>
        <cfvo type="percentile" val="50"/>
        <cfvo type="max"/>
        <color rgb="FFF8696B"/>
        <color rgb="FFFFEB84"/>
        <color rgb="FF63BE7B"/>
      </colorScale>
    </cfRule>
  </conditionalFormatting>
  <conditionalFormatting sqref="C8752:C8753">
    <cfRule type="colorScale" priority="6318">
      <colorScale>
        <cfvo type="min"/>
        <cfvo type="percentile" val="50"/>
        <cfvo type="max"/>
        <color rgb="FFF8696B"/>
        <color rgb="FFFFEB84"/>
        <color rgb="FF63BE7B"/>
      </colorScale>
    </cfRule>
  </conditionalFormatting>
  <conditionalFormatting sqref="C8757:C8758">
    <cfRule type="colorScale" priority="6323">
      <colorScale>
        <cfvo type="min"/>
        <cfvo type="percentile" val="50"/>
        <cfvo type="max"/>
        <color rgb="FFF8696B"/>
        <color rgb="FFFFEB84"/>
        <color rgb="FF63BE7B"/>
      </colorScale>
    </cfRule>
  </conditionalFormatting>
  <conditionalFormatting sqref="C8762:C8763">
    <cfRule type="colorScale" priority="6328">
      <colorScale>
        <cfvo type="min"/>
        <cfvo type="percentile" val="50"/>
        <cfvo type="max"/>
        <color rgb="FFF8696B"/>
        <color rgb="FFFFEB84"/>
        <color rgb="FF63BE7B"/>
      </colorScale>
    </cfRule>
  </conditionalFormatting>
  <conditionalFormatting sqref="C8767:C8768">
    <cfRule type="colorScale" priority="6333">
      <colorScale>
        <cfvo type="min"/>
        <cfvo type="percentile" val="50"/>
        <cfvo type="max"/>
        <color rgb="FFF8696B"/>
        <color rgb="FFFFEB84"/>
        <color rgb="FF63BE7B"/>
      </colorScale>
    </cfRule>
  </conditionalFormatting>
  <conditionalFormatting sqref="C8772:C8773">
    <cfRule type="colorScale" priority="6338">
      <colorScale>
        <cfvo type="min"/>
        <cfvo type="percentile" val="50"/>
        <cfvo type="max"/>
        <color rgb="FFF8696B"/>
        <color rgb="FFFFEB84"/>
        <color rgb="FF63BE7B"/>
      </colorScale>
    </cfRule>
  </conditionalFormatting>
  <conditionalFormatting sqref="C8777">
    <cfRule type="colorScale" priority="6343">
      <colorScale>
        <cfvo type="min"/>
        <cfvo type="percentile" val="50"/>
        <cfvo type="max"/>
        <color rgb="FFF8696B"/>
        <color rgb="FFFFEB84"/>
        <color rgb="FF63BE7B"/>
      </colorScale>
    </cfRule>
  </conditionalFormatting>
  <conditionalFormatting sqref="C8781:C8782">
    <cfRule type="colorScale" priority="6348">
      <colorScale>
        <cfvo type="min"/>
        <cfvo type="percentile" val="50"/>
        <cfvo type="max"/>
        <color rgb="FFF8696B"/>
        <color rgb="FFFFEB84"/>
        <color rgb="FF63BE7B"/>
      </colorScale>
    </cfRule>
  </conditionalFormatting>
  <conditionalFormatting sqref="C8786:C8787">
    <cfRule type="colorScale" priority="6353">
      <colorScale>
        <cfvo type="min"/>
        <cfvo type="percentile" val="50"/>
        <cfvo type="max"/>
        <color rgb="FFF8696B"/>
        <color rgb="FFFFEB84"/>
        <color rgb="FF63BE7B"/>
      </colorScale>
    </cfRule>
  </conditionalFormatting>
  <conditionalFormatting sqref="C8791:C8794">
    <cfRule type="colorScale" priority="6358">
      <colorScale>
        <cfvo type="min"/>
        <cfvo type="percentile" val="50"/>
        <cfvo type="max"/>
        <color rgb="FFF8696B"/>
        <color rgb="FFFFEB84"/>
        <color rgb="FF63BE7B"/>
      </colorScale>
    </cfRule>
  </conditionalFormatting>
  <conditionalFormatting sqref="C8798">
    <cfRule type="colorScale" priority="6364">
      <colorScale>
        <cfvo type="min"/>
        <cfvo type="percentile" val="50"/>
        <cfvo type="max"/>
        <color rgb="FFF8696B"/>
        <color rgb="FFFFEB84"/>
        <color rgb="FF63BE7B"/>
      </colorScale>
    </cfRule>
  </conditionalFormatting>
  <conditionalFormatting sqref="C8802:C8803">
    <cfRule type="colorScale" priority="6368">
      <colorScale>
        <cfvo type="min"/>
        <cfvo type="percentile" val="50"/>
        <cfvo type="max"/>
        <color rgb="FFF8696B"/>
        <color rgb="FFFFEB84"/>
        <color rgb="FF63BE7B"/>
      </colorScale>
    </cfRule>
  </conditionalFormatting>
  <conditionalFormatting sqref="C8811:C8812">
    <cfRule type="colorScale" priority="6378">
      <colorScale>
        <cfvo type="min"/>
        <cfvo type="percentile" val="50"/>
        <cfvo type="max"/>
        <color rgb="FFF8696B"/>
        <color rgb="FFFFEB84"/>
        <color rgb="FF63BE7B"/>
      </colorScale>
    </cfRule>
  </conditionalFormatting>
  <conditionalFormatting sqref="C8816">
    <cfRule type="colorScale" priority="6383">
      <colorScale>
        <cfvo type="min"/>
        <cfvo type="percentile" val="50"/>
        <cfvo type="max"/>
        <color rgb="FFF8696B"/>
        <color rgb="FFFFEB84"/>
        <color rgb="FF63BE7B"/>
      </colorScale>
    </cfRule>
  </conditionalFormatting>
  <conditionalFormatting sqref="C8820">
    <cfRule type="colorScale" priority="6388">
      <colorScale>
        <cfvo type="min"/>
        <cfvo type="percentile" val="50"/>
        <cfvo type="max"/>
        <color rgb="FFF8696B"/>
        <color rgb="FFFFEB84"/>
        <color rgb="FF63BE7B"/>
      </colorScale>
    </cfRule>
  </conditionalFormatting>
  <conditionalFormatting sqref="C8824:C8825">
    <cfRule type="colorScale" priority="6393">
      <colorScale>
        <cfvo type="min"/>
        <cfvo type="percentile" val="50"/>
        <cfvo type="max"/>
        <color rgb="FFF8696B"/>
        <color rgb="FFFFEB84"/>
        <color rgb="FF63BE7B"/>
      </colorScale>
    </cfRule>
  </conditionalFormatting>
  <conditionalFormatting sqref="C8829:C8830">
    <cfRule type="colorScale" priority="6398">
      <colorScale>
        <cfvo type="min"/>
        <cfvo type="percentile" val="50"/>
        <cfvo type="max"/>
        <color rgb="FFF8696B"/>
        <color rgb="FFFFEB84"/>
        <color rgb="FF63BE7B"/>
      </colorScale>
    </cfRule>
  </conditionalFormatting>
  <conditionalFormatting sqref="C8834:C8835">
    <cfRule type="colorScale" priority="6403">
      <colorScale>
        <cfvo type="min"/>
        <cfvo type="percentile" val="50"/>
        <cfvo type="max"/>
        <color rgb="FFF8696B"/>
        <color rgb="FFFFEB84"/>
        <color rgb="FF63BE7B"/>
      </colorScale>
    </cfRule>
  </conditionalFormatting>
  <conditionalFormatting sqref="C8839:C8840">
    <cfRule type="colorScale" priority="6408">
      <colorScale>
        <cfvo type="min"/>
        <cfvo type="percentile" val="50"/>
        <cfvo type="max"/>
        <color rgb="FFF8696B"/>
        <color rgb="FFFFEB84"/>
        <color rgb="FF63BE7B"/>
      </colorScale>
    </cfRule>
  </conditionalFormatting>
  <conditionalFormatting sqref="C8844:C8845">
    <cfRule type="colorScale" priority="6413">
      <colorScale>
        <cfvo type="min"/>
        <cfvo type="percentile" val="50"/>
        <cfvo type="max"/>
        <color rgb="FFF8696B"/>
        <color rgb="FFFFEB84"/>
        <color rgb="FF63BE7B"/>
      </colorScale>
    </cfRule>
  </conditionalFormatting>
  <conditionalFormatting sqref="C8849">
    <cfRule type="colorScale" priority="6418">
      <colorScale>
        <cfvo type="min"/>
        <cfvo type="percentile" val="50"/>
        <cfvo type="max"/>
        <color rgb="FFF8696B"/>
        <color rgb="FFFFEB84"/>
        <color rgb="FF63BE7B"/>
      </colorScale>
    </cfRule>
  </conditionalFormatting>
  <conditionalFormatting sqref="C8853:C8854">
    <cfRule type="colorScale" priority="6423">
      <colorScale>
        <cfvo type="min"/>
        <cfvo type="percentile" val="50"/>
        <cfvo type="max"/>
        <color rgb="FFF8696B"/>
        <color rgb="FFFFEB84"/>
        <color rgb="FF63BE7B"/>
      </colorScale>
    </cfRule>
  </conditionalFormatting>
  <conditionalFormatting sqref="C8858:C8859">
    <cfRule type="colorScale" priority="6428">
      <colorScale>
        <cfvo type="min"/>
        <cfvo type="percentile" val="50"/>
        <cfvo type="max"/>
        <color rgb="FFF8696B"/>
        <color rgb="FFFFEB84"/>
        <color rgb="FF63BE7B"/>
      </colorScale>
    </cfRule>
  </conditionalFormatting>
  <conditionalFormatting sqref="C8863:C8866">
    <cfRule type="colorScale" priority="6433">
      <colorScale>
        <cfvo type="min"/>
        <cfvo type="percentile" val="50"/>
        <cfvo type="max"/>
        <color rgb="FFF8696B"/>
        <color rgb="FFFFEB84"/>
        <color rgb="FF63BE7B"/>
      </colorScale>
    </cfRule>
  </conditionalFormatting>
  <conditionalFormatting sqref="C8870">
    <cfRule type="colorScale" priority="6439">
      <colorScale>
        <cfvo type="min"/>
        <cfvo type="percentile" val="50"/>
        <cfvo type="max"/>
        <color rgb="FFF8696B"/>
        <color rgb="FFFFEB84"/>
        <color rgb="FF63BE7B"/>
      </colorScale>
    </cfRule>
  </conditionalFormatting>
  <conditionalFormatting sqref="C8874:C8875">
    <cfRule type="colorScale" priority="6443">
      <colorScale>
        <cfvo type="min"/>
        <cfvo type="percentile" val="50"/>
        <cfvo type="max"/>
        <color rgb="FFF8696B"/>
        <color rgb="FFFFEB84"/>
        <color rgb="FF63BE7B"/>
      </colorScale>
    </cfRule>
  </conditionalFormatting>
  <conditionalFormatting sqref="C8883:C8884">
    <cfRule type="colorScale" priority="6453">
      <colorScale>
        <cfvo type="min"/>
        <cfvo type="percentile" val="50"/>
        <cfvo type="max"/>
        <color rgb="FFF8696B"/>
        <color rgb="FFFFEB84"/>
        <color rgb="FF63BE7B"/>
      </colorScale>
    </cfRule>
  </conditionalFormatting>
  <conditionalFormatting sqref="C8888">
    <cfRule type="colorScale" priority="6458">
      <colorScale>
        <cfvo type="min"/>
        <cfvo type="percentile" val="50"/>
        <cfvo type="max"/>
        <color rgb="FFF8696B"/>
        <color rgb="FFFFEB84"/>
        <color rgb="FF63BE7B"/>
      </colorScale>
    </cfRule>
  </conditionalFormatting>
  <conditionalFormatting sqref="C8892:C8893">
    <cfRule type="colorScale" priority="6463">
      <colorScale>
        <cfvo type="min"/>
        <cfvo type="percentile" val="50"/>
        <cfvo type="max"/>
        <color rgb="FFF8696B"/>
        <color rgb="FFFFEB84"/>
        <color rgb="FF63BE7B"/>
      </colorScale>
    </cfRule>
  </conditionalFormatting>
  <conditionalFormatting sqref="C8897:C8898">
    <cfRule type="colorScale" priority="6468">
      <colorScale>
        <cfvo type="min"/>
        <cfvo type="percentile" val="50"/>
        <cfvo type="max"/>
        <color rgb="FFF8696B"/>
        <color rgb="FFFFEB84"/>
        <color rgb="FF63BE7B"/>
      </colorScale>
    </cfRule>
  </conditionalFormatting>
  <conditionalFormatting sqref="C8902:C8903">
    <cfRule type="colorScale" priority="6473">
      <colorScale>
        <cfvo type="min"/>
        <cfvo type="percentile" val="50"/>
        <cfvo type="max"/>
        <color rgb="FFF8696B"/>
        <color rgb="FFFFEB84"/>
        <color rgb="FF63BE7B"/>
      </colorScale>
    </cfRule>
  </conditionalFormatting>
  <conditionalFormatting sqref="C8907:C8908">
    <cfRule type="colorScale" priority="6478">
      <colorScale>
        <cfvo type="min"/>
        <cfvo type="percentile" val="50"/>
        <cfvo type="max"/>
        <color rgb="FFF8696B"/>
        <color rgb="FFFFEB84"/>
        <color rgb="FF63BE7B"/>
      </colorScale>
    </cfRule>
  </conditionalFormatting>
  <conditionalFormatting sqref="C8912:C8913">
    <cfRule type="colorScale" priority="6483">
      <colorScale>
        <cfvo type="min"/>
        <cfvo type="percentile" val="50"/>
        <cfvo type="max"/>
        <color rgb="FFF8696B"/>
        <color rgb="FFFFEB84"/>
        <color rgb="FF63BE7B"/>
      </colorScale>
    </cfRule>
  </conditionalFormatting>
  <conditionalFormatting sqref="C8917:C8918">
    <cfRule type="colorScale" priority="6488">
      <colorScale>
        <cfvo type="min"/>
        <cfvo type="percentile" val="50"/>
        <cfvo type="max"/>
        <color rgb="FFF8696B"/>
        <color rgb="FFFFEB84"/>
        <color rgb="FF63BE7B"/>
      </colorScale>
    </cfRule>
  </conditionalFormatting>
  <conditionalFormatting sqref="C8922">
    <cfRule type="colorScale" priority="6493">
      <colorScale>
        <cfvo type="min"/>
        <cfvo type="percentile" val="50"/>
        <cfvo type="max"/>
        <color rgb="FFF8696B"/>
        <color rgb="FFFFEB84"/>
        <color rgb="FF63BE7B"/>
      </colorScale>
    </cfRule>
  </conditionalFormatting>
  <conditionalFormatting sqref="C8926:C8927">
    <cfRule type="colorScale" priority="6498">
      <colorScale>
        <cfvo type="min"/>
        <cfvo type="percentile" val="50"/>
        <cfvo type="max"/>
        <color rgb="FFF8696B"/>
        <color rgb="FFFFEB84"/>
        <color rgb="FF63BE7B"/>
      </colorScale>
    </cfRule>
  </conditionalFormatting>
  <conditionalFormatting sqref="C8931:C8932">
    <cfRule type="colorScale" priority="6503">
      <colorScale>
        <cfvo type="min"/>
        <cfvo type="percentile" val="50"/>
        <cfvo type="max"/>
        <color rgb="FFF8696B"/>
        <color rgb="FFFFEB84"/>
        <color rgb="FF63BE7B"/>
      </colorScale>
    </cfRule>
  </conditionalFormatting>
  <conditionalFormatting sqref="C8936:C8939">
    <cfRule type="colorScale" priority="6508">
      <colorScale>
        <cfvo type="min"/>
        <cfvo type="percentile" val="50"/>
        <cfvo type="max"/>
        <color rgb="FFF8696B"/>
        <color rgb="FFFFEB84"/>
        <color rgb="FF63BE7B"/>
      </colorScale>
    </cfRule>
  </conditionalFormatting>
  <conditionalFormatting sqref="C8943">
    <cfRule type="colorScale" priority="6514">
      <colorScale>
        <cfvo type="min"/>
        <cfvo type="percentile" val="50"/>
        <cfvo type="max"/>
        <color rgb="FFF8696B"/>
        <color rgb="FFFFEB84"/>
        <color rgb="FF63BE7B"/>
      </colorScale>
    </cfRule>
  </conditionalFormatting>
  <conditionalFormatting sqref="C8947:C8948">
    <cfRule type="colorScale" priority="6518">
      <colorScale>
        <cfvo type="min"/>
        <cfvo type="percentile" val="50"/>
        <cfvo type="max"/>
        <color rgb="FFF8696B"/>
        <color rgb="FFFFEB84"/>
        <color rgb="FF63BE7B"/>
      </colorScale>
    </cfRule>
  </conditionalFormatting>
  <conditionalFormatting sqref="C8956:C8957">
    <cfRule type="colorScale" priority="6528">
      <colorScale>
        <cfvo type="min"/>
        <cfvo type="percentile" val="50"/>
        <cfvo type="max"/>
        <color rgb="FFF8696B"/>
        <color rgb="FFFFEB84"/>
        <color rgb="FF63BE7B"/>
      </colorScale>
    </cfRule>
  </conditionalFormatting>
  <conditionalFormatting sqref="C8961:C8962">
    <cfRule type="colorScale" priority="6533">
      <colorScale>
        <cfvo type="min"/>
        <cfvo type="percentile" val="50"/>
        <cfvo type="max"/>
        <color rgb="FFF8696B"/>
        <color rgb="FFFFEB84"/>
        <color rgb="FF63BE7B"/>
      </colorScale>
    </cfRule>
  </conditionalFormatting>
  <conditionalFormatting sqref="C8966:C8967">
    <cfRule type="colorScale" priority="6538">
      <colorScale>
        <cfvo type="min"/>
        <cfvo type="percentile" val="50"/>
        <cfvo type="max"/>
        <color rgb="FFF8696B"/>
        <color rgb="FFFFEB84"/>
        <color rgb="FF63BE7B"/>
      </colorScale>
    </cfRule>
  </conditionalFormatting>
  <conditionalFormatting sqref="C8971:C8972">
    <cfRule type="colorScale" priority="6543">
      <colorScale>
        <cfvo type="min"/>
        <cfvo type="percentile" val="50"/>
        <cfvo type="max"/>
        <color rgb="FFF8696B"/>
        <color rgb="FFFFEB84"/>
        <color rgb="FF63BE7B"/>
      </colorScale>
    </cfRule>
  </conditionalFormatting>
  <conditionalFormatting sqref="C8976:C8977">
    <cfRule type="colorScale" priority="6548">
      <colorScale>
        <cfvo type="min"/>
        <cfvo type="percentile" val="50"/>
        <cfvo type="max"/>
        <color rgb="FFF8696B"/>
        <color rgb="FFFFEB84"/>
        <color rgb="FF63BE7B"/>
      </colorScale>
    </cfRule>
  </conditionalFormatting>
  <conditionalFormatting sqref="C8981:C8982">
    <cfRule type="colorScale" priority="6553">
      <colorScale>
        <cfvo type="min"/>
        <cfvo type="percentile" val="50"/>
        <cfvo type="max"/>
        <color rgb="FFF8696B"/>
        <color rgb="FFFFEB84"/>
        <color rgb="FF63BE7B"/>
      </colorScale>
    </cfRule>
  </conditionalFormatting>
  <conditionalFormatting sqref="C8986:C8987">
    <cfRule type="colorScale" priority="6558">
      <colorScale>
        <cfvo type="min"/>
        <cfvo type="percentile" val="50"/>
        <cfvo type="max"/>
        <color rgb="FFF8696B"/>
        <color rgb="FFFFEB84"/>
        <color rgb="FF63BE7B"/>
      </colorScale>
    </cfRule>
  </conditionalFormatting>
  <conditionalFormatting sqref="C8991:C8992">
    <cfRule type="colorScale" priority="6563">
      <colorScale>
        <cfvo type="min"/>
        <cfvo type="percentile" val="50"/>
        <cfvo type="max"/>
        <color rgb="FFF8696B"/>
        <color rgb="FFFFEB84"/>
        <color rgb="FF63BE7B"/>
      </colorScale>
    </cfRule>
  </conditionalFormatting>
  <conditionalFormatting sqref="C8996">
    <cfRule type="colorScale" priority="6568">
      <colorScale>
        <cfvo type="min"/>
        <cfvo type="percentile" val="50"/>
        <cfvo type="max"/>
        <color rgb="FFF8696B"/>
        <color rgb="FFFFEB84"/>
        <color rgb="FF63BE7B"/>
      </colorScale>
    </cfRule>
  </conditionalFormatting>
  <conditionalFormatting sqref="C9000:C9001">
    <cfRule type="colorScale" priority="6573">
      <colorScale>
        <cfvo type="min"/>
        <cfvo type="percentile" val="50"/>
        <cfvo type="max"/>
        <color rgb="FFF8696B"/>
        <color rgb="FFFFEB84"/>
        <color rgb="FF63BE7B"/>
      </colorScale>
    </cfRule>
  </conditionalFormatting>
  <conditionalFormatting sqref="C9005:C9006">
    <cfRule type="colorScale" priority="6578">
      <colorScale>
        <cfvo type="min"/>
        <cfvo type="percentile" val="50"/>
        <cfvo type="max"/>
        <color rgb="FFF8696B"/>
        <color rgb="FFFFEB84"/>
        <color rgb="FF63BE7B"/>
      </colorScale>
    </cfRule>
  </conditionalFormatting>
  <conditionalFormatting sqref="C9010:C9013">
    <cfRule type="colorScale" priority="6583">
      <colorScale>
        <cfvo type="min"/>
        <cfvo type="percentile" val="50"/>
        <cfvo type="max"/>
        <color rgb="FFF8696B"/>
        <color rgb="FFFFEB84"/>
        <color rgb="FF63BE7B"/>
      </colorScale>
    </cfRule>
  </conditionalFormatting>
  <conditionalFormatting sqref="C9017">
    <cfRule type="colorScale" priority="6589">
      <colorScale>
        <cfvo type="min"/>
        <cfvo type="percentile" val="50"/>
        <cfvo type="max"/>
        <color rgb="FFF8696B"/>
        <color rgb="FFFFEB84"/>
        <color rgb="FF63BE7B"/>
      </colorScale>
    </cfRule>
  </conditionalFormatting>
  <conditionalFormatting sqref="C9021:C9022">
    <cfRule type="colorScale" priority="6593">
      <colorScale>
        <cfvo type="min"/>
        <cfvo type="percentile" val="50"/>
        <cfvo type="max"/>
        <color rgb="FFF8696B"/>
        <color rgb="FFFFEB84"/>
        <color rgb="FF63BE7B"/>
      </colorScale>
    </cfRule>
  </conditionalFormatting>
  <conditionalFormatting sqref="C9030:C9031">
    <cfRule type="colorScale" priority="6603">
      <colorScale>
        <cfvo type="min"/>
        <cfvo type="percentile" val="50"/>
        <cfvo type="max"/>
        <color rgb="FFF8696B"/>
        <color rgb="FFFFEB84"/>
        <color rgb="FF63BE7B"/>
      </colorScale>
    </cfRule>
  </conditionalFormatting>
  <conditionalFormatting sqref="C9035">
    <cfRule type="colorScale" priority="6608">
      <colorScale>
        <cfvo type="min"/>
        <cfvo type="percentile" val="50"/>
        <cfvo type="max"/>
        <color rgb="FFF8696B"/>
        <color rgb="FFFFEB84"/>
        <color rgb="FF63BE7B"/>
      </colorScale>
    </cfRule>
  </conditionalFormatting>
  <conditionalFormatting sqref="C9039:C9040">
    <cfRule type="colorScale" priority="6613">
      <colorScale>
        <cfvo type="min"/>
        <cfvo type="percentile" val="50"/>
        <cfvo type="max"/>
        <color rgb="FFF8696B"/>
        <color rgb="FFFFEB84"/>
        <color rgb="FF63BE7B"/>
      </colorScale>
    </cfRule>
  </conditionalFormatting>
  <conditionalFormatting sqref="C9044">
    <cfRule type="colorScale" priority="6618">
      <colorScale>
        <cfvo type="min"/>
        <cfvo type="percentile" val="50"/>
        <cfvo type="max"/>
        <color rgb="FFF8696B"/>
        <color rgb="FFFFEB84"/>
        <color rgb="FF63BE7B"/>
      </colorScale>
    </cfRule>
  </conditionalFormatting>
  <conditionalFormatting sqref="C9048:C9049">
    <cfRule type="colorScale" priority="6623">
      <colorScale>
        <cfvo type="min"/>
        <cfvo type="percentile" val="50"/>
        <cfvo type="max"/>
        <color rgb="FFF8696B"/>
        <color rgb="FFFFEB84"/>
        <color rgb="FF63BE7B"/>
      </colorScale>
    </cfRule>
  </conditionalFormatting>
  <conditionalFormatting sqref="C9053:C9054">
    <cfRule type="colorScale" priority="6628">
      <colorScale>
        <cfvo type="min"/>
        <cfvo type="percentile" val="50"/>
        <cfvo type="max"/>
        <color rgb="FFF8696B"/>
        <color rgb="FFFFEB84"/>
        <color rgb="FF63BE7B"/>
      </colorScale>
    </cfRule>
  </conditionalFormatting>
  <conditionalFormatting sqref="C9058:C9059">
    <cfRule type="colorScale" priority="6633">
      <colorScale>
        <cfvo type="min"/>
        <cfvo type="percentile" val="50"/>
        <cfvo type="max"/>
        <color rgb="FFF8696B"/>
        <color rgb="FFFFEB84"/>
        <color rgb="FF63BE7B"/>
      </colorScale>
    </cfRule>
  </conditionalFormatting>
  <conditionalFormatting sqref="C9063:C9064">
    <cfRule type="colorScale" priority="6638">
      <colorScale>
        <cfvo type="min"/>
        <cfvo type="percentile" val="50"/>
        <cfvo type="max"/>
        <color rgb="FFF8696B"/>
        <color rgb="FFFFEB84"/>
        <color rgb="FF63BE7B"/>
      </colorScale>
    </cfRule>
  </conditionalFormatting>
  <conditionalFormatting sqref="C9068">
    <cfRule type="colorScale" priority="6643">
      <colorScale>
        <cfvo type="min"/>
        <cfvo type="percentile" val="50"/>
        <cfvo type="max"/>
        <color rgb="FFF8696B"/>
        <color rgb="FFFFEB84"/>
        <color rgb="FF63BE7B"/>
      </colorScale>
    </cfRule>
  </conditionalFormatting>
  <conditionalFormatting sqref="C9072:C9073">
    <cfRule type="colorScale" priority="6648">
      <colorScale>
        <cfvo type="min"/>
        <cfvo type="percentile" val="50"/>
        <cfvo type="max"/>
        <color rgb="FFF8696B"/>
        <color rgb="FFFFEB84"/>
        <color rgb="FF63BE7B"/>
      </colorScale>
    </cfRule>
  </conditionalFormatting>
  <conditionalFormatting sqref="C9077:C9078">
    <cfRule type="colorScale" priority="6653">
      <colorScale>
        <cfvo type="min"/>
        <cfvo type="percentile" val="50"/>
        <cfvo type="max"/>
        <color rgb="FFF8696B"/>
        <color rgb="FFFFEB84"/>
        <color rgb="FF63BE7B"/>
      </colorScale>
    </cfRule>
  </conditionalFormatting>
  <conditionalFormatting sqref="C9082:C9085">
    <cfRule type="colorScale" priority="6658">
      <colorScale>
        <cfvo type="min"/>
        <cfvo type="percentile" val="50"/>
        <cfvo type="max"/>
        <color rgb="FFF8696B"/>
        <color rgb="FFFFEB84"/>
        <color rgb="FF63BE7B"/>
      </colorScale>
    </cfRule>
  </conditionalFormatting>
  <conditionalFormatting sqref="C9089">
    <cfRule type="colorScale" priority="6664">
      <colorScale>
        <cfvo type="min"/>
        <cfvo type="percentile" val="50"/>
        <cfvo type="max"/>
        <color rgb="FFF8696B"/>
        <color rgb="FFFFEB84"/>
        <color rgb="FF63BE7B"/>
      </colorScale>
    </cfRule>
  </conditionalFormatting>
  <conditionalFormatting sqref="C9093:C9094">
    <cfRule type="colorScale" priority="6668">
      <colorScale>
        <cfvo type="min"/>
        <cfvo type="percentile" val="50"/>
        <cfvo type="max"/>
        <color rgb="FFF8696B"/>
        <color rgb="FFFFEB84"/>
        <color rgb="FF63BE7B"/>
      </colorScale>
    </cfRule>
  </conditionalFormatting>
  <conditionalFormatting sqref="C9102:C9103">
    <cfRule type="colorScale" priority="6678">
      <colorScale>
        <cfvo type="min"/>
        <cfvo type="percentile" val="50"/>
        <cfvo type="max"/>
        <color rgb="FFF8696B"/>
        <color rgb="FFFFEB84"/>
        <color rgb="FF63BE7B"/>
      </colorScale>
    </cfRule>
  </conditionalFormatting>
  <conditionalFormatting sqref="C9107:C9108">
    <cfRule type="colorScale" priority="6683">
      <colorScale>
        <cfvo type="min"/>
        <cfvo type="percentile" val="50"/>
        <cfvo type="max"/>
        <color rgb="FFF8696B"/>
        <color rgb="FFFFEB84"/>
        <color rgb="FF63BE7B"/>
      </colorScale>
    </cfRule>
  </conditionalFormatting>
  <conditionalFormatting sqref="C9112:C9113">
    <cfRule type="colorScale" priority="6688">
      <colorScale>
        <cfvo type="min"/>
        <cfvo type="percentile" val="50"/>
        <cfvo type="max"/>
        <color rgb="FFF8696B"/>
        <color rgb="FFFFEB84"/>
        <color rgb="FF63BE7B"/>
      </colorScale>
    </cfRule>
  </conditionalFormatting>
  <conditionalFormatting sqref="C9117:C9118">
    <cfRule type="colorScale" priority="6693">
      <colorScale>
        <cfvo type="min"/>
        <cfvo type="percentile" val="50"/>
        <cfvo type="max"/>
        <color rgb="FFF8696B"/>
        <color rgb="FFFFEB84"/>
        <color rgb="FF63BE7B"/>
      </colorScale>
    </cfRule>
  </conditionalFormatting>
  <conditionalFormatting sqref="C9122:C9123">
    <cfRule type="colorScale" priority="6698">
      <colorScale>
        <cfvo type="min"/>
        <cfvo type="percentile" val="50"/>
        <cfvo type="max"/>
        <color rgb="FFF8696B"/>
        <color rgb="FFFFEB84"/>
        <color rgb="FF63BE7B"/>
      </colorScale>
    </cfRule>
  </conditionalFormatting>
  <conditionalFormatting sqref="C9127:C9128">
    <cfRule type="colorScale" priority="6703">
      <colorScale>
        <cfvo type="min"/>
        <cfvo type="percentile" val="50"/>
        <cfvo type="max"/>
        <color rgb="FFF8696B"/>
        <color rgb="FFFFEB84"/>
        <color rgb="FF63BE7B"/>
      </colorScale>
    </cfRule>
  </conditionalFormatting>
  <conditionalFormatting sqref="C9132:C9133">
    <cfRule type="colorScale" priority="6708">
      <colorScale>
        <cfvo type="min"/>
        <cfvo type="percentile" val="50"/>
        <cfvo type="max"/>
        <color rgb="FFF8696B"/>
        <color rgb="FFFFEB84"/>
        <color rgb="FF63BE7B"/>
      </colorScale>
    </cfRule>
  </conditionalFormatting>
  <conditionalFormatting sqref="C9137:C9138">
    <cfRule type="colorScale" priority="6713">
      <colorScale>
        <cfvo type="min"/>
        <cfvo type="percentile" val="50"/>
        <cfvo type="max"/>
        <color rgb="FFF8696B"/>
        <color rgb="FFFFEB84"/>
        <color rgb="FF63BE7B"/>
      </colorScale>
    </cfRule>
  </conditionalFormatting>
  <conditionalFormatting sqref="C9142">
    <cfRule type="colorScale" priority="6718">
      <colorScale>
        <cfvo type="min"/>
        <cfvo type="percentile" val="50"/>
        <cfvo type="max"/>
        <color rgb="FFF8696B"/>
        <color rgb="FFFFEB84"/>
        <color rgb="FF63BE7B"/>
      </colorScale>
    </cfRule>
  </conditionalFormatting>
  <conditionalFormatting sqref="C9146:C9147">
    <cfRule type="colorScale" priority="6723">
      <colorScale>
        <cfvo type="min"/>
        <cfvo type="percentile" val="50"/>
        <cfvo type="max"/>
        <color rgb="FFF8696B"/>
        <color rgb="FFFFEB84"/>
        <color rgb="FF63BE7B"/>
      </colorScale>
    </cfRule>
  </conditionalFormatting>
  <conditionalFormatting sqref="C9151:C9152">
    <cfRule type="colorScale" priority="6728">
      <colorScale>
        <cfvo type="min"/>
        <cfvo type="percentile" val="50"/>
        <cfvo type="max"/>
        <color rgb="FFF8696B"/>
        <color rgb="FFFFEB84"/>
        <color rgb="FF63BE7B"/>
      </colorScale>
    </cfRule>
  </conditionalFormatting>
  <conditionalFormatting sqref="C9156:C9159">
    <cfRule type="colorScale" priority="6733">
      <colorScale>
        <cfvo type="min"/>
        <cfvo type="percentile" val="50"/>
        <cfvo type="max"/>
        <color rgb="FFF8696B"/>
        <color rgb="FFFFEB84"/>
        <color rgb="FF63BE7B"/>
      </colorScale>
    </cfRule>
  </conditionalFormatting>
  <conditionalFormatting sqref="C9163">
    <cfRule type="colorScale" priority="6739">
      <colorScale>
        <cfvo type="min"/>
        <cfvo type="percentile" val="50"/>
        <cfvo type="max"/>
        <color rgb="FFF8696B"/>
        <color rgb="FFFFEB84"/>
        <color rgb="FF63BE7B"/>
      </colorScale>
    </cfRule>
  </conditionalFormatting>
  <conditionalFormatting sqref="C9167:C9168">
    <cfRule type="colorScale" priority="6743">
      <colorScale>
        <cfvo type="min"/>
        <cfvo type="percentile" val="50"/>
        <cfvo type="max"/>
        <color rgb="FFF8696B"/>
        <color rgb="FFFFEB84"/>
        <color rgb="FF63BE7B"/>
      </colorScale>
    </cfRule>
  </conditionalFormatting>
  <conditionalFormatting sqref="C9176">
    <cfRule type="colorScale" priority="6753">
      <colorScale>
        <cfvo type="min"/>
        <cfvo type="percentile" val="50"/>
        <cfvo type="max"/>
        <color rgb="FFF8696B"/>
        <color rgb="FFFFEB84"/>
        <color rgb="FF63BE7B"/>
      </colorScale>
    </cfRule>
  </conditionalFormatting>
  <conditionalFormatting sqref="C9180">
    <cfRule type="colorScale" priority="6758">
      <colorScale>
        <cfvo type="min"/>
        <cfvo type="percentile" val="50"/>
        <cfvo type="max"/>
        <color rgb="FFF8696B"/>
        <color rgb="FFFFEB84"/>
        <color rgb="FF63BE7B"/>
      </colorScale>
    </cfRule>
  </conditionalFormatting>
  <conditionalFormatting sqref="C9184:C9185">
    <cfRule type="colorScale" priority="6763">
      <colorScale>
        <cfvo type="min"/>
        <cfvo type="percentile" val="50"/>
        <cfvo type="max"/>
        <color rgb="FFF8696B"/>
        <color rgb="FFFFEB84"/>
        <color rgb="FF63BE7B"/>
      </colorScale>
    </cfRule>
  </conditionalFormatting>
  <conditionalFormatting sqref="C9189">
    <cfRule type="colorScale" priority="6768">
      <colorScale>
        <cfvo type="min"/>
        <cfvo type="percentile" val="50"/>
        <cfvo type="max"/>
        <color rgb="FFF8696B"/>
        <color rgb="FFFFEB84"/>
        <color rgb="FF63BE7B"/>
      </colorScale>
    </cfRule>
  </conditionalFormatting>
  <conditionalFormatting sqref="C9193:C9194">
    <cfRule type="colorScale" priority="6773">
      <colorScale>
        <cfvo type="min"/>
        <cfvo type="percentile" val="50"/>
        <cfvo type="max"/>
        <color rgb="FFF8696B"/>
        <color rgb="FFFFEB84"/>
        <color rgb="FF63BE7B"/>
      </colorScale>
    </cfRule>
  </conditionalFormatting>
  <conditionalFormatting sqref="C9198:C9199">
    <cfRule type="colorScale" priority="6778">
      <colorScale>
        <cfvo type="min"/>
        <cfvo type="percentile" val="50"/>
        <cfvo type="max"/>
        <color rgb="FFF8696B"/>
        <color rgb="FFFFEB84"/>
        <color rgb="FF63BE7B"/>
      </colorScale>
    </cfRule>
  </conditionalFormatting>
  <conditionalFormatting sqref="C9203:C9204">
    <cfRule type="colorScale" priority="6783">
      <colorScale>
        <cfvo type="min"/>
        <cfvo type="percentile" val="50"/>
        <cfvo type="max"/>
        <color rgb="FFF8696B"/>
        <color rgb="FFFFEB84"/>
        <color rgb="FF63BE7B"/>
      </colorScale>
    </cfRule>
  </conditionalFormatting>
  <conditionalFormatting sqref="C9208:C9209">
    <cfRule type="colorScale" priority="6788">
      <colorScale>
        <cfvo type="min"/>
        <cfvo type="percentile" val="50"/>
        <cfvo type="max"/>
        <color rgb="FFF8696B"/>
        <color rgb="FFFFEB84"/>
        <color rgb="FF63BE7B"/>
      </colorScale>
    </cfRule>
  </conditionalFormatting>
  <conditionalFormatting sqref="C9213">
    <cfRule type="colorScale" priority="6793">
      <colorScale>
        <cfvo type="min"/>
        <cfvo type="percentile" val="50"/>
        <cfvo type="max"/>
        <color rgb="FFF8696B"/>
        <color rgb="FFFFEB84"/>
        <color rgb="FF63BE7B"/>
      </colorScale>
    </cfRule>
  </conditionalFormatting>
  <conditionalFormatting sqref="C9217:C9218">
    <cfRule type="colorScale" priority="6798">
      <colorScale>
        <cfvo type="min"/>
        <cfvo type="percentile" val="50"/>
        <cfvo type="max"/>
        <color rgb="FFF8696B"/>
        <color rgb="FFFFEB84"/>
        <color rgb="FF63BE7B"/>
      </colorScale>
    </cfRule>
  </conditionalFormatting>
  <conditionalFormatting sqref="C9222:C9223">
    <cfRule type="colorScale" priority="6803">
      <colorScale>
        <cfvo type="min"/>
        <cfvo type="percentile" val="50"/>
        <cfvo type="max"/>
        <color rgb="FFF8696B"/>
        <color rgb="FFFFEB84"/>
        <color rgb="FF63BE7B"/>
      </colorScale>
    </cfRule>
  </conditionalFormatting>
  <conditionalFormatting sqref="C9227:C9230">
    <cfRule type="colorScale" priority="6808">
      <colorScale>
        <cfvo type="min"/>
        <cfvo type="percentile" val="50"/>
        <cfvo type="max"/>
        <color rgb="FFF8696B"/>
        <color rgb="FFFFEB84"/>
        <color rgb="FF63BE7B"/>
      </colorScale>
    </cfRule>
  </conditionalFormatting>
  <conditionalFormatting sqref="C9234">
    <cfRule type="colorScale" priority="6814">
      <colorScale>
        <cfvo type="min"/>
        <cfvo type="percentile" val="50"/>
        <cfvo type="max"/>
        <color rgb="FFF8696B"/>
        <color rgb="FFFFEB84"/>
        <color rgb="FF63BE7B"/>
      </colorScale>
    </cfRule>
  </conditionalFormatting>
  <conditionalFormatting sqref="C9238:C9239">
    <cfRule type="colorScale" priority="6818">
      <colorScale>
        <cfvo type="min"/>
        <cfvo type="percentile" val="50"/>
        <cfvo type="max"/>
        <color rgb="FFF8696B"/>
        <color rgb="FFFFEB84"/>
        <color rgb="FF63BE7B"/>
      </colorScale>
    </cfRule>
  </conditionalFormatting>
  <conditionalFormatting sqref="C9247:C9248">
    <cfRule type="colorScale" priority="6828">
      <colorScale>
        <cfvo type="min"/>
        <cfvo type="percentile" val="50"/>
        <cfvo type="max"/>
        <color rgb="FFF8696B"/>
        <color rgb="FFFFEB84"/>
        <color rgb="FF63BE7B"/>
      </colorScale>
    </cfRule>
  </conditionalFormatting>
  <conditionalFormatting sqref="C9252">
    <cfRule type="colorScale" priority="6833">
      <colorScale>
        <cfvo type="min"/>
        <cfvo type="percentile" val="50"/>
        <cfvo type="max"/>
        <color rgb="FFF8696B"/>
        <color rgb="FFFFEB84"/>
        <color rgb="FF63BE7B"/>
      </colorScale>
    </cfRule>
  </conditionalFormatting>
  <conditionalFormatting sqref="C9256">
    <cfRule type="colorScale" priority="6838">
      <colorScale>
        <cfvo type="min"/>
        <cfvo type="percentile" val="50"/>
        <cfvo type="max"/>
        <color rgb="FFF8696B"/>
        <color rgb="FFFFEB84"/>
        <color rgb="FF63BE7B"/>
      </colorScale>
    </cfRule>
  </conditionalFormatting>
  <conditionalFormatting sqref="C9260">
    <cfRule type="colorScale" priority="6843">
      <colorScale>
        <cfvo type="min"/>
        <cfvo type="percentile" val="50"/>
        <cfvo type="max"/>
        <color rgb="FFF8696B"/>
        <color rgb="FFFFEB84"/>
        <color rgb="FF63BE7B"/>
      </colorScale>
    </cfRule>
  </conditionalFormatting>
  <conditionalFormatting sqref="C9264">
    <cfRule type="colorScale" priority="6848">
      <colorScale>
        <cfvo type="min"/>
        <cfvo type="percentile" val="50"/>
        <cfvo type="max"/>
        <color rgb="FFF8696B"/>
        <color rgb="FFFFEB84"/>
        <color rgb="FF63BE7B"/>
      </colorScale>
    </cfRule>
  </conditionalFormatting>
  <conditionalFormatting sqref="C9268:C9269">
    <cfRule type="colorScale" priority="6853">
      <colorScale>
        <cfvo type="min"/>
        <cfvo type="percentile" val="50"/>
        <cfvo type="max"/>
        <color rgb="FFF8696B"/>
        <color rgb="FFFFEB84"/>
        <color rgb="FF63BE7B"/>
      </colorScale>
    </cfRule>
  </conditionalFormatting>
  <conditionalFormatting sqref="C9273">
    <cfRule type="colorScale" priority="6858">
      <colorScale>
        <cfvo type="min"/>
        <cfvo type="percentile" val="50"/>
        <cfvo type="max"/>
        <color rgb="FFF8696B"/>
        <color rgb="FFFFEB84"/>
        <color rgb="FF63BE7B"/>
      </colorScale>
    </cfRule>
  </conditionalFormatting>
  <conditionalFormatting sqref="C9277:C9278">
    <cfRule type="colorScale" priority="6863">
      <colorScale>
        <cfvo type="min"/>
        <cfvo type="percentile" val="50"/>
        <cfvo type="max"/>
        <color rgb="FFF8696B"/>
        <color rgb="FFFFEB84"/>
        <color rgb="FF63BE7B"/>
      </colorScale>
    </cfRule>
  </conditionalFormatting>
  <conditionalFormatting sqref="C9282">
    <cfRule type="colorScale" priority="6868">
      <colorScale>
        <cfvo type="min"/>
        <cfvo type="percentile" val="50"/>
        <cfvo type="max"/>
        <color rgb="FFF8696B"/>
        <color rgb="FFFFEB84"/>
        <color rgb="FF63BE7B"/>
      </colorScale>
    </cfRule>
  </conditionalFormatting>
  <conditionalFormatting sqref="C9286:C9287">
    <cfRule type="colorScale" priority="6873">
      <colorScale>
        <cfvo type="min"/>
        <cfvo type="percentile" val="50"/>
        <cfvo type="max"/>
        <color rgb="FFF8696B"/>
        <color rgb="FFFFEB84"/>
        <color rgb="FF63BE7B"/>
      </colorScale>
    </cfRule>
  </conditionalFormatting>
  <conditionalFormatting sqref="C9291">
    <cfRule type="colorScale" priority="6878">
      <colorScale>
        <cfvo type="min"/>
        <cfvo type="percentile" val="50"/>
        <cfvo type="max"/>
        <color rgb="FFF8696B"/>
        <color rgb="FFFFEB84"/>
        <color rgb="FF63BE7B"/>
      </colorScale>
    </cfRule>
  </conditionalFormatting>
  <conditionalFormatting sqref="C9295:C9297">
    <cfRule type="colorScale" priority="6883">
      <colorScale>
        <cfvo type="min"/>
        <cfvo type="percentile" val="50"/>
        <cfvo type="max"/>
        <color rgb="FFF8696B"/>
        <color rgb="FFFFEB84"/>
        <color rgb="FF63BE7B"/>
      </colorScale>
    </cfRule>
  </conditionalFormatting>
  <conditionalFormatting sqref="C9301">
    <cfRule type="colorScale" priority="6889">
      <colorScale>
        <cfvo type="min"/>
        <cfvo type="percentile" val="50"/>
        <cfvo type="max"/>
        <color rgb="FFF8696B"/>
        <color rgb="FFFFEB84"/>
        <color rgb="FF63BE7B"/>
      </colorScale>
    </cfRule>
  </conditionalFormatting>
  <conditionalFormatting sqref="C9305">
    <cfRule type="colorScale" priority="6893">
      <colorScale>
        <cfvo type="min"/>
        <cfvo type="percentile" val="50"/>
        <cfvo type="max"/>
        <color rgb="FFF8696B"/>
        <color rgb="FFFFEB84"/>
        <color rgb="FF63BE7B"/>
      </colorScale>
    </cfRule>
  </conditionalFormatting>
  <conditionalFormatting sqref="C9313">
    <cfRule type="colorScale" priority="6903">
      <colorScale>
        <cfvo type="min"/>
        <cfvo type="percentile" val="50"/>
        <cfvo type="max"/>
        <color rgb="FFF8696B"/>
        <color rgb="FFFFEB84"/>
        <color rgb="FF63BE7B"/>
      </colorScale>
    </cfRule>
  </conditionalFormatting>
  <conditionalFormatting sqref="C9317">
    <cfRule type="colorScale" priority="6908">
      <colorScale>
        <cfvo type="min"/>
        <cfvo type="percentile" val="50"/>
        <cfvo type="max"/>
        <color rgb="FFF8696B"/>
        <color rgb="FFFFEB84"/>
        <color rgb="FF63BE7B"/>
      </colorScale>
    </cfRule>
  </conditionalFormatting>
  <conditionalFormatting sqref="C9321">
    <cfRule type="colorScale" priority="6913">
      <colorScale>
        <cfvo type="min"/>
        <cfvo type="percentile" val="50"/>
        <cfvo type="max"/>
        <color rgb="FFF8696B"/>
        <color rgb="FFFFEB84"/>
        <color rgb="FF63BE7B"/>
      </colorScale>
    </cfRule>
  </conditionalFormatting>
  <conditionalFormatting sqref="C9325">
    <cfRule type="colorScale" priority="6918">
      <colorScale>
        <cfvo type="min"/>
        <cfvo type="percentile" val="50"/>
        <cfvo type="max"/>
        <color rgb="FFF8696B"/>
        <color rgb="FFFFEB84"/>
        <color rgb="FF63BE7B"/>
      </colorScale>
    </cfRule>
  </conditionalFormatting>
  <conditionalFormatting sqref="C9329:C9330">
    <cfRule type="colorScale" priority="6923">
      <colorScale>
        <cfvo type="min"/>
        <cfvo type="percentile" val="50"/>
        <cfvo type="max"/>
        <color rgb="FFF8696B"/>
        <color rgb="FFFFEB84"/>
        <color rgb="FF63BE7B"/>
      </colorScale>
    </cfRule>
  </conditionalFormatting>
  <conditionalFormatting sqref="C9334:C9335">
    <cfRule type="colorScale" priority="6928">
      <colorScale>
        <cfvo type="min"/>
        <cfvo type="percentile" val="50"/>
        <cfvo type="max"/>
        <color rgb="FFF8696B"/>
        <color rgb="FFFFEB84"/>
        <color rgb="FF63BE7B"/>
      </colorScale>
    </cfRule>
  </conditionalFormatting>
  <conditionalFormatting sqref="C9339">
    <cfRule type="colorScale" priority="6933">
      <colorScale>
        <cfvo type="min"/>
        <cfvo type="percentile" val="50"/>
        <cfvo type="max"/>
        <color rgb="FFF8696B"/>
        <color rgb="FFFFEB84"/>
        <color rgb="FF63BE7B"/>
      </colorScale>
    </cfRule>
  </conditionalFormatting>
  <conditionalFormatting sqref="C9343:C9344">
    <cfRule type="colorScale" priority="6938">
      <colorScale>
        <cfvo type="min"/>
        <cfvo type="percentile" val="50"/>
        <cfvo type="max"/>
        <color rgb="FFF8696B"/>
        <color rgb="FFFFEB84"/>
        <color rgb="FF63BE7B"/>
      </colorScale>
    </cfRule>
  </conditionalFormatting>
  <conditionalFormatting sqref="C9348">
    <cfRule type="colorScale" priority="6943">
      <colorScale>
        <cfvo type="min"/>
        <cfvo type="percentile" val="50"/>
        <cfvo type="max"/>
        <color rgb="FFF8696B"/>
        <color rgb="FFFFEB84"/>
        <color rgb="FF63BE7B"/>
      </colorScale>
    </cfRule>
  </conditionalFormatting>
  <conditionalFormatting sqref="C9352:C9353">
    <cfRule type="colorScale" priority="6948">
      <colorScale>
        <cfvo type="min"/>
        <cfvo type="percentile" val="50"/>
        <cfvo type="max"/>
        <color rgb="FFF8696B"/>
        <color rgb="FFFFEB84"/>
        <color rgb="FF63BE7B"/>
      </colorScale>
    </cfRule>
  </conditionalFormatting>
  <conditionalFormatting sqref="C9357:C9358">
    <cfRule type="colorScale" priority="6953">
      <colorScale>
        <cfvo type="min"/>
        <cfvo type="percentile" val="50"/>
        <cfvo type="max"/>
        <color rgb="FFF8696B"/>
        <color rgb="FFFFEB84"/>
        <color rgb="FF63BE7B"/>
      </colorScale>
    </cfRule>
  </conditionalFormatting>
  <conditionalFormatting sqref="C9362">
    <cfRule type="colorScale" priority="6958">
      <colorScale>
        <cfvo type="min"/>
        <cfvo type="percentile" val="50"/>
        <cfvo type="max"/>
        <color rgb="FFF8696B"/>
        <color rgb="FFFFEB84"/>
        <color rgb="FF63BE7B"/>
      </colorScale>
    </cfRule>
  </conditionalFormatting>
  <conditionalFormatting sqref="C9366">
    <cfRule type="colorScale" priority="6964">
      <colorScale>
        <cfvo type="min"/>
        <cfvo type="percentile" val="50"/>
        <cfvo type="max"/>
        <color rgb="FFF8696B"/>
        <color rgb="FFFFEB84"/>
        <color rgb="FF63BE7B"/>
      </colorScale>
    </cfRule>
  </conditionalFormatting>
  <conditionalFormatting sqref="C9370:C9371">
    <cfRule type="colorScale" priority="6968">
      <colorScale>
        <cfvo type="min"/>
        <cfvo type="percentile" val="50"/>
        <cfvo type="max"/>
        <color rgb="FFF8696B"/>
        <color rgb="FFFFEB84"/>
        <color rgb="FF63BE7B"/>
      </colorScale>
    </cfRule>
  </conditionalFormatting>
  <conditionalFormatting sqref="C9379:C9380">
    <cfRule type="colorScale" priority="6978">
      <colorScale>
        <cfvo type="min"/>
        <cfvo type="percentile" val="50"/>
        <cfvo type="max"/>
        <color rgb="FFF8696B"/>
        <color rgb="FFFFEB84"/>
        <color rgb="FF63BE7B"/>
      </colorScale>
    </cfRule>
  </conditionalFormatting>
  <conditionalFormatting sqref="C9384:C9385">
    <cfRule type="colorScale" priority="6983">
      <colorScale>
        <cfvo type="min"/>
        <cfvo type="percentile" val="50"/>
        <cfvo type="max"/>
        <color rgb="FFF8696B"/>
        <color rgb="FFFFEB84"/>
        <color rgb="FF63BE7B"/>
      </colorScale>
    </cfRule>
  </conditionalFormatting>
  <conditionalFormatting sqref="C9389:C9390">
    <cfRule type="colorScale" priority="6988">
      <colorScale>
        <cfvo type="min"/>
        <cfvo type="percentile" val="50"/>
        <cfvo type="max"/>
        <color rgb="FFF8696B"/>
        <color rgb="FFFFEB84"/>
        <color rgb="FF63BE7B"/>
      </colorScale>
    </cfRule>
  </conditionalFormatting>
  <conditionalFormatting sqref="C9394:C9395">
    <cfRule type="colorScale" priority="6993">
      <colorScale>
        <cfvo type="min"/>
        <cfvo type="percentile" val="50"/>
        <cfvo type="max"/>
        <color rgb="FFF8696B"/>
        <color rgb="FFFFEB84"/>
        <color rgb="FF63BE7B"/>
      </colorScale>
    </cfRule>
  </conditionalFormatting>
  <conditionalFormatting sqref="C9399:C9400">
    <cfRule type="colorScale" priority="6998">
      <colorScale>
        <cfvo type="min"/>
        <cfvo type="percentile" val="50"/>
        <cfvo type="max"/>
        <color rgb="FFF8696B"/>
        <color rgb="FFFFEB84"/>
        <color rgb="FF63BE7B"/>
      </colorScale>
    </cfRule>
  </conditionalFormatting>
  <conditionalFormatting sqref="C9404:C9405">
    <cfRule type="colorScale" priority="7003">
      <colorScale>
        <cfvo type="min"/>
        <cfvo type="percentile" val="50"/>
        <cfvo type="max"/>
        <color rgb="FFF8696B"/>
        <color rgb="FFFFEB84"/>
        <color rgb="FF63BE7B"/>
      </colorScale>
    </cfRule>
  </conditionalFormatting>
  <conditionalFormatting sqref="C9409:C9410">
    <cfRule type="colorScale" priority="7008">
      <colorScale>
        <cfvo type="min"/>
        <cfvo type="percentile" val="50"/>
        <cfvo type="max"/>
        <color rgb="FFF8696B"/>
        <color rgb="FFFFEB84"/>
        <color rgb="FF63BE7B"/>
      </colorScale>
    </cfRule>
  </conditionalFormatting>
  <conditionalFormatting sqref="C9414:C9415">
    <cfRule type="colorScale" priority="7013">
      <colorScale>
        <cfvo type="min"/>
        <cfvo type="percentile" val="50"/>
        <cfvo type="max"/>
        <color rgb="FFF8696B"/>
        <color rgb="FFFFEB84"/>
        <color rgb="FF63BE7B"/>
      </colorScale>
    </cfRule>
  </conditionalFormatting>
  <conditionalFormatting sqref="C9419">
    <cfRule type="colorScale" priority="7018">
      <colorScale>
        <cfvo type="min"/>
        <cfvo type="percentile" val="50"/>
        <cfvo type="max"/>
        <color rgb="FFF8696B"/>
        <color rgb="FFFFEB84"/>
        <color rgb="FF63BE7B"/>
      </colorScale>
    </cfRule>
  </conditionalFormatting>
  <conditionalFormatting sqref="C9423:C9424">
    <cfRule type="colorScale" priority="7023">
      <colorScale>
        <cfvo type="min"/>
        <cfvo type="percentile" val="50"/>
        <cfvo type="max"/>
        <color rgb="FFF8696B"/>
        <color rgb="FFFFEB84"/>
        <color rgb="FF63BE7B"/>
      </colorScale>
    </cfRule>
  </conditionalFormatting>
  <conditionalFormatting sqref="C9428:C9429">
    <cfRule type="colorScale" priority="7028">
      <colorScale>
        <cfvo type="min"/>
        <cfvo type="percentile" val="50"/>
        <cfvo type="max"/>
        <color rgb="FFF8696B"/>
        <color rgb="FFFFEB84"/>
        <color rgb="FF63BE7B"/>
      </colorScale>
    </cfRule>
  </conditionalFormatting>
  <conditionalFormatting sqref="C9433:C9436">
    <cfRule type="colorScale" priority="7033">
      <colorScale>
        <cfvo type="min"/>
        <cfvo type="percentile" val="50"/>
        <cfvo type="max"/>
        <color rgb="FFF8696B"/>
        <color rgb="FFFFEB84"/>
        <color rgb="FF63BE7B"/>
      </colorScale>
    </cfRule>
  </conditionalFormatting>
  <conditionalFormatting sqref="C9440">
    <cfRule type="colorScale" priority="7039">
      <colorScale>
        <cfvo type="min"/>
        <cfvo type="percentile" val="50"/>
        <cfvo type="max"/>
        <color rgb="FFF8696B"/>
        <color rgb="FFFFEB84"/>
        <color rgb="FF63BE7B"/>
      </colorScale>
    </cfRule>
  </conditionalFormatting>
  <conditionalFormatting sqref="C9444">
    <cfRule type="colorScale" priority="7043">
      <colorScale>
        <cfvo type="min"/>
        <cfvo type="percentile" val="50"/>
        <cfvo type="max"/>
        <color rgb="FFF8696B"/>
        <color rgb="FFFFEB84"/>
        <color rgb="FF63BE7B"/>
      </colorScale>
    </cfRule>
  </conditionalFormatting>
  <conditionalFormatting sqref="C9452">
    <cfRule type="colorScale" priority="7053">
      <colorScale>
        <cfvo type="min"/>
        <cfvo type="percentile" val="50"/>
        <cfvo type="max"/>
        <color rgb="FFF8696B"/>
        <color rgb="FFFFEB84"/>
        <color rgb="FF63BE7B"/>
      </colorScale>
    </cfRule>
  </conditionalFormatting>
  <conditionalFormatting sqref="C9456">
    <cfRule type="colorScale" priority="7058">
      <colorScale>
        <cfvo type="min"/>
        <cfvo type="percentile" val="50"/>
        <cfvo type="max"/>
        <color rgb="FFF8696B"/>
        <color rgb="FFFFEB84"/>
        <color rgb="FF63BE7B"/>
      </colorScale>
    </cfRule>
  </conditionalFormatting>
  <conditionalFormatting sqref="C9460">
    <cfRule type="colorScale" priority="7063">
      <colorScale>
        <cfvo type="min"/>
        <cfvo type="percentile" val="50"/>
        <cfvo type="max"/>
        <color rgb="FFF8696B"/>
        <color rgb="FFFFEB84"/>
        <color rgb="FF63BE7B"/>
      </colorScale>
    </cfRule>
  </conditionalFormatting>
  <conditionalFormatting sqref="C9464">
    <cfRule type="colorScale" priority="7068">
      <colorScale>
        <cfvo type="min"/>
        <cfvo type="percentile" val="50"/>
        <cfvo type="max"/>
        <color rgb="FFF8696B"/>
        <color rgb="FFFFEB84"/>
        <color rgb="FF63BE7B"/>
      </colorScale>
    </cfRule>
  </conditionalFormatting>
  <conditionalFormatting sqref="C9468:C9469">
    <cfRule type="colorScale" priority="7073">
      <colorScale>
        <cfvo type="min"/>
        <cfvo type="percentile" val="50"/>
        <cfvo type="max"/>
        <color rgb="FFF8696B"/>
        <color rgb="FFFFEB84"/>
        <color rgb="FF63BE7B"/>
      </colorScale>
    </cfRule>
  </conditionalFormatting>
  <conditionalFormatting sqref="C9473">
    <cfRule type="colorScale" priority="7078">
      <colorScale>
        <cfvo type="min"/>
        <cfvo type="percentile" val="50"/>
        <cfvo type="max"/>
        <color rgb="FFF8696B"/>
        <color rgb="FFFFEB84"/>
        <color rgb="FF63BE7B"/>
      </colorScale>
    </cfRule>
  </conditionalFormatting>
  <conditionalFormatting sqref="C9477:C9478">
    <cfRule type="colorScale" priority="7083">
      <colorScale>
        <cfvo type="min"/>
        <cfvo type="percentile" val="50"/>
        <cfvo type="max"/>
        <color rgb="FFF8696B"/>
        <color rgb="FFFFEB84"/>
        <color rgb="FF63BE7B"/>
      </colorScale>
    </cfRule>
  </conditionalFormatting>
  <conditionalFormatting sqref="C9482">
    <cfRule type="colorScale" priority="7088">
      <colorScale>
        <cfvo type="min"/>
        <cfvo type="percentile" val="50"/>
        <cfvo type="max"/>
        <color rgb="FFF8696B"/>
        <color rgb="FFFFEB84"/>
        <color rgb="FF63BE7B"/>
      </colorScale>
    </cfRule>
  </conditionalFormatting>
  <conditionalFormatting sqref="C9486">
    <cfRule type="colorScale" priority="7093">
      <colorScale>
        <cfvo type="min"/>
        <cfvo type="percentile" val="50"/>
        <cfvo type="max"/>
        <color rgb="FFF8696B"/>
        <color rgb="FFFFEB84"/>
        <color rgb="FF63BE7B"/>
      </colorScale>
    </cfRule>
  </conditionalFormatting>
  <conditionalFormatting sqref="C9490:C9491">
    <cfRule type="colorScale" priority="7098">
      <colorScale>
        <cfvo type="min"/>
        <cfvo type="percentile" val="50"/>
        <cfvo type="max"/>
        <color rgb="FFF8696B"/>
        <color rgb="FFFFEB84"/>
        <color rgb="FF63BE7B"/>
      </colorScale>
    </cfRule>
  </conditionalFormatting>
  <conditionalFormatting sqref="C9495">
    <cfRule type="colorScale" priority="7103">
      <colorScale>
        <cfvo type="min"/>
        <cfvo type="percentile" val="50"/>
        <cfvo type="max"/>
        <color rgb="FFF8696B"/>
        <color rgb="FFFFEB84"/>
        <color rgb="FF63BE7B"/>
      </colorScale>
    </cfRule>
  </conditionalFormatting>
  <conditionalFormatting sqref="C9499:C9501">
    <cfRule type="colorScale" priority="7108">
      <colorScale>
        <cfvo type="min"/>
        <cfvo type="percentile" val="50"/>
        <cfvo type="max"/>
        <color rgb="FFF8696B"/>
        <color rgb="FFFFEB84"/>
        <color rgb="FF63BE7B"/>
      </colorScale>
    </cfRule>
  </conditionalFormatting>
  <conditionalFormatting sqref="C9505">
    <cfRule type="colorScale" priority="7114">
      <colorScale>
        <cfvo type="min"/>
        <cfvo type="percentile" val="50"/>
        <cfvo type="max"/>
        <color rgb="FFF8696B"/>
        <color rgb="FFFFEB84"/>
        <color rgb="FF63BE7B"/>
      </colorScale>
    </cfRule>
  </conditionalFormatting>
  <conditionalFormatting sqref="C9509">
    <cfRule type="colorScale" priority="7118">
      <colorScale>
        <cfvo type="min"/>
        <cfvo type="percentile" val="50"/>
        <cfvo type="max"/>
        <color rgb="FFF8696B"/>
        <color rgb="FFFFEB84"/>
        <color rgb="FF63BE7B"/>
      </colorScale>
    </cfRule>
  </conditionalFormatting>
  <conditionalFormatting sqref="C9517:C9518">
    <cfRule type="colorScale" priority="7128">
      <colorScale>
        <cfvo type="min"/>
        <cfvo type="percentile" val="50"/>
        <cfvo type="max"/>
        <color rgb="FFF8696B"/>
        <color rgb="FFFFEB84"/>
        <color rgb="FF63BE7B"/>
      </colorScale>
    </cfRule>
  </conditionalFormatting>
  <conditionalFormatting sqref="C9522">
    <cfRule type="colorScale" priority="7133">
      <colorScale>
        <cfvo type="min"/>
        <cfvo type="percentile" val="50"/>
        <cfvo type="max"/>
        <color rgb="FFF8696B"/>
        <color rgb="FFFFEB84"/>
        <color rgb="FF63BE7B"/>
      </colorScale>
    </cfRule>
  </conditionalFormatting>
  <conditionalFormatting sqref="C9526">
    <cfRule type="colorScale" priority="7138">
      <colorScale>
        <cfvo type="min"/>
        <cfvo type="percentile" val="50"/>
        <cfvo type="max"/>
        <color rgb="FFF8696B"/>
        <color rgb="FFFFEB84"/>
        <color rgb="FF63BE7B"/>
      </colorScale>
    </cfRule>
  </conditionalFormatting>
  <conditionalFormatting sqref="C9530">
    <cfRule type="colorScale" priority="7143">
      <colorScale>
        <cfvo type="min"/>
        <cfvo type="percentile" val="50"/>
        <cfvo type="max"/>
        <color rgb="FFF8696B"/>
        <color rgb="FFFFEB84"/>
        <color rgb="FF63BE7B"/>
      </colorScale>
    </cfRule>
  </conditionalFormatting>
  <conditionalFormatting sqref="C9534:C9535">
    <cfRule type="colorScale" priority="7148">
      <colorScale>
        <cfvo type="min"/>
        <cfvo type="percentile" val="50"/>
        <cfvo type="max"/>
        <color rgb="FFF8696B"/>
        <color rgb="FFFFEB84"/>
        <color rgb="FF63BE7B"/>
      </colorScale>
    </cfRule>
  </conditionalFormatting>
  <conditionalFormatting sqref="C9539:C9540">
    <cfRule type="colorScale" priority="7153">
      <colorScale>
        <cfvo type="min"/>
        <cfvo type="percentile" val="50"/>
        <cfvo type="max"/>
        <color rgb="FFF8696B"/>
        <color rgb="FFFFEB84"/>
        <color rgb="FF63BE7B"/>
      </colorScale>
    </cfRule>
  </conditionalFormatting>
  <conditionalFormatting sqref="C9544:C9545">
    <cfRule type="colorScale" priority="7158">
      <colorScale>
        <cfvo type="min"/>
        <cfvo type="percentile" val="50"/>
        <cfvo type="max"/>
        <color rgb="FFF8696B"/>
        <color rgb="FFFFEB84"/>
        <color rgb="FF63BE7B"/>
      </colorScale>
    </cfRule>
  </conditionalFormatting>
  <conditionalFormatting sqref="C9549">
    <cfRule type="colorScale" priority="7163">
      <colorScale>
        <cfvo type="min"/>
        <cfvo type="percentile" val="50"/>
        <cfvo type="max"/>
        <color rgb="FFF8696B"/>
        <color rgb="FFFFEB84"/>
        <color rgb="FF63BE7B"/>
      </colorScale>
    </cfRule>
  </conditionalFormatting>
  <conditionalFormatting sqref="C9553">
    <cfRule type="colorScale" priority="7168">
      <colorScale>
        <cfvo type="min"/>
        <cfvo type="percentile" val="50"/>
        <cfvo type="max"/>
        <color rgb="FFF8696B"/>
        <color rgb="FFFFEB84"/>
        <color rgb="FF63BE7B"/>
      </colorScale>
    </cfRule>
  </conditionalFormatting>
  <conditionalFormatting sqref="C9557:C9558">
    <cfRule type="colorScale" priority="7173">
      <colorScale>
        <cfvo type="min"/>
        <cfvo type="percentile" val="50"/>
        <cfvo type="max"/>
        <color rgb="FFF8696B"/>
        <color rgb="FFFFEB84"/>
        <color rgb="FF63BE7B"/>
      </colorScale>
    </cfRule>
  </conditionalFormatting>
  <conditionalFormatting sqref="C9562:C9563">
    <cfRule type="colorScale" priority="7178">
      <colorScale>
        <cfvo type="min"/>
        <cfvo type="percentile" val="50"/>
        <cfvo type="max"/>
        <color rgb="FFF8696B"/>
        <color rgb="FFFFEB84"/>
        <color rgb="FF63BE7B"/>
      </colorScale>
    </cfRule>
  </conditionalFormatting>
  <conditionalFormatting sqref="C9567:C9570">
    <cfRule type="colorScale" priority="7183">
      <colorScale>
        <cfvo type="min"/>
        <cfvo type="percentile" val="50"/>
        <cfvo type="max"/>
        <color rgb="FFF8696B"/>
        <color rgb="FFFFEB84"/>
        <color rgb="FF63BE7B"/>
      </colorScale>
    </cfRule>
  </conditionalFormatting>
  <conditionalFormatting sqref="C9574">
    <cfRule type="colorScale" priority="7189">
      <colorScale>
        <cfvo type="min"/>
        <cfvo type="percentile" val="50"/>
        <cfvo type="max"/>
        <color rgb="FFF8696B"/>
        <color rgb="FFFFEB84"/>
        <color rgb="FF63BE7B"/>
      </colorScale>
    </cfRule>
  </conditionalFormatting>
  <conditionalFormatting sqref="C9578:C9579">
    <cfRule type="colorScale" priority="7193">
      <colorScale>
        <cfvo type="min"/>
        <cfvo type="percentile" val="50"/>
        <cfvo type="max"/>
        <color rgb="FFF8696B"/>
        <color rgb="FFFFEB84"/>
        <color rgb="FF63BE7B"/>
      </colorScale>
    </cfRule>
  </conditionalFormatting>
  <conditionalFormatting sqref="C9587">
    <cfRule type="colorScale" priority="7203">
      <colorScale>
        <cfvo type="min"/>
        <cfvo type="percentile" val="50"/>
        <cfvo type="max"/>
        <color rgb="FFF8696B"/>
        <color rgb="FFFFEB84"/>
        <color rgb="FF63BE7B"/>
      </colorScale>
    </cfRule>
  </conditionalFormatting>
  <conditionalFormatting sqref="C9591">
    <cfRule type="colorScale" priority="7208">
      <colorScale>
        <cfvo type="min"/>
        <cfvo type="percentile" val="50"/>
        <cfvo type="max"/>
        <color rgb="FFF8696B"/>
        <color rgb="FFFFEB84"/>
        <color rgb="FF63BE7B"/>
      </colorScale>
    </cfRule>
  </conditionalFormatting>
  <conditionalFormatting sqref="C9595">
    <cfRule type="colorScale" priority="7213">
      <colorScale>
        <cfvo type="min"/>
        <cfvo type="percentile" val="50"/>
        <cfvo type="max"/>
        <color rgb="FFF8696B"/>
        <color rgb="FFFFEB84"/>
        <color rgb="FF63BE7B"/>
      </colorScale>
    </cfRule>
  </conditionalFormatting>
  <conditionalFormatting sqref="C9599:C9600">
    <cfRule type="colorScale" priority="7218">
      <colorScale>
        <cfvo type="min"/>
        <cfvo type="percentile" val="50"/>
        <cfvo type="max"/>
        <color rgb="FFF8696B"/>
        <color rgb="FFFFEB84"/>
        <color rgb="FF63BE7B"/>
      </colorScale>
    </cfRule>
  </conditionalFormatting>
  <conditionalFormatting sqref="C9604">
    <cfRule type="colorScale" priority="7223">
      <colorScale>
        <cfvo type="min"/>
        <cfvo type="percentile" val="50"/>
        <cfvo type="max"/>
        <color rgb="FFF8696B"/>
        <color rgb="FFFFEB84"/>
        <color rgb="FF63BE7B"/>
      </colorScale>
    </cfRule>
  </conditionalFormatting>
  <conditionalFormatting sqref="C9608:C9609">
    <cfRule type="colorScale" priority="7228">
      <colorScale>
        <cfvo type="min"/>
        <cfvo type="percentile" val="50"/>
        <cfvo type="max"/>
        <color rgb="FFF8696B"/>
        <color rgb="FFFFEB84"/>
        <color rgb="FF63BE7B"/>
      </colorScale>
    </cfRule>
  </conditionalFormatting>
  <conditionalFormatting sqref="C9613:C9614">
    <cfRule type="colorScale" priority="7233">
      <colorScale>
        <cfvo type="min"/>
        <cfvo type="percentile" val="50"/>
        <cfvo type="max"/>
        <color rgb="FFF8696B"/>
        <color rgb="FFFFEB84"/>
        <color rgb="FF63BE7B"/>
      </colorScale>
    </cfRule>
  </conditionalFormatting>
  <conditionalFormatting sqref="C9618">
    <cfRule type="colorScale" priority="7238">
      <colorScale>
        <cfvo type="min"/>
        <cfvo type="percentile" val="50"/>
        <cfvo type="max"/>
        <color rgb="FFF8696B"/>
        <color rgb="FFFFEB84"/>
        <color rgb="FF63BE7B"/>
      </colorScale>
    </cfRule>
  </conditionalFormatting>
  <conditionalFormatting sqref="C9622">
    <cfRule type="colorScale" priority="7243">
      <colorScale>
        <cfvo type="min"/>
        <cfvo type="percentile" val="50"/>
        <cfvo type="max"/>
        <color rgb="FFF8696B"/>
        <color rgb="FFFFEB84"/>
        <color rgb="FF63BE7B"/>
      </colorScale>
    </cfRule>
  </conditionalFormatting>
  <conditionalFormatting sqref="C9626:C9627">
    <cfRule type="colorScale" priority="7248">
      <colorScale>
        <cfvo type="min"/>
        <cfvo type="percentile" val="50"/>
        <cfvo type="max"/>
        <color rgb="FFF8696B"/>
        <color rgb="FFFFEB84"/>
        <color rgb="FF63BE7B"/>
      </colorScale>
    </cfRule>
  </conditionalFormatting>
  <conditionalFormatting sqref="C9631">
    <cfRule type="colorScale" priority="7253">
      <colorScale>
        <cfvo type="min"/>
        <cfvo type="percentile" val="50"/>
        <cfvo type="max"/>
        <color rgb="FFF8696B"/>
        <color rgb="FFFFEB84"/>
        <color rgb="FF63BE7B"/>
      </colorScale>
    </cfRule>
  </conditionalFormatting>
  <conditionalFormatting sqref="C9635:C9636">
    <cfRule type="colorScale" priority="7258">
      <colorScale>
        <cfvo type="min"/>
        <cfvo type="percentile" val="50"/>
        <cfvo type="max"/>
        <color rgb="FFF8696B"/>
        <color rgb="FFFFEB84"/>
        <color rgb="FF63BE7B"/>
      </colorScale>
    </cfRule>
  </conditionalFormatting>
  <conditionalFormatting sqref="C9640">
    <cfRule type="colorScale" priority="7264">
      <colorScale>
        <cfvo type="min"/>
        <cfvo type="percentile" val="50"/>
        <cfvo type="max"/>
        <color rgb="FFF8696B"/>
        <color rgb="FFFFEB84"/>
        <color rgb="FF63BE7B"/>
      </colorScale>
    </cfRule>
  </conditionalFormatting>
  <conditionalFormatting sqref="C9644">
    <cfRule type="colorScale" priority="7268">
      <colorScale>
        <cfvo type="min"/>
        <cfvo type="percentile" val="50"/>
        <cfvo type="max"/>
        <color rgb="FFF8696B"/>
        <color rgb="FFFFEB84"/>
        <color rgb="FF63BE7B"/>
      </colorScale>
    </cfRule>
  </conditionalFormatting>
  <conditionalFormatting sqref="C9652">
    <cfRule type="colorScale" priority="7278">
      <colorScale>
        <cfvo type="min"/>
        <cfvo type="percentile" val="50"/>
        <cfvo type="max"/>
        <color rgb="FFF8696B"/>
        <color rgb="FFFFEB84"/>
        <color rgb="FF63BE7B"/>
      </colorScale>
    </cfRule>
  </conditionalFormatting>
  <conditionalFormatting sqref="C9656">
    <cfRule type="colorScale" priority="7283">
      <colorScale>
        <cfvo type="min"/>
        <cfvo type="percentile" val="50"/>
        <cfvo type="max"/>
        <color rgb="FFF8696B"/>
        <color rgb="FFFFEB84"/>
        <color rgb="FF63BE7B"/>
      </colorScale>
    </cfRule>
  </conditionalFormatting>
  <conditionalFormatting sqref="C9660">
    <cfRule type="colorScale" priority="7288">
      <colorScale>
        <cfvo type="min"/>
        <cfvo type="percentile" val="50"/>
        <cfvo type="max"/>
        <color rgb="FFF8696B"/>
        <color rgb="FFFFEB84"/>
        <color rgb="FF63BE7B"/>
      </colorScale>
    </cfRule>
  </conditionalFormatting>
  <conditionalFormatting sqref="C9664">
    <cfRule type="colorScale" priority="7293">
      <colorScale>
        <cfvo type="min"/>
        <cfvo type="percentile" val="50"/>
        <cfvo type="max"/>
        <color rgb="FFF8696B"/>
        <color rgb="FFFFEB84"/>
        <color rgb="FF63BE7B"/>
      </colorScale>
    </cfRule>
  </conditionalFormatting>
  <conditionalFormatting sqref="C9668">
    <cfRule type="colorScale" priority="7298">
      <colorScale>
        <cfvo type="min"/>
        <cfvo type="percentile" val="50"/>
        <cfvo type="max"/>
        <color rgb="FFF8696B"/>
        <color rgb="FFFFEB84"/>
        <color rgb="FF63BE7B"/>
      </colorScale>
    </cfRule>
  </conditionalFormatting>
  <conditionalFormatting sqref="C9672">
    <cfRule type="colorScale" priority="7303">
      <colorScale>
        <cfvo type="min"/>
        <cfvo type="percentile" val="50"/>
        <cfvo type="max"/>
        <color rgb="FFF8696B"/>
        <color rgb="FFFFEB84"/>
        <color rgb="FF63BE7B"/>
      </colorScale>
    </cfRule>
  </conditionalFormatting>
  <conditionalFormatting sqref="C9676:C9677">
    <cfRule type="colorScale" priority="7308">
      <colorScale>
        <cfvo type="min"/>
        <cfvo type="percentile" val="50"/>
        <cfvo type="max"/>
        <color rgb="FFF8696B"/>
        <color rgb="FFFFEB84"/>
        <color rgb="FF63BE7B"/>
      </colorScale>
    </cfRule>
  </conditionalFormatting>
  <conditionalFormatting sqref="C9681:C9682">
    <cfRule type="colorScale" priority="7313">
      <colorScale>
        <cfvo type="min"/>
        <cfvo type="percentile" val="50"/>
        <cfvo type="max"/>
        <color rgb="FFF8696B"/>
        <color rgb="FFFFEB84"/>
        <color rgb="FF63BE7B"/>
      </colorScale>
    </cfRule>
  </conditionalFormatting>
  <conditionalFormatting sqref="C9686">
    <cfRule type="colorScale" priority="7318">
      <colorScale>
        <cfvo type="min"/>
        <cfvo type="percentile" val="50"/>
        <cfvo type="max"/>
        <color rgb="FFF8696B"/>
        <color rgb="FFFFEB84"/>
        <color rgb="FF63BE7B"/>
      </colorScale>
    </cfRule>
  </conditionalFormatting>
  <conditionalFormatting sqref="C9690">
    <cfRule type="colorScale" priority="7323">
      <colorScale>
        <cfvo type="min"/>
        <cfvo type="percentile" val="50"/>
        <cfvo type="max"/>
        <color rgb="FFF8696B"/>
        <color rgb="FFFFEB84"/>
        <color rgb="FF63BE7B"/>
      </colorScale>
    </cfRule>
  </conditionalFormatting>
  <conditionalFormatting sqref="C9694">
    <cfRule type="colorScale" priority="7328">
      <colorScale>
        <cfvo type="min"/>
        <cfvo type="percentile" val="50"/>
        <cfvo type="max"/>
        <color rgb="FFF8696B"/>
        <color rgb="FFFFEB84"/>
        <color rgb="FF63BE7B"/>
      </colorScale>
    </cfRule>
  </conditionalFormatting>
  <conditionalFormatting sqref="C9698:C9699">
    <cfRule type="colorScale" priority="7333">
      <colorScale>
        <cfvo type="min"/>
        <cfvo type="percentile" val="50"/>
        <cfvo type="max"/>
        <color rgb="FFF8696B"/>
        <color rgb="FFFFEB84"/>
        <color rgb="FF63BE7B"/>
      </colorScale>
    </cfRule>
  </conditionalFormatting>
  <conditionalFormatting sqref="C9703">
    <cfRule type="colorScale" priority="7339">
      <colorScale>
        <cfvo type="min"/>
        <cfvo type="percentile" val="50"/>
        <cfvo type="max"/>
        <color rgb="FFF8696B"/>
        <color rgb="FFFFEB84"/>
        <color rgb="FF63BE7B"/>
      </colorScale>
    </cfRule>
  </conditionalFormatting>
  <conditionalFormatting sqref="C9707:C9708">
    <cfRule type="colorScale" priority="7343">
      <colorScale>
        <cfvo type="min"/>
        <cfvo type="percentile" val="50"/>
        <cfvo type="max"/>
        <color rgb="FFF8696B"/>
        <color rgb="FFFFEB84"/>
        <color rgb="FF63BE7B"/>
      </colorScale>
    </cfRule>
  </conditionalFormatting>
  <conditionalFormatting sqref="C9716:C9717">
    <cfRule type="colorScale" priority="7353">
      <colorScale>
        <cfvo type="min"/>
        <cfvo type="percentile" val="50"/>
        <cfvo type="max"/>
        <color rgb="FFF8696B"/>
        <color rgb="FFFFEB84"/>
        <color rgb="FF63BE7B"/>
      </colorScale>
    </cfRule>
  </conditionalFormatting>
  <conditionalFormatting sqref="C9721">
    <cfRule type="colorScale" priority="7358">
      <colorScale>
        <cfvo type="min"/>
        <cfvo type="percentile" val="50"/>
        <cfvo type="max"/>
        <color rgb="FFF8696B"/>
        <color rgb="FFFFEB84"/>
        <color rgb="FF63BE7B"/>
      </colorScale>
    </cfRule>
  </conditionalFormatting>
  <conditionalFormatting sqref="C9725:C9726">
    <cfRule type="colorScale" priority="7363">
      <colorScale>
        <cfvo type="min"/>
        <cfvo type="percentile" val="50"/>
        <cfvo type="max"/>
        <color rgb="FFF8696B"/>
        <color rgb="FFFFEB84"/>
        <color rgb="FF63BE7B"/>
      </colorScale>
    </cfRule>
  </conditionalFormatting>
  <conditionalFormatting sqref="C9730">
    <cfRule type="colorScale" priority="7368">
      <colorScale>
        <cfvo type="min"/>
        <cfvo type="percentile" val="50"/>
        <cfvo type="max"/>
        <color rgb="FFF8696B"/>
        <color rgb="FFFFEB84"/>
        <color rgb="FF63BE7B"/>
      </colorScale>
    </cfRule>
  </conditionalFormatting>
  <conditionalFormatting sqref="C9734:C9735">
    <cfRule type="colorScale" priority="7373">
      <colorScale>
        <cfvo type="min"/>
        <cfvo type="percentile" val="50"/>
        <cfvo type="max"/>
        <color rgb="FFF8696B"/>
        <color rgb="FFFFEB84"/>
        <color rgb="FF63BE7B"/>
      </colorScale>
    </cfRule>
  </conditionalFormatting>
  <conditionalFormatting sqref="C9739:C9740">
    <cfRule type="colorScale" priority="7378">
      <colorScale>
        <cfvo type="min"/>
        <cfvo type="percentile" val="50"/>
        <cfvo type="max"/>
        <color rgb="FFF8696B"/>
        <color rgb="FFFFEB84"/>
        <color rgb="FF63BE7B"/>
      </colorScale>
    </cfRule>
  </conditionalFormatting>
  <conditionalFormatting sqref="C9744:C9745">
    <cfRule type="colorScale" priority="7383">
      <colorScale>
        <cfvo type="min"/>
        <cfvo type="percentile" val="50"/>
        <cfvo type="max"/>
        <color rgb="FFF8696B"/>
        <color rgb="FFFFEB84"/>
        <color rgb="FF63BE7B"/>
      </colorScale>
    </cfRule>
  </conditionalFormatting>
  <conditionalFormatting sqref="C9749">
    <cfRule type="colorScale" priority="7388">
      <colorScale>
        <cfvo type="min"/>
        <cfvo type="percentile" val="50"/>
        <cfvo type="max"/>
        <color rgb="FFF8696B"/>
        <color rgb="FFFFEB84"/>
        <color rgb="FF63BE7B"/>
      </colorScale>
    </cfRule>
  </conditionalFormatting>
  <conditionalFormatting sqref="C9753">
    <cfRule type="colorScale" priority="7393">
      <colorScale>
        <cfvo type="min"/>
        <cfvo type="percentile" val="50"/>
        <cfvo type="max"/>
        <color rgb="FFF8696B"/>
        <color rgb="FFFFEB84"/>
        <color rgb="FF63BE7B"/>
      </colorScale>
    </cfRule>
  </conditionalFormatting>
  <conditionalFormatting sqref="C9757:C9758">
    <cfRule type="colorScale" priority="7398">
      <colorScale>
        <cfvo type="min"/>
        <cfvo type="percentile" val="50"/>
        <cfvo type="max"/>
        <color rgb="FFF8696B"/>
        <color rgb="FFFFEB84"/>
        <color rgb="FF63BE7B"/>
      </colorScale>
    </cfRule>
  </conditionalFormatting>
  <conditionalFormatting sqref="C9762">
    <cfRule type="colorScale" priority="7403">
      <colorScale>
        <cfvo type="min"/>
        <cfvo type="percentile" val="50"/>
        <cfvo type="max"/>
        <color rgb="FFF8696B"/>
        <color rgb="FFFFEB84"/>
        <color rgb="FF63BE7B"/>
      </colorScale>
    </cfRule>
  </conditionalFormatting>
  <conditionalFormatting sqref="C9766:C9769">
    <cfRule type="colorScale" priority="7408">
      <colorScale>
        <cfvo type="min"/>
        <cfvo type="percentile" val="50"/>
        <cfvo type="max"/>
        <color rgb="FFF8696B"/>
        <color rgb="FFFFEB84"/>
        <color rgb="FF63BE7B"/>
      </colorScale>
    </cfRule>
  </conditionalFormatting>
  <conditionalFormatting sqref="C9773">
    <cfRule type="colorScale" priority="7414">
      <colorScale>
        <cfvo type="min"/>
        <cfvo type="percentile" val="50"/>
        <cfvo type="max"/>
        <color rgb="FFF8696B"/>
        <color rgb="FFFFEB84"/>
        <color rgb="FF63BE7B"/>
      </colorScale>
    </cfRule>
  </conditionalFormatting>
  <conditionalFormatting sqref="C9777:C9778">
    <cfRule type="colorScale" priority="7418">
      <colorScale>
        <cfvo type="min"/>
        <cfvo type="percentile" val="50"/>
        <cfvo type="max"/>
        <color rgb="FFF8696B"/>
        <color rgb="FFFFEB84"/>
        <color rgb="FF63BE7B"/>
      </colorScale>
    </cfRule>
  </conditionalFormatting>
  <conditionalFormatting sqref="C9786:C9787">
    <cfRule type="colorScale" priority="7428">
      <colorScale>
        <cfvo type="min"/>
        <cfvo type="percentile" val="50"/>
        <cfvo type="max"/>
        <color rgb="FFF8696B"/>
        <color rgb="FFFFEB84"/>
        <color rgb="FF63BE7B"/>
      </colorScale>
    </cfRule>
  </conditionalFormatting>
  <conditionalFormatting sqref="C9791:C9792">
    <cfRule type="colorScale" priority="7433">
      <colorScale>
        <cfvo type="min"/>
        <cfvo type="percentile" val="50"/>
        <cfvo type="max"/>
        <color rgb="FFF8696B"/>
        <color rgb="FFFFEB84"/>
        <color rgb="FF63BE7B"/>
      </colorScale>
    </cfRule>
  </conditionalFormatting>
  <conditionalFormatting sqref="C9796:C9797">
    <cfRule type="colorScale" priority="7438">
      <colorScale>
        <cfvo type="min"/>
        <cfvo type="percentile" val="50"/>
        <cfvo type="max"/>
        <color rgb="FFF8696B"/>
        <color rgb="FFFFEB84"/>
        <color rgb="FF63BE7B"/>
      </colorScale>
    </cfRule>
  </conditionalFormatting>
  <conditionalFormatting sqref="C9801:C9802">
    <cfRule type="colorScale" priority="7443">
      <colorScale>
        <cfvo type="min"/>
        <cfvo type="percentile" val="50"/>
        <cfvo type="max"/>
        <color rgb="FFF8696B"/>
        <color rgb="FFFFEB84"/>
        <color rgb="FF63BE7B"/>
      </colorScale>
    </cfRule>
  </conditionalFormatting>
  <conditionalFormatting sqref="C9806:C9807">
    <cfRule type="colorScale" priority="7448">
      <colorScale>
        <cfvo type="min"/>
        <cfvo type="percentile" val="50"/>
        <cfvo type="max"/>
        <color rgb="FFF8696B"/>
        <color rgb="FFFFEB84"/>
        <color rgb="FF63BE7B"/>
      </colorScale>
    </cfRule>
  </conditionalFormatting>
  <conditionalFormatting sqref="C9811:C9812">
    <cfRule type="colorScale" priority="7453">
      <colorScale>
        <cfvo type="min"/>
        <cfvo type="percentile" val="50"/>
        <cfvo type="max"/>
        <color rgb="FFF8696B"/>
        <color rgb="FFFFEB84"/>
        <color rgb="FF63BE7B"/>
      </colorScale>
    </cfRule>
  </conditionalFormatting>
  <conditionalFormatting sqref="C9816:C9817">
    <cfRule type="colorScale" priority="7458">
      <colorScale>
        <cfvo type="min"/>
        <cfvo type="percentile" val="50"/>
        <cfvo type="max"/>
        <color rgb="FFF8696B"/>
        <color rgb="FFFFEB84"/>
        <color rgb="FF63BE7B"/>
      </colorScale>
    </cfRule>
  </conditionalFormatting>
  <conditionalFormatting sqref="C9821:C9822">
    <cfRule type="colorScale" priority="7463">
      <colorScale>
        <cfvo type="min"/>
        <cfvo type="percentile" val="50"/>
        <cfvo type="max"/>
        <color rgb="FFF8696B"/>
        <color rgb="FFFFEB84"/>
        <color rgb="FF63BE7B"/>
      </colorScale>
    </cfRule>
  </conditionalFormatting>
  <conditionalFormatting sqref="C9826">
    <cfRule type="colorScale" priority="7468">
      <colorScale>
        <cfvo type="min"/>
        <cfvo type="percentile" val="50"/>
        <cfvo type="max"/>
        <color rgb="FFF8696B"/>
        <color rgb="FFFFEB84"/>
        <color rgb="FF63BE7B"/>
      </colorScale>
    </cfRule>
  </conditionalFormatting>
  <conditionalFormatting sqref="C9830:C9831">
    <cfRule type="colorScale" priority="7473">
      <colorScale>
        <cfvo type="min"/>
        <cfvo type="percentile" val="50"/>
        <cfvo type="max"/>
        <color rgb="FFF8696B"/>
        <color rgb="FFFFEB84"/>
        <color rgb="FF63BE7B"/>
      </colorScale>
    </cfRule>
  </conditionalFormatting>
  <conditionalFormatting sqref="C9835:C9836">
    <cfRule type="colorScale" priority="7478">
      <colorScale>
        <cfvo type="min"/>
        <cfvo type="percentile" val="50"/>
        <cfvo type="max"/>
        <color rgb="FFF8696B"/>
        <color rgb="FFFFEB84"/>
        <color rgb="FF63BE7B"/>
      </colorScale>
    </cfRule>
  </conditionalFormatting>
  <conditionalFormatting sqref="C9840:C9843">
    <cfRule type="colorScale" priority="7483">
      <colorScale>
        <cfvo type="min"/>
        <cfvo type="percentile" val="50"/>
        <cfvo type="max"/>
        <color rgb="FFF8696B"/>
        <color rgb="FFFFEB84"/>
        <color rgb="FF63BE7B"/>
      </colorScale>
    </cfRule>
  </conditionalFormatting>
  <conditionalFormatting sqref="C9847">
    <cfRule type="colorScale" priority="7489">
      <colorScale>
        <cfvo type="min"/>
        <cfvo type="percentile" val="50"/>
        <cfvo type="max"/>
        <color rgb="FFF8696B"/>
        <color rgb="FFFFEB84"/>
        <color rgb="FF63BE7B"/>
      </colorScale>
    </cfRule>
  </conditionalFormatting>
  <conditionalFormatting sqref="C9851:C9852">
    <cfRule type="colorScale" priority="7493">
      <colorScale>
        <cfvo type="min"/>
        <cfvo type="percentile" val="50"/>
        <cfvo type="max"/>
        <color rgb="FFF8696B"/>
        <color rgb="FFFFEB84"/>
        <color rgb="FF63BE7B"/>
      </colorScale>
    </cfRule>
  </conditionalFormatting>
  <conditionalFormatting sqref="C9860:C9861">
    <cfRule type="colorScale" priority="7503">
      <colorScale>
        <cfvo type="min"/>
        <cfvo type="percentile" val="50"/>
        <cfvo type="max"/>
        <color rgb="FFF8696B"/>
        <color rgb="FFFFEB84"/>
        <color rgb="FF63BE7B"/>
      </colorScale>
    </cfRule>
  </conditionalFormatting>
  <conditionalFormatting sqref="C9865">
    <cfRule type="colorScale" priority="7508">
      <colorScale>
        <cfvo type="min"/>
        <cfvo type="percentile" val="50"/>
        <cfvo type="max"/>
        <color rgb="FFF8696B"/>
        <color rgb="FFFFEB84"/>
        <color rgb="FF63BE7B"/>
      </colorScale>
    </cfRule>
  </conditionalFormatting>
  <conditionalFormatting sqref="C9869:C9870">
    <cfRule type="colorScale" priority="7513">
      <colorScale>
        <cfvo type="min"/>
        <cfvo type="percentile" val="50"/>
        <cfvo type="max"/>
        <color rgb="FFF8696B"/>
        <color rgb="FFFFEB84"/>
        <color rgb="FF63BE7B"/>
      </colorScale>
    </cfRule>
  </conditionalFormatting>
  <conditionalFormatting sqref="C9874">
    <cfRule type="colorScale" priority="7518">
      <colorScale>
        <cfvo type="min"/>
        <cfvo type="percentile" val="50"/>
        <cfvo type="max"/>
        <color rgb="FFF8696B"/>
        <color rgb="FFFFEB84"/>
        <color rgb="FF63BE7B"/>
      </colorScale>
    </cfRule>
  </conditionalFormatting>
  <conditionalFormatting sqref="C9878">
    <cfRule type="colorScale" priority="7523">
      <colorScale>
        <cfvo type="min"/>
        <cfvo type="percentile" val="50"/>
        <cfvo type="max"/>
        <color rgb="FFF8696B"/>
        <color rgb="FFFFEB84"/>
        <color rgb="FF63BE7B"/>
      </colorScale>
    </cfRule>
  </conditionalFormatting>
  <conditionalFormatting sqref="C9882:C9883">
    <cfRule type="colorScale" priority="7528">
      <colorScale>
        <cfvo type="min"/>
        <cfvo type="percentile" val="50"/>
        <cfvo type="max"/>
        <color rgb="FFF8696B"/>
        <color rgb="FFFFEB84"/>
        <color rgb="FF63BE7B"/>
      </colorScale>
    </cfRule>
  </conditionalFormatting>
  <conditionalFormatting sqref="C9887:C9888">
    <cfRule type="colorScale" priority="7533">
      <colorScale>
        <cfvo type="min"/>
        <cfvo type="percentile" val="50"/>
        <cfvo type="max"/>
        <color rgb="FFF8696B"/>
        <color rgb="FFFFEB84"/>
        <color rgb="FF63BE7B"/>
      </colorScale>
    </cfRule>
  </conditionalFormatting>
  <conditionalFormatting sqref="C9892:C9893">
    <cfRule type="colorScale" priority="7538">
      <colorScale>
        <cfvo type="min"/>
        <cfvo type="percentile" val="50"/>
        <cfvo type="max"/>
        <color rgb="FFF8696B"/>
        <color rgb="FFFFEB84"/>
        <color rgb="FF63BE7B"/>
      </colorScale>
    </cfRule>
  </conditionalFormatting>
  <conditionalFormatting sqref="C9897">
    <cfRule type="colorScale" priority="7543">
      <colorScale>
        <cfvo type="min"/>
        <cfvo type="percentile" val="50"/>
        <cfvo type="max"/>
        <color rgb="FFF8696B"/>
        <color rgb="FFFFEB84"/>
        <color rgb="FF63BE7B"/>
      </colorScale>
    </cfRule>
  </conditionalFormatting>
  <conditionalFormatting sqref="C9901:C9902">
    <cfRule type="colorScale" priority="7548">
      <colorScale>
        <cfvo type="min"/>
        <cfvo type="percentile" val="50"/>
        <cfvo type="max"/>
        <color rgb="FFF8696B"/>
        <color rgb="FFFFEB84"/>
        <color rgb="FF63BE7B"/>
      </colorScale>
    </cfRule>
  </conditionalFormatting>
  <conditionalFormatting sqref="C9906:C9907">
    <cfRule type="colorScale" priority="7553">
      <colorScale>
        <cfvo type="min"/>
        <cfvo type="percentile" val="50"/>
        <cfvo type="max"/>
        <color rgb="FFF8696B"/>
        <color rgb="FFFFEB84"/>
        <color rgb="FF63BE7B"/>
      </colorScale>
    </cfRule>
  </conditionalFormatting>
  <conditionalFormatting sqref="C9911:C9914">
    <cfRule type="colorScale" priority="7558">
      <colorScale>
        <cfvo type="min"/>
        <cfvo type="percentile" val="50"/>
        <cfvo type="max"/>
        <color rgb="FFF8696B"/>
        <color rgb="FFFFEB84"/>
        <color rgb="FF63BE7B"/>
      </colorScale>
    </cfRule>
  </conditionalFormatting>
  <conditionalFormatting sqref="C8:F9">
    <cfRule type="notContainsBlanks" dxfId="1873" priority="21">
      <formula>LEN(TRIM(C8))&gt;0</formula>
    </cfRule>
  </conditionalFormatting>
  <conditionalFormatting sqref="C17:F18">
    <cfRule type="notContainsBlanks" dxfId="1872" priority="31">
      <formula>LEN(TRIM(C17))&gt;0</formula>
    </cfRule>
  </conditionalFormatting>
  <conditionalFormatting sqref="C22:F23">
    <cfRule type="notContainsBlanks" dxfId="1871" priority="36">
      <formula>LEN(TRIM(C22))&gt;0</formula>
    </cfRule>
  </conditionalFormatting>
  <conditionalFormatting sqref="C27:F28">
    <cfRule type="notContainsBlanks" dxfId="1870" priority="41">
      <formula>LEN(TRIM(C27))&gt;0</formula>
    </cfRule>
  </conditionalFormatting>
  <conditionalFormatting sqref="C32:F33">
    <cfRule type="notContainsBlanks" dxfId="1869" priority="46">
      <formula>LEN(TRIM(C32))&gt;0</formula>
    </cfRule>
  </conditionalFormatting>
  <conditionalFormatting sqref="C37:F38">
    <cfRule type="notContainsBlanks" dxfId="1868" priority="51">
      <formula>LEN(TRIM(C37))&gt;0</formula>
    </cfRule>
  </conditionalFormatting>
  <conditionalFormatting sqref="C42:F43">
    <cfRule type="notContainsBlanks" dxfId="1867" priority="56">
      <formula>LEN(TRIM(C42))&gt;0</formula>
    </cfRule>
  </conditionalFormatting>
  <conditionalFormatting sqref="C47:F48">
    <cfRule type="notContainsBlanks" dxfId="1866" priority="61">
      <formula>LEN(TRIM(C47))&gt;0</formula>
    </cfRule>
  </conditionalFormatting>
  <conditionalFormatting sqref="C52:F53">
    <cfRule type="notContainsBlanks" dxfId="1865" priority="66">
      <formula>LEN(TRIM(C52))&gt;0</formula>
    </cfRule>
  </conditionalFormatting>
  <conditionalFormatting sqref="C57:F57">
    <cfRule type="notContainsBlanks" dxfId="1864" priority="71">
      <formula>LEN(TRIM(C57))&gt;0</formula>
    </cfRule>
  </conditionalFormatting>
  <conditionalFormatting sqref="C61:F62">
    <cfRule type="notContainsBlanks" dxfId="1863" priority="76">
      <formula>LEN(TRIM(C61))&gt;0</formula>
    </cfRule>
  </conditionalFormatting>
  <conditionalFormatting sqref="C66:F67">
    <cfRule type="notContainsBlanks" dxfId="1862" priority="81">
      <formula>LEN(TRIM(C66))&gt;0</formula>
    </cfRule>
  </conditionalFormatting>
  <conditionalFormatting sqref="C71:F74">
    <cfRule type="notContainsBlanks" dxfId="1861" priority="86">
      <formula>LEN(TRIM(C71))&gt;0</formula>
    </cfRule>
  </conditionalFormatting>
  <conditionalFormatting sqref="C82:F83">
    <cfRule type="notContainsBlanks" dxfId="1860" priority="96">
      <formula>LEN(TRIM(C82))&gt;0</formula>
    </cfRule>
  </conditionalFormatting>
  <conditionalFormatting sqref="C91:F92">
    <cfRule type="notContainsBlanks" dxfId="1859" priority="106">
      <formula>LEN(TRIM(C91))&gt;0</formula>
    </cfRule>
  </conditionalFormatting>
  <conditionalFormatting sqref="C96:F97">
    <cfRule type="notContainsBlanks" dxfId="1858" priority="111">
      <formula>LEN(TRIM(C96))&gt;0</formula>
    </cfRule>
  </conditionalFormatting>
  <conditionalFormatting sqref="C101:F102">
    <cfRule type="notContainsBlanks" dxfId="1857" priority="116">
      <formula>LEN(TRIM(C101))&gt;0</formula>
    </cfRule>
  </conditionalFormatting>
  <conditionalFormatting sqref="C106:F107">
    <cfRule type="notContainsBlanks" dxfId="1856" priority="121">
      <formula>LEN(TRIM(C106))&gt;0</formula>
    </cfRule>
  </conditionalFormatting>
  <conditionalFormatting sqref="C111:F112">
    <cfRule type="notContainsBlanks" dxfId="1855" priority="126">
      <formula>LEN(TRIM(C111))&gt;0</formula>
    </cfRule>
  </conditionalFormatting>
  <conditionalFormatting sqref="C116:F117">
    <cfRule type="notContainsBlanks" dxfId="1854" priority="131">
      <formula>LEN(TRIM(C116))&gt;0</formula>
    </cfRule>
  </conditionalFormatting>
  <conditionalFormatting sqref="C121:F122">
    <cfRule type="notContainsBlanks" dxfId="1853" priority="136">
      <formula>LEN(TRIM(C121))&gt;0</formula>
    </cfRule>
  </conditionalFormatting>
  <conditionalFormatting sqref="C126:F127">
    <cfRule type="notContainsBlanks" dxfId="1852" priority="141">
      <formula>LEN(TRIM(C126))&gt;0</formula>
    </cfRule>
  </conditionalFormatting>
  <conditionalFormatting sqref="C131:F131">
    <cfRule type="notContainsBlanks" dxfId="1851" priority="146">
      <formula>LEN(TRIM(C131))&gt;0</formula>
    </cfRule>
  </conditionalFormatting>
  <conditionalFormatting sqref="C135:F136">
    <cfRule type="notContainsBlanks" dxfId="1850" priority="151">
      <formula>LEN(TRIM(C135))&gt;0</formula>
    </cfRule>
  </conditionalFormatting>
  <conditionalFormatting sqref="C140:F141">
    <cfRule type="notContainsBlanks" dxfId="1849" priority="156">
      <formula>LEN(TRIM(C140))&gt;0</formula>
    </cfRule>
  </conditionalFormatting>
  <conditionalFormatting sqref="C145:F148">
    <cfRule type="notContainsBlanks" dxfId="1848" priority="161">
      <formula>LEN(TRIM(C145))&gt;0</formula>
    </cfRule>
  </conditionalFormatting>
  <conditionalFormatting sqref="C156:F157">
    <cfRule type="notContainsBlanks" dxfId="1847" priority="171">
      <formula>LEN(TRIM(C156))&gt;0</formula>
    </cfRule>
  </conditionalFormatting>
  <conditionalFormatting sqref="C165:F166">
    <cfRule type="notContainsBlanks" dxfId="1846" priority="181">
      <formula>LEN(TRIM(C165))&gt;0</formula>
    </cfRule>
  </conditionalFormatting>
  <conditionalFormatting sqref="C170:F171">
    <cfRule type="notContainsBlanks" dxfId="1845" priority="186">
      <formula>LEN(TRIM(C170))&gt;0</formula>
    </cfRule>
  </conditionalFormatting>
  <conditionalFormatting sqref="C175:F176">
    <cfRule type="notContainsBlanks" dxfId="1844" priority="191">
      <formula>LEN(TRIM(C175))&gt;0</formula>
    </cfRule>
  </conditionalFormatting>
  <conditionalFormatting sqref="C180:F181">
    <cfRule type="notContainsBlanks" dxfId="1843" priority="196">
      <formula>LEN(TRIM(C180))&gt;0</formula>
    </cfRule>
  </conditionalFormatting>
  <conditionalFormatting sqref="C185:F186">
    <cfRule type="notContainsBlanks" dxfId="1842" priority="201">
      <formula>LEN(TRIM(C185))&gt;0</formula>
    </cfRule>
  </conditionalFormatting>
  <conditionalFormatting sqref="C190:F191">
    <cfRule type="notContainsBlanks" dxfId="1841" priority="206">
      <formula>LEN(TRIM(C190))&gt;0</formula>
    </cfRule>
  </conditionalFormatting>
  <conditionalFormatting sqref="C195:F196">
    <cfRule type="notContainsBlanks" dxfId="1840" priority="211">
      <formula>LEN(TRIM(C195))&gt;0</formula>
    </cfRule>
  </conditionalFormatting>
  <conditionalFormatting sqref="C200:F201">
    <cfRule type="notContainsBlanks" dxfId="1839" priority="216">
      <formula>LEN(TRIM(C200))&gt;0</formula>
    </cfRule>
  </conditionalFormatting>
  <conditionalFormatting sqref="C205:F205">
    <cfRule type="notContainsBlanks" dxfId="1838" priority="221">
      <formula>LEN(TRIM(C205))&gt;0</formula>
    </cfRule>
  </conditionalFormatting>
  <conditionalFormatting sqref="C209:F210">
    <cfRule type="notContainsBlanks" dxfId="1837" priority="226">
      <formula>LEN(TRIM(C209))&gt;0</formula>
    </cfRule>
  </conditionalFormatting>
  <conditionalFormatting sqref="C214:F215">
    <cfRule type="notContainsBlanks" dxfId="1836" priority="231">
      <formula>LEN(TRIM(C214))&gt;0</formula>
    </cfRule>
  </conditionalFormatting>
  <conditionalFormatting sqref="C219:F222">
    <cfRule type="notContainsBlanks" dxfId="1835" priority="236">
      <formula>LEN(TRIM(C219))&gt;0</formula>
    </cfRule>
  </conditionalFormatting>
  <conditionalFormatting sqref="C230:F231">
    <cfRule type="notContainsBlanks" dxfId="1834" priority="246">
      <formula>LEN(TRIM(C230))&gt;0</formula>
    </cfRule>
  </conditionalFormatting>
  <conditionalFormatting sqref="C239:F240">
    <cfRule type="notContainsBlanks" dxfId="1833" priority="256">
      <formula>LEN(TRIM(C239))&gt;0</formula>
    </cfRule>
  </conditionalFormatting>
  <conditionalFormatting sqref="C244:F245">
    <cfRule type="notContainsBlanks" dxfId="1832" priority="261">
      <formula>LEN(TRIM(C244))&gt;0</formula>
    </cfRule>
  </conditionalFormatting>
  <conditionalFormatting sqref="C249:F250">
    <cfRule type="notContainsBlanks" dxfId="1831" priority="266">
      <formula>LEN(TRIM(C249))&gt;0</formula>
    </cfRule>
  </conditionalFormatting>
  <conditionalFormatting sqref="C254:F255">
    <cfRule type="notContainsBlanks" dxfId="1830" priority="271">
      <formula>LEN(TRIM(C254))&gt;0</formula>
    </cfRule>
  </conditionalFormatting>
  <conditionalFormatting sqref="C259:F260">
    <cfRule type="notContainsBlanks" dxfId="1829" priority="276">
      <formula>LEN(TRIM(C259))&gt;0</formula>
    </cfRule>
  </conditionalFormatting>
  <conditionalFormatting sqref="C264:F265">
    <cfRule type="notContainsBlanks" dxfId="1828" priority="281">
      <formula>LEN(TRIM(C264))&gt;0</formula>
    </cfRule>
  </conditionalFormatting>
  <conditionalFormatting sqref="C269:F270">
    <cfRule type="notContainsBlanks" dxfId="1827" priority="286">
      <formula>LEN(TRIM(C269))&gt;0</formula>
    </cfRule>
  </conditionalFormatting>
  <conditionalFormatting sqref="C274:F275">
    <cfRule type="notContainsBlanks" dxfId="1826" priority="291">
      <formula>LEN(TRIM(C274))&gt;0</formula>
    </cfRule>
  </conditionalFormatting>
  <conditionalFormatting sqref="C279:F279">
    <cfRule type="notContainsBlanks" dxfId="1825" priority="296">
      <formula>LEN(TRIM(C279))&gt;0</formula>
    </cfRule>
  </conditionalFormatting>
  <conditionalFormatting sqref="C283:F284">
    <cfRule type="notContainsBlanks" dxfId="1824" priority="301">
      <formula>LEN(TRIM(C283))&gt;0</formula>
    </cfRule>
  </conditionalFormatting>
  <conditionalFormatting sqref="C288:F289">
    <cfRule type="notContainsBlanks" dxfId="1823" priority="306">
      <formula>LEN(TRIM(C288))&gt;0</formula>
    </cfRule>
  </conditionalFormatting>
  <conditionalFormatting sqref="C293:F296">
    <cfRule type="notContainsBlanks" dxfId="1822" priority="311">
      <formula>LEN(TRIM(C293))&gt;0</formula>
    </cfRule>
  </conditionalFormatting>
  <conditionalFormatting sqref="C452:F453">
    <cfRule type="notContainsBlanks" dxfId="1821" priority="381">
      <formula>LEN(TRIM(C452))&gt;0</formula>
    </cfRule>
  </conditionalFormatting>
  <conditionalFormatting sqref="C461:F462">
    <cfRule type="notContainsBlanks" dxfId="1820" priority="391">
      <formula>LEN(TRIM(C461))&gt;0</formula>
    </cfRule>
  </conditionalFormatting>
  <conditionalFormatting sqref="C466:F467">
    <cfRule type="notContainsBlanks" dxfId="1819" priority="396">
      <formula>LEN(TRIM(C466))&gt;0</formula>
    </cfRule>
  </conditionalFormatting>
  <conditionalFormatting sqref="C471:F472">
    <cfRule type="notContainsBlanks" dxfId="1818" priority="401">
      <formula>LEN(TRIM(C471))&gt;0</formula>
    </cfRule>
  </conditionalFormatting>
  <conditionalFormatting sqref="C476:F477">
    <cfRule type="notContainsBlanks" dxfId="1817" priority="406">
      <formula>LEN(TRIM(C476))&gt;0</formula>
    </cfRule>
  </conditionalFormatting>
  <conditionalFormatting sqref="C481:F482">
    <cfRule type="notContainsBlanks" dxfId="1816" priority="411">
      <formula>LEN(TRIM(C481))&gt;0</formula>
    </cfRule>
  </conditionalFormatting>
  <conditionalFormatting sqref="C486:F487">
    <cfRule type="notContainsBlanks" dxfId="1815" priority="416">
      <formula>LEN(TRIM(C486))&gt;0</formula>
    </cfRule>
  </conditionalFormatting>
  <conditionalFormatting sqref="C491:F492">
    <cfRule type="notContainsBlanks" dxfId="1814" priority="421">
      <formula>LEN(TRIM(C491))&gt;0</formula>
    </cfRule>
  </conditionalFormatting>
  <conditionalFormatting sqref="C496:F497">
    <cfRule type="notContainsBlanks" dxfId="1813" priority="426">
      <formula>LEN(TRIM(C496))&gt;0</formula>
    </cfRule>
  </conditionalFormatting>
  <conditionalFormatting sqref="C501:F501">
    <cfRule type="notContainsBlanks" dxfId="1812" priority="431">
      <formula>LEN(TRIM(C501))&gt;0</formula>
    </cfRule>
  </conditionalFormatting>
  <conditionalFormatting sqref="C505:F506">
    <cfRule type="notContainsBlanks" dxfId="1811" priority="436">
      <formula>LEN(TRIM(C505))&gt;0</formula>
    </cfRule>
  </conditionalFormatting>
  <conditionalFormatting sqref="C510:F511">
    <cfRule type="notContainsBlanks" dxfId="1810" priority="441">
      <formula>LEN(TRIM(C510))&gt;0</formula>
    </cfRule>
  </conditionalFormatting>
  <conditionalFormatting sqref="C515:F518">
    <cfRule type="notContainsBlanks" dxfId="1809" priority="446">
      <formula>LEN(TRIM(C515))&gt;0</formula>
    </cfRule>
  </conditionalFormatting>
  <conditionalFormatting sqref="C526:F527">
    <cfRule type="notContainsBlanks" dxfId="1808" priority="456">
      <formula>LEN(TRIM(C526))&gt;0</formula>
    </cfRule>
  </conditionalFormatting>
  <conditionalFormatting sqref="C535:F536">
    <cfRule type="notContainsBlanks" dxfId="1807" priority="466">
      <formula>LEN(TRIM(C535))&gt;0</formula>
    </cfRule>
  </conditionalFormatting>
  <conditionalFormatting sqref="C540:F541">
    <cfRule type="notContainsBlanks" dxfId="1806" priority="471">
      <formula>LEN(TRIM(C540))&gt;0</formula>
    </cfRule>
  </conditionalFormatting>
  <conditionalFormatting sqref="C545:F546">
    <cfRule type="notContainsBlanks" dxfId="1805" priority="476">
      <formula>LEN(TRIM(C545))&gt;0</formula>
    </cfRule>
  </conditionalFormatting>
  <conditionalFormatting sqref="C550:F551">
    <cfRule type="notContainsBlanks" dxfId="1804" priority="481">
      <formula>LEN(TRIM(C550))&gt;0</formula>
    </cfRule>
  </conditionalFormatting>
  <conditionalFormatting sqref="C555:F556">
    <cfRule type="notContainsBlanks" dxfId="1803" priority="486">
      <formula>LEN(TRIM(C555))&gt;0</formula>
    </cfRule>
  </conditionalFormatting>
  <conditionalFormatting sqref="C560:F561">
    <cfRule type="notContainsBlanks" dxfId="1802" priority="491">
      <formula>LEN(TRIM(C560))&gt;0</formula>
    </cfRule>
  </conditionalFormatting>
  <conditionalFormatting sqref="C565:F566">
    <cfRule type="notContainsBlanks" dxfId="1801" priority="496">
      <formula>LEN(TRIM(C565))&gt;0</formula>
    </cfRule>
  </conditionalFormatting>
  <conditionalFormatting sqref="C570:F571">
    <cfRule type="notContainsBlanks" dxfId="1800" priority="501">
      <formula>LEN(TRIM(C570))&gt;0</formula>
    </cfRule>
  </conditionalFormatting>
  <conditionalFormatting sqref="C575:F575">
    <cfRule type="notContainsBlanks" dxfId="1799" priority="506">
      <formula>LEN(TRIM(C575))&gt;0</formula>
    </cfRule>
  </conditionalFormatting>
  <conditionalFormatting sqref="C579:F580">
    <cfRule type="notContainsBlanks" dxfId="1798" priority="511">
      <formula>LEN(TRIM(C579))&gt;0</formula>
    </cfRule>
  </conditionalFormatting>
  <conditionalFormatting sqref="C584:F585">
    <cfRule type="notContainsBlanks" dxfId="1797" priority="516">
      <formula>LEN(TRIM(C584))&gt;0</formula>
    </cfRule>
  </conditionalFormatting>
  <conditionalFormatting sqref="C589:F592">
    <cfRule type="notContainsBlanks" dxfId="1796" priority="521">
      <formula>LEN(TRIM(C589))&gt;0</formula>
    </cfRule>
  </conditionalFormatting>
  <conditionalFormatting sqref="C600:F601">
    <cfRule type="notContainsBlanks" dxfId="1795" priority="531">
      <formula>LEN(TRIM(C600))&gt;0</formula>
    </cfRule>
  </conditionalFormatting>
  <conditionalFormatting sqref="C609:F610">
    <cfRule type="notContainsBlanks" dxfId="1794" priority="541">
      <formula>LEN(TRIM(C609))&gt;0</formula>
    </cfRule>
  </conditionalFormatting>
  <conditionalFormatting sqref="C614:F615">
    <cfRule type="notContainsBlanks" dxfId="1793" priority="546">
      <formula>LEN(TRIM(C614))&gt;0</formula>
    </cfRule>
  </conditionalFormatting>
  <conditionalFormatting sqref="C619:F620">
    <cfRule type="notContainsBlanks" dxfId="1792" priority="551">
      <formula>LEN(TRIM(C619))&gt;0</formula>
    </cfRule>
  </conditionalFormatting>
  <conditionalFormatting sqref="C624:F625">
    <cfRule type="notContainsBlanks" dxfId="1791" priority="556">
      <formula>LEN(TRIM(C624))&gt;0</formula>
    </cfRule>
  </conditionalFormatting>
  <conditionalFormatting sqref="C629:F630">
    <cfRule type="notContainsBlanks" dxfId="1790" priority="561">
      <formula>LEN(TRIM(C629))&gt;0</formula>
    </cfRule>
  </conditionalFormatting>
  <conditionalFormatting sqref="C634:F635">
    <cfRule type="notContainsBlanks" dxfId="1789" priority="566">
      <formula>LEN(TRIM(C634))&gt;0</formula>
    </cfRule>
  </conditionalFormatting>
  <conditionalFormatting sqref="C639:F640">
    <cfRule type="notContainsBlanks" dxfId="1788" priority="571">
      <formula>LEN(TRIM(C639))&gt;0</formula>
    </cfRule>
  </conditionalFormatting>
  <conditionalFormatting sqref="C644:F645">
    <cfRule type="notContainsBlanks" dxfId="1787" priority="576">
      <formula>LEN(TRIM(C644))&gt;0</formula>
    </cfRule>
  </conditionalFormatting>
  <conditionalFormatting sqref="C649:F649">
    <cfRule type="notContainsBlanks" dxfId="1786" priority="581">
      <formula>LEN(TRIM(C649))&gt;0</formula>
    </cfRule>
  </conditionalFormatting>
  <conditionalFormatting sqref="C653:F654">
    <cfRule type="notContainsBlanks" dxfId="1785" priority="586">
      <formula>LEN(TRIM(C653))&gt;0</formula>
    </cfRule>
  </conditionalFormatting>
  <conditionalFormatting sqref="C658:F659">
    <cfRule type="notContainsBlanks" dxfId="1784" priority="591">
      <formula>LEN(TRIM(C658))&gt;0</formula>
    </cfRule>
  </conditionalFormatting>
  <conditionalFormatting sqref="C663:F666">
    <cfRule type="notContainsBlanks" dxfId="1783" priority="596">
      <formula>LEN(TRIM(C663))&gt;0</formula>
    </cfRule>
  </conditionalFormatting>
  <conditionalFormatting sqref="C674:F675">
    <cfRule type="notContainsBlanks" dxfId="1782" priority="606">
      <formula>LEN(TRIM(C674))&gt;0</formula>
    </cfRule>
  </conditionalFormatting>
  <conditionalFormatting sqref="C683:F684">
    <cfRule type="notContainsBlanks" dxfId="1781" priority="616">
      <formula>LEN(TRIM(C683))&gt;0</formula>
    </cfRule>
  </conditionalFormatting>
  <conditionalFormatting sqref="C688:F689">
    <cfRule type="notContainsBlanks" dxfId="1780" priority="621">
      <formula>LEN(TRIM(C688))&gt;0</formula>
    </cfRule>
  </conditionalFormatting>
  <conditionalFormatting sqref="C693:F694">
    <cfRule type="notContainsBlanks" dxfId="1779" priority="626">
      <formula>LEN(TRIM(C693))&gt;0</formula>
    </cfRule>
  </conditionalFormatting>
  <conditionalFormatting sqref="C698:F699">
    <cfRule type="notContainsBlanks" dxfId="1778" priority="631">
      <formula>LEN(TRIM(C698))&gt;0</formula>
    </cfRule>
  </conditionalFormatting>
  <conditionalFormatting sqref="C703:F704">
    <cfRule type="notContainsBlanks" dxfId="1777" priority="636">
      <formula>LEN(TRIM(C703))&gt;0</formula>
    </cfRule>
  </conditionalFormatting>
  <conditionalFormatting sqref="C708:F709">
    <cfRule type="notContainsBlanks" dxfId="1776" priority="641">
      <formula>LEN(TRIM(C708))&gt;0</formula>
    </cfRule>
  </conditionalFormatting>
  <conditionalFormatting sqref="C713:F714">
    <cfRule type="notContainsBlanks" dxfId="1775" priority="646">
      <formula>LEN(TRIM(C713))&gt;0</formula>
    </cfRule>
  </conditionalFormatting>
  <conditionalFormatting sqref="C718:F719">
    <cfRule type="notContainsBlanks" dxfId="1774" priority="651">
      <formula>LEN(TRIM(C718))&gt;0</formula>
    </cfRule>
  </conditionalFormatting>
  <conditionalFormatting sqref="C723:F723">
    <cfRule type="notContainsBlanks" dxfId="1773" priority="656">
      <formula>LEN(TRIM(C723))&gt;0</formula>
    </cfRule>
  </conditionalFormatting>
  <conditionalFormatting sqref="C727:F728">
    <cfRule type="notContainsBlanks" dxfId="1772" priority="661">
      <formula>LEN(TRIM(C727))&gt;0</formula>
    </cfRule>
  </conditionalFormatting>
  <conditionalFormatting sqref="C732:F733">
    <cfRule type="notContainsBlanks" dxfId="1771" priority="666">
      <formula>LEN(TRIM(C732))&gt;0</formula>
    </cfRule>
  </conditionalFormatting>
  <conditionalFormatting sqref="C737:F740">
    <cfRule type="notContainsBlanks" dxfId="1770" priority="671">
      <formula>LEN(TRIM(C737))&gt;0</formula>
    </cfRule>
  </conditionalFormatting>
  <conditionalFormatting sqref="C1488:F1489">
    <cfRule type="notContainsBlanks" dxfId="1769" priority="981">
      <formula>LEN(TRIM(C1488))&gt;0</formula>
    </cfRule>
  </conditionalFormatting>
  <conditionalFormatting sqref="C1497:F1498">
    <cfRule type="notContainsBlanks" dxfId="1768" priority="991">
      <formula>LEN(TRIM(C1497))&gt;0</formula>
    </cfRule>
  </conditionalFormatting>
  <conditionalFormatting sqref="C1502:F1503">
    <cfRule type="notContainsBlanks" dxfId="1767" priority="996">
      <formula>LEN(TRIM(C1502))&gt;0</formula>
    </cfRule>
  </conditionalFormatting>
  <conditionalFormatting sqref="C1507:F1508">
    <cfRule type="notContainsBlanks" dxfId="1766" priority="1001">
      <formula>LEN(TRIM(C1507))&gt;0</formula>
    </cfRule>
  </conditionalFormatting>
  <conditionalFormatting sqref="C1512:F1513">
    <cfRule type="notContainsBlanks" dxfId="1765" priority="1006">
      <formula>LEN(TRIM(C1512))&gt;0</formula>
    </cfRule>
  </conditionalFormatting>
  <conditionalFormatting sqref="C1517:F1518">
    <cfRule type="notContainsBlanks" dxfId="1764" priority="1011">
      <formula>LEN(TRIM(C1517))&gt;0</formula>
    </cfRule>
  </conditionalFormatting>
  <conditionalFormatting sqref="C1522:F1523">
    <cfRule type="notContainsBlanks" dxfId="1763" priority="1016">
      <formula>LEN(TRIM(C1522))&gt;0</formula>
    </cfRule>
  </conditionalFormatting>
  <conditionalFormatting sqref="C1527:F1528">
    <cfRule type="notContainsBlanks" dxfId="1762" priority="1021">
      <formula>LEN(TRIM(C1527))&gt;0</formula>
    </cfRule>
  </conditionalFormatting>
  <conditionalFormatting sqref="C1532:F1533">
    <cfRule type="notContainsBlanks" dxfId="1761" priority="1026">
      <formula>LEN(TRIM(C1532))&gt;0</formula>
    </cfRule>
  </conditionalFormatting>
  <conditionalFormatting sqref="C1537:F1537">
    <cfRule type="notContainsBlanks" dxfId="1760" priority="1031">
      <formula>LEN(TRIM(C1537))&gt;0</formula>
    </cfRule>
  </conditionalFormatting>
  <conditionalFormatting sqref="C1541:F1542">
    <cfRule type="notContainsBlanks" dxfId="1759" priority="1036">
      <formula>LEN(TRIM(C1541))&gt;0</formula>
    </cfRule>
  </conditionalFormatting>
  <conditionalFormatting sqref="C1546:F1547">
    <cfRule type="notContainsBlanks" dxfId="1758" priority="1041">
      <formula>LEN(TRIM(C1546))&gt;0</formula>
    </cfRule>
  </conditionalFormatting>
  <conditionalFormatting sqref="C1551:F1554">
    <cfRule type="notContainsBlanks" dxfId="1757" priority="1046">
      <formula>LEN(TRIM(C1551))&gt;0</formula>
    </cfRule>
  </conditionalFormatting>
  <conditionalFormatting sqref="C1636:F1637">
    <cfRule type="notContainsBlanks" dxfId="1756" priority="1086">
      <formula>LEN(TRIM(C1636))&gt;0</formula>
    </cfRule>
  </conditionalFormatting>
  <conditionalFormatting sqref="C1645:F1646">
    <cfRule type="notContainsBlanks" dxfId="1755" priority="1096">
      <formula>LEN(TRIM(C1645))&gt;0</formula>
    </cfRule>
  </conditionalFormatting>
  <conditionalFormatting sqref="C1650:F1651">
    <cfRule type="notContainsBlanks" dxfId="1754" priority="1101">
      <formula>LEN(TRIM(C1650))&gt;0</formula>
    </cfRule>
  </conditionalFormatting>
  <conditionalFormatting sqref="C1655:F1656">
    <cfRule type="notContainsBlanks" dxfId="1753" priority="1106">
      <formula>LEN(TRIM(C1655))&gt;0</formula>
    </cfRule>
  </conditionalFormatting>
  <conditionalFormatting sqref="C1660:F1661">
    <cfRule type="notContainsBlanks" dxfId="1752" priority="1111">
      <formula>LEN(TRIM(C1660))&gt;0</formula>
    </cfRule>
  </conditionalFormatting>
  <conditionalFormatting sqref="C1665:F1666">
    <cfRule type="notContainsBlanks" dxfId="1751" priority="1116">
      <formula>LEN(TRIM(C1665))&gt;0</formula>
    </cfRule>
  </conditionalFormatting>
  <conditionalFormatting sqref="C1670:F1671">
    <cfRule type="notContainsBlanks" dxfId="1750" priority="1121">
      <formula>LEN(TRIM(C1670))&gt;0</formula>
    </cfRule>
  </conditionalFormatting>
  <conditionalFormatting sqref="C1675:F1676">
    <cfRule type="notContainsBlanks" dxfId="1749" priority="1126">
      <formula>LEN(TRIM(C1675))&gt;0</formula>
    </cfRule>
  </conditionalFormatting>
  <conditionalFormatting sqref="C1680:F1681">
    <cfRule type="notContainsBlanks" dxfId="1748" priority="1131">
      <formula>LEN(TRIM(C1680))&gt;0</formula>
    </cfRule>
  </conditionalFormatting>
  <conditionalFormatting sqref="C1685:F1685">
    <cfRule type="notContainsBlanks" dxfId="1747" priority="1136">
      <formula>LEN(TRIM(C1685))&gt;0</formula>
    </cfRule>
  </conditionalFormatting>
  <conditionalFormatting sqref="C1689:F1690">
    <cfRule type="notContainsBlanks" dxfId="1746" priority="1141">
      <formula>LEN(TRIM(C1689))&gt;0</formula>
    </cfRule>
  </conditionalFormatting>
  <conditionalFormatting sqref="C1694:F1695">
    <cfRule type="notContainsBlanks" dxfId="1745" priority="1146">
      <formula>LEN(TRIM(C1694))&gt;0</formula>
    </cfRule>
  </conditionalFormatting>
  <conditionalFormatting sqref="C1699:F1702">
    <cfRule type="notContainsBlanks" dxfId="1744" priority="1151">
      <formula>LEN(TRIM(C1699))&gt;0</formula>
    </cfRule>
  </conditionalFormatting>
  <conditionalFormatting sqref="C1796:F1797">
    <cfRule type="notContainsBlanks" dxfId="1743" priority="1197">
      <formula>LEN(TRIM(C1796))&gt;0</formula>
    </cfRule>
  </conditionalFormatting>
  <conditionalFormatting sqref="C1805:F1806">
    <cfRule type="notContainsBlanks" dxfId="1742" priority="1207">
      <formula>LEN(TRIM(C1805))&gt;0</formula>
    </cfRule>
  </conditionalFormatting>
  <conditionalFormatting sqref="C1810:F1811">
    <cfRule type="notContainsBlanks" dxfId="1741" priority="1212">
      <formula>LEN(TRIM(C1810))&gt;0</formula>
    </cfRule>
  </conditionalFormatting>
  <conditionalFormatting sqref="C1815:F1816">
    <cfRule type="notContainsBlanks" dxfId="1740" priority="1217">
      <formula>LEN(TRIM(C1815))&gt;0</formula>
    </cfRule>
  </conditionalFormatting>
  <conditionalFormatting sqref="C1820:F1821">
    <cfRule type="notContainsBlanks" dxfId="1739" priority="1222">
      <formula>LEN(TRIM(C1820))&gt;0</formula>
    </cfRule>
  </conditionalFormatting>
  <conditionalFormatting sqref="C1825:F1826">
    <cfRule type="notContainsBlanks" dxfId="1738" priority="1227">
      <formula>LEN(TRIM(C1825))&gt;0</formula>
    </cfRule>
  </conditionalFormatting>
  <conditionalFormatting sqref="C1830:F1831">
    <cfRule type="notContainsBlanks" dxfId="1737" priority="1232">
      <formula>LEN(TRIM(C1830))&gt;0</formula>
    </cfRule>
  </conditionalFormatting>
  <conditionalFormatting sqref="C1835:F1836">
    <cfRule type="notContainsBlanks" dxfId="1736" priority="1237">
      <formula>LEN(TRIM(C1835))&gt;0</formula>
    </cfRule>
  </conditionalFormatting>
  <conditionalFormatting sqref="C1840:F1841">
    <cfRule type="notContainsBlanks" dxfId="1735" priority="1242">
      <formula>LEN(TRIM(C1840))&gt;0</formula>
    </cfRule>
  </conditionalFormatting>
  <conditionalFormatting sqref="C1845:F1845">
    <cfRule type="notContainsBlanks" dxfId="1734" priority="1247">
      <formula>LEN(TRIM(C1845))&gt;0</formula>
    </cfRule>
  </conditionalFormatting>
  <conditionalFormatting sqref="C1849:F1850">
    <cfRule type="notContainsBlanks" dxfId="1733" priority="1252">
      <formula>LEN(TRIM(C1849))&gt;0</formula>
    </cfRule>
  </conditionalFormatting>
  <conditionalFormatting sqref="C1854:F1855">
    <cfRule type="notContainsBlanks" dxfId="1732" priority="1257">
      <formula>LEN(TRIM(C1854))&gt;0</formula>
    </cfRule>
  </conditionalFormatting>
  <conditionalFormatting sqref="C1859:F1862">
    <cfRule type="notContainsBlanks" dxfId="1731" priority="1262">
      <formula>LEN(TRIM(C1859))&gt;0</formula>
    </cfRule>
  </conditionalFormatting>
  <conditionalFormatting sqref="C1870:F1871">
    <cfRule type="notContainsBlanks" dxfId="1730" priority="1272">
      <formula>LEN(TRIM(C1870))&gt;0</formula>
    </cfRule>
  </conditionalFormatting>
  <conditionalFormatting sqref="C1879:F1880">
    <cfRule type="notContainsBlanks" dxfId="1729" priority="1282">
      <formula>LEN(TRIM(C1879))&gt;0</formula>
    </cfRule>
  </conditionalFormatting>
  <conditionalFormatting sqref="C1884:F1885">
    <cfRule type="notContainsBlanks" dxfId="1728" priority="1287">
      <formula>LEN(TRIM(C1884))&gt;0</formula>
    </cfRule>
  </conditionalFormatting>
  <conditionalFormatting sqref="C1889:F1890">
    <cfRule type="notContainsBlanks" dxfId="1727" priority="1292">
      <formula>LEN(TRIM(C1889))&gt;0</formula>
    </cfRule>
  </conditionalFormatting>
  <conditionalFormatting sqref="C1894:F1895">
    <cfRule type="notContainsBlanks" dxfId="1726" priority="1297">
      <formula>LEN(TRIM(C1894))&gt;0</formula>
    </cfRule>
  </conditionalFormatting>
  <conditionalFormatting sqref="C1899:F1900">
    <cfRule type="notContainsBlanks" dxfId="1725" priority="1302">
      <formula>LEN(TRIM(C1899))&gt;0</formula>
    </cfRule>
  </conditionalFormatting>
  <conditionalFormatting sqref="C1904:F1905">
    <cfRule type="notContainsBlanks" dxfId="1724" priority="1307">
      <formula>LEN(TRIM(C1904))&gt;0</formula>
    </cfRule>
  </conditionalFormatting>
  <conditionalFormatting sqref="C1909:F1910">
    <cfRule type="notContainsBlanks" dxfId="1723" priority="1312">
      <formula>LEN(TRIM(C1909))&gt;0</formula>
    </cfRule>
  </conditionalFormatting>
  <conditionalFormatting sqref="C1914:F1915">
    <cfRule type="notContainsBlanks" dxfId="1722" priority="1317">
      <formula>LEN(TRIM(C1914))&gt;0</formula>
    </cfRule>
  </conditionalFormatting>
  <conditionalFormatting sqref="C1919:F1919">
    <cfRule type="notContainsBlanks" dxfId="1721" priority="1322">
      <formula>LEN(TRIM(C1919))&gt;0</formula>
    </cfRule>
  </conditionalFormatting>
  <conditionalFormatting sqref="C1923:F1924">
    <cfRule type="notContainsBlanks" dxfId="1720" priority="1327">
      <formula>LEN(TRIM(C1923))&gt;0</formula>
    </cfRule>
  </conditionalFormatting>
  <conditionalFormatting sqref="C1928:F1929">
    <cfRule type="notContainsBlanks" dxfId="1719" priority="1332">
      <formula>LEN(TRIM(C1928))&gt;0</formula>
    </cfRule>
  </conditionalFormatting>
  <conditionalFormatting sqref="C1933:F1936">
    <cfRule type="notContainsBlanks" dxfId="1718" priority="1337">
      <formula>LEN(TRIM(C1933))&gt;0</formula>
    </cfRule>
  </conditionalFormatting>
  <conditionalFormatting sqref="C2018:F2019">
    <cfRule type="notContainsBlanks" dxfId="1717" priority="1377">
      <formula>LEN(TRIM(C2018))&gt;0</formula>
    </cfRule>
  </conditionalFormatting>
  <conditionalFormatting sqref="C2027:F2028">
    <cfRule type="notContainsBlanks" dxfId="1716" priority="1387">
      <formula>LEN(TRIM(C2027))&gt;0</formula>
    </cfRule>
  </conditionalFormatting>
  <conditionalFormatting sqref="C2032:F2033">
    <cfRule type="notContainsBlanks" dxfId="1715" priority="1392">
      <formula>LEN(TRIM(C2032))&gt;0</formula>
    </cfRule>
  </conditionalFormatting>
  <conditionalFormatting sqref="C2037:F2038">
    <cfRule type="notContainsBlanks" dxfId="1714" priority="1397">
      <formula>LEN(TRIM(C2037))&gt;0</formula>
    </cfRule>
  </conditionalFormatting>
  <conditionalFormatting sqref="C2042:F2043">
    <cfRule type="notContainsBlanks" dxfId="1713" priority="1402">
      <formula>LEN(TRIM(C2042))&gt;0</formula>
    </cfRule>
  </conditionalFormatting>
  <conditionalFormatting sqref="C2047:F2048">
    <cfRule type="notContainsBlanks" dxfId="1712" priority="1407">
      <formula>LEN(TRIM(C2047))&gt;0</formula>
    </cfRule>
  </conditionalFormatting>
  <conditionalFormatting sqref="C2052:F2053">
    <cfRule type="notContainsBlanks" dxfId="1711" priority="1412">
      <formula>LEN(TRIM(C2052))&gt;0</formula>
    </cfRule>
  </conditionalFormatting>
  <conditionalFormatting sqref="C2057:F2058">
    <cfRule type="notContainsBlanks" dxfId="1710" priority="1417">
      <formula>LEN(TRIM(C2057))&gt;0</formula>
    </cfRule>
  </conditionalFormatting>
  <conditionalFormatting sqref="C2062:F2063">
    <cfRule type="notContainsBlanks" dxfId="1709" priority="1422">
      <formula>LEN(TRIM(C2062))&gt;0</formula>
    </cfRule>
  </conditionalFormatting>
  <conditionalFormatting sqref="C2067:F2067">
    <cfRule type="notContainsBlanks" dxfId="1708" priority="1427">
      <formula>LEN(TRIM(C2067))&gt;0</formula>
    </cfRule>
  </conditionalFormatting>
  <conditionalFormatting sqref="C2071:F2072">
    <cfRule type="notContainsBlanks" dxfId="1707" priority="1432">
      <formula>LEN(TRIM(C2071))&gt;0</formula>
    </cfRule>
  </conditionalFormatting>
  <conditionalFormatting sqref="C2076:F2077">
    <cfRule type="notContainsBlanks" dxfId="1706" priority="1437">
      <formula>LEN(TRIM(C2076))&gt;0</formula>
    </cfRule>
  </conditionalFormatting>
  <conditionalFormatting sqref="C2081:F2084">
    <cfRule type="notContainsBlanks" dxfId="1705" priority="1442">
      <formula>LEN(TRIM(C2081))&gt;0</formula>
    </cfRule>
  </conditionalFormatting>
  <conditionalFormatting sqref="C4872:F4873">
    <cfRule type="notContainsBlanks" dxfId="1704" priority="2652">
      <formula>LEN(TRIM(C4872))&gt;0</formula>
    </cfRule>
  </conditionalFormatting>
  <conditionalFormatting sqref="C4881:F4881">
    <cfRule type="notContainsBlanks" dxfId="1703" priority="2662">
      <formula>LEN(TRIM(C4881))&gt;0</formula>
    </cfRule>
  </conditionalFormatting>
  <conditionalFormatting sqref="C4885:F4885">
    <cfRule type="notContainsBlanks" dxfId="1702" priority="2667">
      <formula>LEN(TRIM(C4885))&gt;0</formula>
    </cfRule>
  </conditionalFormatting>
  <conditionalFormatting sqref="C4889:F4890">
    <cfRule type="notContainsBlanks" dxfId="1701" priority="2672">
      <formula>LEN(TRIM(C4889))&gt;0</formula>
    </cfRule>
  </conditionalFormatting>
  <conditionalFormatting sqref="C4894:F4895">
    <cfRule type="notContainsBlanks" dxfId="1700" priority="2677">
      <formula>LEN(TRIM(C4894))&gt;0</formula>
    </cfRule>
  </conditionalFormatting>
  <conditionalFormatting sqref="C4899:F4900">
    <cfRule type="notContainsBlanks" dxfId="1699" priority="2682">
      <formula>LEN(TRIM(C4899))&gt;0</formula>
    </cfRule>
  </conditionalFormatting>
  <conditionalFormatting sqref="C4904:F4905">
    <cfRule type="notContainsBlanks" dxfId="1698" priority="2687">
      <formula>LEN(TRIM(C4904))&gt;0</formula>
    </cfRule>
  </conditionalFormatting>
  <conditionalFormatting sqref="C4909:F4910">
    <cfRule type="notContainsBlanks" dxfId="1697" priority="2692">
      <formula>LEN(TRIM(C4909))&gt;0</formula>
    </cfRule>
  </conditionalFormatting>
  <conditionalFormatting sqref="C4914:F4915">
    <cfRule type="notContainsBlanks" dxfId="1696" priority="2697">
      <formula>LEN(TRIM(C4914))&gt;0</formula>
    </cfRule>
  </conditionalFormatting>
  <conditionalFormatting sqref="C4919:F4919">
    <cfRule type="notContainsBlanks" dxfId="1695" priority="2702">
      <formula>LEN(TRIM(C4919))&gt;0</formula>
    </cfRule>
  </conditionalFormatting>
  <conditionalFormatting sqref="C4923:F4924">
    <cfRule type="notContainsBlanks" dxfId="1694" priority="2707">
      <formula>LEN(TRIM(C4923))&gt;0</formula>
    </cfRule>
  </conditionalFormatting>
  <conditionalFormatting sqref="C4928:F4929">
    <cfRule type="notContainsBlanks" dxfId="1693" priority="2712">
      <formula>LEN(TRIM(C4928))&gt;0</formula>
    </cfRule>
  </conditionalFormatting>
  <conditionalFormatting sqref="C4933:F4936">
    <cfRule type="notContainsBlanks" dxfId="1692" priority="2717">
      <formula>LEN(TRIM(C4933))&gt;0</formula>
    </cfRule>
  </conditionalFormatting>
  <conditionalFormatting sqref="C4944:F4945">
    <cfRule type="notContainsBlanks" dxfId="1691" priority="2727">
      <formula>LEN(TRIM(C4944))&gt;0</formula>
    </cfRule>
  </conditionalFormatting>
  <conditionalFormatting sqref="C4953:F4954">
    <cfRule type="notContainsBlanks" dxfId="1690" priority="2737">
      <formula>LEN(TRIM(C4953))&gt;0</formula>
    </cfRule>
  </conditionalFormatting>
  <conditionalFormatting sqref="C4958:F4958">
    <cfRule type="notContainsBlanks" dxfId="1689" priority="2742">
      <formula>LEN(TRIM(C4958))&gt;0</formula>
    </cfRule>
  </conditionalFormatting>
  <conditionalFormatting sqref="C4962:F4963">
    <cfRule type="notContainsBlanks" dxfId="1688" priority="2747">
      <formula>LEN(TRIM(C4962))&gt;0</formula>
    </cfRule>
  </conditionalFormatting>
  <conditionalFormatting sqref="C4967:F4968">
    <cfRule type="notContainsBlanks" dxfId="1687" priority="2752">
      <formula>LEN(TRIM(C4967))&gt;0</formula>
    </cfRule>
  </conditionalFormatting>
  <conditionalFormatting sqref="C4972:F4973">
    <cfRule type="notContainsBlanks" dxfId="1686" priority="2757">
      <formula>LEN(TRIM(C4972))&gt;0</formula>
    </cfRule>
  </conditionalFormatting>
  <conditionalFormatting sqref="C4977:F4978">
    <cfRule type="notContainsBlanks" dxfId="1685" priority="2762">
      <formula>LEN(TRIM(C4977))&gt;0</formula>
    </cfRule>
  </conditionalFormatting>
  <conditionalFormatting sqref="C4982:F4983">
    <cfRule type="notContainsBlanks" dxfId="1684" priority="2767">
      <formula>LEN(TRIM(C4982))&gt;0</formula>
    </cfRule>
  </conditionalFormatting>
  <conditionalFormatting sqref="C4987:F4988">
    <cfRule type="notContainsBlanks" dxfId="1683" priority="2772">
      <formula>LEN(TRIM(C4987))&gt;0</formula>
    </cfRule>
  </conditionalFormatting>
  <conditionalFormatting sqref="C4992:F4992">
    <cfRule type="notContainsBlanks" dxfId="1682" priority="2777">
      <formula>LEN(TRIM(C4992))&gt;0</formula>
    </cfRule>
  </conditionalFormatting>
  <conditionalFormatting sqref="C4996:F4997">
    <cfRule type="notContainsBlanks" dxfId="1681" priority="2782">
      <formula>LEN(TRIM(C4996))&gt;0</formula>
    </cfRule>
  </conditionalFormatting>
  <conditionalFormatting sqref="C5001:F5002">
    <cfRule type="notContainsBlanks" dxfId="1680" priority="2787">
      <formula>LEN(TRIM(C5001))&gt;0</formula>
    </cfRule>
  </conditionalFormatting>
  <conditionalFormatting sqref="C5006:F5009">
    <cfRule type="notContainsBlanks" dxfId="1679" priority="2792">
      <formula>LEN(TRIM(C5006))&gt;0</formula>
    </cfRule>
  </conditionalFormatting>
  <conditionalFormatting sqref="C5017:F5017">
    <cfRule type="notContainsBlanks" dxfId="1678" priority="2802">
      <formula>LEN(TRIM(C5017))&gt;0</formula>
    </cfRule>
  </conditionalFormatting>
  <conditionalFormatting sqref="C5025:F5025">
    <cfRule type="notContainsBlanks" dxfId="1677" priority="2812">
      <formula>LEN(TRIM(C5025))&gt;0</formula>
    </cfRule>
  </conditionalFormatting>
  <conditionalFormatting sqref="C5029:F5029">
    <cfRule type="notContainsBlanks" dxfId="1676" priority="2817">
      <formula>LEN(TRIM(C5029))&gt;0</formula>
    </cfRule>
  </conditionalFormatting>
  <conditionalFormatting sqref="C5033:F5034">
    <cfRule type="notContainsBlanks" dxfId="1675" priority="2822">
      <formula>LEN(TRIM(C5033))&gt;0</formula>
    </cfRule>
  </conditionalFormatting>
  <conditionalFormatting sqref="C5038:F5039">
    <cfRule type="notContainsBlanks" dxfId="1674" priority="2827">
      <formula>LEN(TRIM(C5038))&gt;0</formula>
    </cfRule>
  </conditionalFormatting>
  <conditionalFormatting sqref="C5043:F5044">
    <cfRule type="notContainsBlanks" dxfId="1673" priority="2832">
      <formula>LEN(TRIM(C5043))&gt;0</formula>
    </cfRule>
  </conditionalFormatting>
  <conditionalFormatting sqref="C5048:F5049">
    <cfRule type="notContainsBlanks" dxfId="1672" priority="2837">
      <formula>LEN(TRIM(C5048))&gt;0</formula>
    </cfRule>
  </conditionalFormatting>
  <conditionalFormatting sqref="C5053:F5054">
    <cfRule type="notContainsBlanks" dxfId="1671" priority="2842">
      <formula>LEN(TRIM(C5053))&gt;0</formula>
    </cfRule>
  </conditionalFormatting>
  <conditionalFormatting sqref="C5058:F5059">
    <cfRule type="notContainsBlanks" dxfId="1670" priority="2847">
      <formula>LEN(TRIM(C5058))&gt;0</formula>
    </cfRule>
  </conditionalFormatting>
  <conditionalFormatting sqref="C5063:F5063">
    <cfRule type="notContainsBlanks" dxfId="1669" priority="2852">
      <formula>LEN(TRIM(C5063))&gt;0</formula>
    </cfRule>
  </conditionalFormatting>
  <conditionalFormatting sqref="C5067:F5068">
    <cfRule type="notContainsBlanks" dxfId="1668" priority="2857">
      <formula>LEN(TRIM(C5067))&gt;0</formula>
    </cfRule>
  </conditionalFormatting>
  <conditionalFormatting sqref="C5072:F5073">
    <cfRule type="notContainsBlanks" dxfId="1667" priority="2862">
      <formula>LEN(TRIM(C5072))&gt;0</formula>
    </cfRule>
  </conditionalFormatting>
  <conditionalFormatting sqref="C5077:F5080">
    <cfRule type="notContainsBlanks" dxfId="1666" priority="2867">
      <formula>LEN(TRIM(C5077))&gt;0</formula>
    </cfRule>
  </conditionalFormatting>
  <conditionalFormatting sqref="C5088:F5089">
    <cfRule type="notContainsBlanks" dxfId="1665" priority="2877">
      <formula>LEN(TRIM(C5088))&gt;0</formula>
    </cfRule>
  </conditionalFormatting>
  <conditionalFormatting sqref="C5097:F5097">
    <cfRule type="notContainsBlanks" dxfId="1664" priority="2887">
      <formula>LEN(TRIM(C5097))&gt;0</formula>
    </cfRule>
  </conditionalFormatting>
  <conditionalFormatting sqref="C5101:F5101">
    <cfRule type="notContainsBlanks" dxfId="1663" priority="2892">
      <formula>LEN(TRIM(C5101))&gt;0</formula>
    </cfRule>
  </conditionalFormatting>
  <conditionalFormatting sqref="C5105:F5106">
    <cfRule type="notContainsBlanks" dxfId="1662" priority="2897">
      <formula>LEN(TRIM(C5105))&gt;0</formula>
    </cfRule>
  </conditionalFormatting>
  <conditionalFormatting sqref="C5110:F5111">
    <cfRule type="notContainsBlanks" dxfId="1661" priority="2902">
      <formula>LEN(TRIM(C5110))&gt;0</formula>
    </cfRule>
  </conditionalFormatting>
  <conditionalFormatting sqref="C5115:F5116">
    <cfRule type="notContainsBlanks" dxfId="1660" priority="2907">
      <formula>LEN(TRIM(C5115))&gt;0</formula>
    </cfRule>
  </conditionalFormatting>
  <conditionalFormatting sqref="C5120:F5121">
    <cfRule type="notContainsBlanks" dxfId="1659" priority="2912">
      <formula>LEN(TRIM(C5120))&gt;0</formula>
    </cfRule>
  </conditionalFormatting>
  <conditionalFormatting sqref="C5125:F5126">
    <cfRule type="notContainsBlanks" dxfId="1658" priority="2917">
      <formula>LEN(TRIM(C5125))&gt;0</formula>
    </cfRule>
  </conditionalFormatting>
  <conditionalFormatting sqref="C5130:F5131">
    <cfRule type="notContainsBlanks" dxfId="1657" priority="2922">
      <formula>LEN(TRIM(C5130))&gt;0</formula>
    </cfRule>
  </conditionalFormatting>
  <conditionalFormatting sqref="C5135:F5135">
    <cfRule type="notContainsBlanks" dxfId="1656" priority="2927">
      <formula>LEN(TRIM(C5135))&gt;0</formula>
    </cfRule>
  </conditionalFormatting>
  <conditionalFormatting sqref="C5139:F5140">
    <cfRule type="notContainsBlanks" dxfId="1655" priority="2932">
      <formula>LEN(TRIM(C5139))&gt;0</formula>
    </cfRule>
  </conditionalFormatting>
  <conditionalFormatting sqref="C5144:F5145">
    <cfRule type="notContainsBlanks" dxfId="1654" priority="2937">
      <formula>LEN(TRIM(C5144))&gt;0</formula>
    </cfRule>
  </conditionalFormatting>
  <conditionalFormatting sqref="C5149:F5152">
    <cfRule type="notContainsBlanks" dxfId="1653" priority="2942">
      <formula>LEN(TRIM(C5149))&gt;0</formula>
    </cfRule>
  </conditionalFormatting>
  <conditionalFormatting sqref="C5160:F5160">
    <cfRule type="notContainsBlanks" dxfId="1652" priority="2952">
      <formula>LEN(TRIM(C5160))&gt;0</formula>
    </cfRule>
  </conditionalFormatting>
  <conditionalFormatting sqref="C5168:F5169">
    <cfRule type="notContainsBlanks" dxfId="1651" priority="2962">
      <formula>LEN(TRIM(C5168))&gt;0</formula>
    </cfRule>
  </conditionalFormatting>
  <conditionalFormatting sqref="C5173:F5173">
    <cfRule type="notContainsBlanks" dxfId="1650" priority="2967">
      <formula>LEN(TRIM(C5173))&gt;0</formula>
    </cfRule>
  </conditionalFormatting>
  <conditionalFormatting sqref="C5177:F5178">
    <cfRule type="notContainsBlanks" dxfId="1649" priority="2972">
      <formula>LEN(TRIM(C5177))&gt;0</formula>
    </cfRule>
  </conditionalFormatting>
  <conditionalFormatting sqref="C5182:F5182">
    <cfRule type="notContainsBlanks" dxfId="1648" priority="2977">
      <formula>LEN(TRIM(C5182))&gt;0</formula>
    </cfRule>
  </conditionalFormatting>
  <conditionalFormatting sqref="C5186:F5187">
    <cfRule type="notContainsBlanks" dxfId="1647" priority="2982">
      <formula>LEN(TRIM(C5186))&gt;0</formula>
    </cfRule>
  </conditionalFormatting>
  <conditionalFormatting sqref="C5191:F5192">
    <cfRule type="notContainsBlanks" dxfId="1646" priority="2987">
      <formula>LEN(TRIM(C5191))&gt;0</formula>
    </cfRule>
  </conditionalFormatting>
  <conditionalFormatting sqref="C5196:F5197">
    <cfRule type="notContainsBlanks" dxfId="1645" priority="2992">
      <formula>LEN(TRIM(C5196))&gt;0</formula>
    </cfRule>
  </conditionalFormatting>
  <conditionalFormatting sqref="C5201:F5202">
    <cfRule type="notContainsBlanks" dxfId="1644" priority="2997">
      <formula>LEN(TRIM(C5201))&gt;0</formula>
    </cfRule>
  </conditionalFormatting>
  <conditionalFormatting sqref="C5206:F5206">
    <cfRule type="notContainsBlanks" dxfId="1643" priority="3002">
      <formula>LEN(TRIM(C5206))&gt;0</formula>
    </cfRule>
  </conditionalFormatting>
  <conditionalFormatting sqref="C5210:F5211">
    <cfRule type="notContainsBlanks" dxfId="1642" priority="3007">
      <formula>LEN(TRIM(C5210))&gt;0</formula>
    </cfRule>
  </conditionalFormatting>
  <conditionalFormatting sqref="C5215:F5216">
    <cfRule type="notContainsBlanks" dxfId="1641" priority="3012">
      <formula>LEN(TRIM(C5215))&gt;0</formula>
    </cfRule>
  </conditionalFormatting>
  <conditionalFormatting sqref="C5220:F5223">
    <cfRule type="notContainsBlanks" dxfId="1640" priority="3017">
      <formula>LEN(TRIM(C5220))&gt;0</formula>
    </cfRule>
  </conditionalFormatting>
  <conditionalFormatting sqref="C5231:F5232">
    <cfRule type="notContainsBlanks" dxfId="1639" priority="3027">
      <formula>LEN(TRIM(C5231))&gt;0</formula>
    </cfRule>
  </conditionalFormatting>
  <conditionalFormatting sqref="C5240:F5241">
    <cfRule type="notContainsBlanks" dxfId="1638" priority="3037">
      <formula>LEN(TRIM(C5240))&gt;0</formula>
    </cfRule>
  </conditionalFormatting>
  <conditionalFormatting sqref="C5245:F5245">
    <cfRule type="notContainsBlanks" dxfId="1637" priority="3042">
      <formula>LEN(TRIM(C5245))&gt;0</formula>
    </cfRule>
  </conditionalFormatting>
  <conditionalFormatting sqref="C5249:F5250">
    <cfRule type="notContainsBlanks" dxfId="1636" priority="3047">
      <formula>LEN(TRIM(C5249))&gt;0</formula>
    </cfRule>
  </conditionalFormatting>
  <conditionalFormatting sqref="C5254:F5255">
    <cfRule type="notContainsBlanks" dxfId="1635" priority="3052">
      <formula>LEN(TRIM(C5254))&gt;0</formula>
    </cfRule>
  </conditionalFormatting>
  <conditionalFormatting sqref="C5259:F5260">
    <cfRule type="notContainsBlanks" dxfId="1634" priority="3057">
      <formula>LEN(TRIM(C5259))&gt;0</formula>
    </cfRule>
  </conditionalFormatting>
  <conditionalFormatting sqref="C5264:F5265">
    <cfRule type="notContainsBlanks" dxfId="1633" priority="3062">
      <formula>LEN(TRIM(C5264))&gt;0</formula>
    </cfRule>
  </conditionalFormatting>
  <conditionalFormatting sqref="C5269:F5270">
    <cfRule type="notContainsBlanks" dxfId="1632" priority="3067">
      <formula>LEN(TRIM(C5269))&gt;0</formula>
    </cfRule>
  </conditionalFormatting>
  <conditionalFormatting sqref="C5274:F5275">
    <cfRule type="notContainsBlanks" dxfId="1631" priority="3072">
      <formula>LEN(TRIM(C5274))&gt;0</formula>
    </cfRule>
  </conditionalFormatting>
  <conditionalFormatting sqref="C5279:F5279">
    <cfRule type="notContainsBlanks" dxfId="1630" priority="3077">
      <formula>LEN(TRIM(C5279))&gt;0</formula>
    </cfRule>
  </conditionalFormatting>
  <conditionalFormatting sqref="C5283:F5284">
    <cfRule type="notContainsBlanks" dxfId="1629" priority="3082">
      <formula>LEN(TRIM(C5283))&gt;0</formula>
    </cfRule>
  </conditionalFormatting>
  <conditionalFormatting sqref="C5288:F5289">
    <cfRule type="notContainsBlanks" dxfId="1628" priority="3087">
      <formula>LEN(TRIM(C5288))&gt;0</formula>
    </cfRule>
  </conditionalFormatting>
  <conditionalFormatting sqref="C5293:F5296">
    <cfRule type="notContainsBlanks" dxfId="1627" priority="3092">
      <formula>LEN(TRIM(C5293))&gt;0</formula>
    </cfRule>
  </conditionalFormatting>
  <conditionalFormatting sqref="C5304:F5305">
    <cfRule type="notContainsBlanks" dxfId="1626" priority="3102">
      <formula>LEN(TRIM(C5304))&gt;0</formula>
    </cfRule>
  </conditionalFormatting>
  <conditionalFormatting sqref="C5313:F5314">
    <cfRule type="notContainsBlanks" dxfId="1625" priority="3112">
      <formula>LEN(TRIM(C5313))&gt;0</formula>
    </cfRule>
  </conditionalFormatting>
  <conditionalFormatting sqref="C5318:F5319">
    <cfRule type="notContainsBlanks" dxfId="1624" priority="3117">
      <formula>LEN(TRIM(C5318))&gt;0</formula>
    </cfRule>
  </conditionalFormatting>
  <conditionalFormatting sqref="C5323:F5324">
    <cfRule type="notContainsBlanks" dxfId="1623" priority="3122">
      <formula>LEN(TRIM(C5323))&gt;0</formula>
    </cfRule>
  </conditionalFormatting>
  <conditionalFormatting sqref="C5328:F5329">
    <cfRule type="notContainsBlanks" dxfId="1622" priority="3127">
      <formula>LEN(TRIM(C5328))&gt;0</formula>
    </cfRule>
  </conditionalFormatting>
  <conditionalFormatting sqref="C5333:F5334">
    <cfRule type="notContainsBlanks" dxfId="1621" priority="3132">
      <formula>LEN(TRIM(C5333))&gt;0</formula>
    </cfRule>
  </conditionalFormatting>
  <conditionalFormatting sqref="C5338:F5339">
    <cfRule type="notContainsBlanks" dxfId="1620" priority="3137">
      <formula>LEN(TRIM(C5338))&gt;0</formula>
    </cfRule>
  </conditionalFormatting>
  <conditionalFormatting sqref="C5343:F5344">
    <cfRule type="notContainsBlanks" dxfId="1619" priority="3142">
      <formula>LEN(TRIM(C5343))&gt;0</formula>
    </cfRule>
  </conditionalFormatting>
  <conditionalFormatting sqref="C5348:F5349">
    <cfRule type="notContainsBlanks" dxfId="1618" priority="3147">
      <formula>LEN(TRIM(C5348))&gt;0</formula>
    </cfRule>
  </conditionalFormatting>
  <conditionalFormatting sqref="C5353:F5353">
    <cfRule type="notContainsBlanks" dxfId="1617" priority="3152">
      <formula>LEN(TRIM(C5353))&gt;0</formula>
    </cfRule>
  </conditionalFormatting>
  <conditionalFormatting sqref="C5357:F5358">
    <cfRule type="notContainsBlanks" dxfId="1616" priority="3157">
      <formula>LEN(TRIM(C5357))&gt;0</formula>
    </cfRule>
  </conditionalFormatting>
  <conditionalFormatting sqref="C5362:F5363">
    <cfRule type="notContainsBlanks" dxfId="1615" priority="3162">
      <formula>LEN(TRIM(C5362))&gt;0</formula>
    </cfRule>
  </conditionalFormatting>
  <conditionalFormatting sqref="C5367:F5370">
    <cfRule type="notContainsBlanks" dxfId="1614" priority="3167">
      <formula>LEN(TRIM(C5367))&gt;0</formula>
    </cfRule>
  </conditionalFormatting>
  <conditionalFormatting sqref="C5378:F5378">
    <cfRule type="notContainsBlanks" dxfId="1613" priority="3177">
      <formula>LEN(TRIM(C5378))&gt;0</formula>
    </cfRule>
  </conditionalFormatting>
  <conditionalFormatting sqref="C5386:F5386">
    <cfRule type="notContainsBlanks" dxfId="1612" priority="3187">
      <formula>LEN(TRIM(C5386))&gt;0</formula>
    </cfRule>
  </conditionalFormatting>
  <conditionalFormatting sqref="C5390:F5390">
    <cfRule type="notContainsBlanks" dxfId="1611" priority="3192">
      <formula>LEN(TRIM(C5390))&gt;0</formula>
    </cfRule>
  </conditionalFormatting>
  <conditionalFormatting sqref="C5394:F5394">
    <cfRule type="notContainsBlanks" dxfId="1610" priority="3197">
      <formula>LEN(TRIM(C5394))&gt;0</formula>
    </cfRule>
  </conditionalFormatting>
  <conditionalFormatting sqref="C5398:F5398">
    <cfRule type="notContainsBlanks" dxfId="1609" priority="3202">
      <formula>LEN(TRIM(C5398))&gt;0</formula>
    </cfRule>
  </conditionalFormatting>
  <conditionalFormatting sqref="C5402:F5402">
    <cfRule type="notContainsBlanks" dxfId="1608" priority="3207">
      <formula>LEN(TRIM(C5402))&gt;0</formula>
    </cfRule>
  </conditionalFormatting>
  <conditionalFormatting sqref="C5406:F5407">
    <cfRule type="notContainsBlanks" dxfId="1607" priority="3212">
      <formula>LEN(TRIM(C5406))&gt;0</formula>
    </cfRule>
  </conditionalFormatting>
  <conditionalFormatting sqref="C5411:F5411">
    <cfRule type="notContainsBlanks" dxfId="1606" priority="3217">
      <formula>LEN(TRIM(C5411))&gt;0</formula>
    </cfRule>
  </conditionalFormatting>
  <conditionalFormatting sqref="C5415:F5415">
    <cfRule type="notContainsBlanks" dxfId="1605" priority="3222">
      <formula>LEN(TRIM(C5415))&gt;0</formula>
    </cfRule>
  </conditionalFormatting>
  <conditionalFormatting sqref="C5419:F5419">
    <cfRule type="notContainsBlanks" dxfId="1604" priority="3227">
      <formula>LEN(TRIM(C5419))&gt;0</formula>
    </cfRule>
  </conditionalFormatting>
  <conditionalFormatting sqref="C5423:F5424">
    <cfRule type="notContainsBlanks" dxfId="1603" priority="3232">
      <formula>LEN(TRIM(C5423))&gt;0</formula>
    </cfRule>
  </conditionalFormatting>
  <conditionalFormatting sqref="C5428:F5428">
    <cfRule type="notContainsBlanks" dxfId="1602" priority="3237">
      <formula>LEN(TRIM(C5428))&gt;0</formula>
    </cfRule>
  </conditionalFormatting>
  <conditionalFormatting sqref="C5432:F5433">
    <cfRule type="notContainsBlanks" dxfId="1601" priority="3242">
      <formula>LEN(TRIM(C5432))&gt;0</formula>
    </cfRule>
  </conditionalFormatting>
  <conditionalFormatting sqref="C5441:F5442">
    <cfRule type="notContainsBlanks" dxfId="1600" priority="3252">
      <formula>LEN(TRIM(C5441))&gt;0</formula>
    </cfRule>
  </conditionalFormatting>
  <conditionalFormatting sqref="C5450:F5451">
    <cfRule type="notContainsBlanks" dxfId="1599" priority="3262">
      <formula>LEN(TRIM(C5450))&gt;0</formula>
    </cfRule>
  </conditionalFormatting>
  <conditionalFormatting sqref="C5455:F5456">
    <cfRule type="notContainsBlanks" dxfId="1598" priority="3267">
      <formula>LEN(TRIM(C5455))&gt;0</formula>
    </cfRule>
  </conditionalFormatting>
  <conditionalFormatting sqref="C5460:F5461">
    <cfRule type="notContainsBlanks" dxfId="1597" priority="3272">
      <formula>LEN(TRIM(C5460))&gt;0</formula>
    </cfRule>
  </conditionalFormatting>
  <conditionalFormatting sqref="C5465:F5466">
    <cfRule type="notContainsBlanks" dxfId="1596" priority="3277">
      <formula>LEN(TRIM(C5465))&gt;0</formula>
    </cfRule>
  </conditionalFormatting>
  <conditionalFormatting sqref="C5470:F5471">
    <cfRule type="notContainsBlanks" dxfId="1595" priority="3282">
      <formula>LEN(TRIM(C5470))&gt;0</formula>
    </cfRule>
  </conditionalFormatting>
  <conditionalFormatting sqref="C5475:F5476">
    <cfRule type="notContainsBlanks" dxfId="1594" priority="3287">
      <formula>LEN(TRIM(C5475))&gt;0</formula>
    </cfRule>
  </conditionalFormatting>
  <conditionalFormatting sqref="C5480:F5481">
    <cfRule type="notContainsBlanks" dxfId="1593" priority="3292">
      <formula>LEN(TRIM(C5480))&gt;0</formula>
    </cfRule>
  </conditionalFormatting>
  <conditionalFormatting sqref="C5485:F5486">
    <cfRule type="notContainsBlanks" dxfId="1592" priority="3297">
      <formula>LEN(TRIM(C5485))&gt;0</formula>
    </cfRule>
  </conditionalFormatting>
  <conditionalFormatting sqref="C5490:F5490">
    <cfRule type="notContainsBlanks" dxfId="1591" priority="3302">
      <formula>LEN(TRIM(C5490))&gt;0</formula>
    </cfRule>
  </conditionalFormatting>
  <conditionalFormatting sqref="C5494:F5495">
    <cfRule type="notContainsBlanks" dxfId="1590" priority="3307">
      <formula>LEN(TRIM(C5494))&gt;0</formula>
    </cfRule>
  </conditionalFormatting>
  <conditionalFormatting sqref="C5499:F5500">
    <cfRule type="notContainsBlanks" dxfId="1589" priority="3312">
      <formula>LEN(TRIM(C5499))&gt;0</formula>
    </cfRule>
  </conditionalFormatting>
  <conditionalFormatting sqref="C5504:F5507">
    <cfRule type="notContainsBlanks" dxfId="1588" priority="3317">
      <formula>LEN(TRIM(C5504))&gt;0</formula>
    </cfRule>
  </conditionalFormatting>
  <conditionalFormatting sqref="C5515:F5515">
    <cfRule type="notContainsBlanks" dxfId="1587" priority="3327">
      <formula>LEN(TRIM(C5515))&gt;0</formula>
    </cfRule>
  </conditionalFormatting>
  <conditionalFormatting sqref="C5523:F5523">
    <cfRule type="notContainsBlanks" dxfId="1586" priority="3337">
      <formula>LEN(TRIM(C5523))&gt;0</formula>
    </cfRule>
  </conditionalFormatting>
  <conditionalFormatting sqref="C5527:F5527">
    <cfRule type="notContainsBlanks" dxfId="1585" priority="3342">
      <formula>LEN(TRIM(C5527))&gt;0</formula>
    </cfRule>
  </conditionalFormatting>
  <conditionalFormatting sqref="C5531:F5531">
    <cfRule type="notContainsBlanks" dxfId="1584" priority="3347">
      <formula>LEN(TRIM(C5531))&gt;0</formula>
    </cfRule>
  </conditionalFormatting>
  <conditionalFormatting sqref="C5535:F5535">
    <cfRule type="notContainsBlanks" dxfId="1583" priority="3352">
      <formula>LEN(TRIM(C5535))&gt;0</formula>
    </cfRule>
  </conditionalFormatting>
  <conditionalFormatting sqref="C5539:F5540">
    <cfRule type="notContainsBlanks" dxfId="1582" priority="3357">
      <formula>LEN(TRIM(C5539))&gt;0</formula>
    </cfRule>
  </conditionalFormatting>
  <conditionalFormatting sqref="C5544:F5545">
    <cfRule type="notContainsBlanks" dxfId="1581" priority="3362">
      <formula>LEN(TRIM(C5544))&gt;0</formula>
    </cfRule>
  </conditionalFormatting>
  <conditionalFormatting sqref="C5549:F5550">
    <cfRule type="notContainsBlanks" dxfId="1580" priority="3367">
      <formula>LEN(TRIM(C5549))&gt;0</formula>
    </cfRule>
  </conditionalFormatting>
  <conditionalFormatting sqref="C5554:F5555">
    <cfRule type="notContainsBlanks" dxfId="1579" priority="3372">
      <formula>LEN(TRIM(C5554))&gt;0</formula>
    </cfRule>
  </conditionalFormatting>
  <conditionalFormatting sqref="C5559:F5559">
    <cfRule type="notContainsBlanks" dxfId="1578" priority="3377">
      <formula>LEN(TRIM(C5559))&gt;0</formula>
    </cfRule>
  </conditionalFormatting>
  <conditionalFormatting sqref="C5563:F5564">
    <cfRule type="notContainsBlanks" dxfId="1577" priority="3382">
      <formula>LEN(TRIM(C5563))&gt;0</formula>
    </cfRule>
  </conditionalFormatting>
  <conditionalFormatting sqref="C5568:F5569">
    <cfRule type="notContainsBlanks" dxfId="1576" priority="3387">
      <formula>LEN(TRIM(C5568))&gt;0</formula>
    </cfRule>
  </conditionalFormatting>
  <conditionalFormatting sqref="C5573:F5574">
    <cfRule type="notContainsBlanks" dxfId="1575" priority="3392">
      <formula>LEN(TRIM(C5573))&gt;0</formula>
    </cfRule>
  </conditionalFormatting>
  <conditionalFormatting sqref="C5582:F5583">
    <cfRule type="notContainsBlanks" dxfId="1574" priority="3402">
      <formula>LEN(TRIM(C5582))&gt;0</formula>
    </cfRule>
  </conditionalFormatting>
  <conditionalFormatting sqref="C5591:F5592">
    <cfRule type="notContainsBlanks" dxfId="1573" priority="3412">
      <formula>LEN(TRIM(C5591))&gt;0</formula>
    </cfRule>
  </conditionalFormatting>
  <conditionalFormatting sqref="C5596:F5596">
    <cfRule type="notContainsBlanks" dxfId="1572" priority="3417">
      <formula>LEN(TRIM(C5596))&gt;0</formula>
    </cfRule>
  </conditionalFormatting>
  <conditionalFormatting sqref="C5600:F5601">
    <cfRule type="notContainsBlanks" dxfId="1571" priority="3422">
      <formula>LEN(TRIM(C5600))&gt;0</formula>
    </cfRule>
  </conditionalFormatting>
  <conditionalFormatting sqref="C5605:F5606">
    <cfRule type="notContainsBlanks" dxfId="1570" priority="3427">
      <formula>LEN(TRIM(C5605))&gt;0</formula>
    </cfRule>
  </conditionalFormatting>
  <conditionalFormatting sqref="C5610:F5611">
    <cfRule type="notContainsBlanks" dxfId="1569" priority="3432">
      <formula>LEN(TRIM(C5610))&gt;0</formula>
    </cfRule>
  </conditionalFormatting>
  <conditionalFormatting sqref="C5615:F5616">
    <cfRule type="notContainsBlanks" dxfId="1568" priority="3437">
      <formula>LEN(TRIM(C5615))&gt;0</formula>
    </cfRule>
  </conditionalFormatting>
  <conditionalFormatting sqref="C5620:F5620">
    <cfRule type="notContainsBlanks" dxfId="1567" priority="3442">
      <formula>LEN(TRIM(C5620))&gt;0</formula>
    </cfRule>
  </conditionalFormatting>
  <conditionalFormatting sqref="C5624:F5625">
    <cfRule type="notContainsBlanks" dxfId="1566" priority="3447">
      <formula>LEN(TRIM(C5624))&gt;0</formula>
    </cfRule>
  </conditionalFormatting>
  <conditionalFormatting sqref="C5629:F5629">
    <cfRule type="notContainsBlanks" dxfId="1565" priority="3452">
      <formula>LEN(TRIM(C5629))&gt;0</formula>
    </cfRule>
  </conditionalFormatting>
  <conditionalFormatting sqref="C5633:F5634">
    <cfRule type="notContainsBlanks" dxfId="1564" priority="3457">
      <formula>LEN(TRIM(C5633))&gt;0</formula>
    </cfRule>
  </conditionalFormatting>
  <conditionalFormatting sqref="C5638:F5638">
    <cfRule type="notContainsBlanks" dxfId="1563" priority="3462">
      <formula>LEN(TRIM(C5638))&gt;0</formula>
    </cfRule>
  </conditionalFormatting>
  <conditionalFormatting sqref="C5642:F5645">
    <cfRule type="notContainsBlanks" dxfId="1562" priority="3467">
      <formula>LEN(TRIM(C5642))&gt;0</formula>
    </cfRule>
  </conditionalFormatting>
  <conditionalFormatting sqref="C5653:F5653">
    <cfRule type="notContainsBlanks" dxfId="1561" priority="3477">
      <formula>LEN(TRIM(C5653))&gt;0</formula>
    </cfRule>
  </conditionalFormatting>
  <conditionalFormatting sqref="C5661:F5661">
    <cfRule type="notContainsBlanks" dxfId="1560" priority="3487">
      <formula>LEN(TRIM(C5661))&gt;0</formula>
    </cfRule>
  </conditionalFormatting>
  <conditionalFormatting sqref="C5665:F5665">
    <cfRule type="notContainsBlanks" dxfId="1559" priority="3492">
      <formula>LEN(TRIM(C5665))&gt;0</formula>
    </cfRule>
  </conditionalFormatting>
  <conditionalFormatting sqref="C5669:F5669">
    <cfRule type="notContainsBlanks" dxfId="1558" priority="3497">
      <formula>LEN(TRIM(C5669))&gt;0</formula>
    </cfRule>
  </conditionalFormatting>
  <conditionalFormatting sqref="C5673:F5673">
    <cfRule type="notContainsBlanks" dxfId="1557" priority="3502">
      <formula>LEN(TRIM(C5673))&gt;0</formula>
    </cfRule>
  </conditionalFormatting>
  <conditionalFormatting sqref="C5677:F5677">
    <cfRule type="notContainsBlanks" dxfId="1556" priority="3507">
      <formula>LEN(TRIM(C5677))&gt;0</formula>
    </cfRule>
  </conditionalFormatting>
  <conditionalFormatting sqref="C5681:F5681">
    <cfRule type="notContainsBlanks" dxfId="1555" priority="3512">
      <formula>LEN(TRIM(C5681))&gt;0</formula>
    </cfRule>
  </conditionalFormatting>
  <conditionalFormatting sqref="C5685:F5685">
    <cfRule type="notContainsBlanks" dxfId="1554" priority="3517">
      <formula>LEN(TRIM(C5685))&gt;0</formula>
    </cfRule>
  </conditionalFormatting>
  <conditionalFormatting sqref="C5689:F5689">
    <cfRule type="notContainsBlanks" dxfId="1553" priority="3522">
      <formula>LEN(TRIM(C5689))&gt;0</formula>
    </cfRule>
  </conditionalFormatting>
  <conditionalFormatting sqref="C5693:F5693">
    <cfRule type="notContainsBlanks" dxfId="1552" priority="3527">
      <formula>LEN(TRIM(C5693))&gt;0</formula>
    </cfRule>
  </conditionalFormatting>
  <conditionalFormatting sqref="C5697:F5697">
    <cfRule type="notContainsBlanks" dxfId="1551" priority="3532">
      <formula>LEN(TRIM(C5697))&gt;0</formula>
    </cfRule>
  </conditionalFormatting>
  <conditionalFormatting sqref="C5701:F5701">
    <cfRule type="notContainsBlanks" dxfId="1550" priority="3537">
      <formula>LEN(TRIM(C5701))&gt;0</formula>
    </cfRule>
  </conditionalFormatting>
  <conditionalFormatting sqref="C5705:F5705">
    <cfRule type="notContainsBlanks" dxfId="1549" priority="3542">
      <formula>LEN(TRIM(C5705))&gt;0</formula>
    </cfRule>
  </conditionalFormatting>
  <conditionalFormatting sqref="C5713:F5714">
    <cfRule type="notContainsBlanks" dxfId="1548" priority="3552">
      <formula>LEN(TRIM(C5713))&gt;0</formula>
    </cfRule>
  </conditionalFormatting>
  <conditionalFormatting sqref="C5722:F5723">
    <cfRule type="notContainsBlanks" dxfId="1547" priority="3562">
      <formula>LEN(TRIM(C5722))&gt;0</formula>
    </cfRule>
  </conditionalFormatting>
  <conditionalFormatting sqref="C5727:F5728">
    <cfRule type="notContainsBlanks" dxfId="1546" priority="3567">
      <formula>LEN(TRIM(C5727))&gt;0</formula>
    </cfRule>
  </conditionalFormatting>
  <conditionalFormatting sqref="C5732:F5733">
    <cfRule type="notContainsBlanks" dxfId="1545" priority="3572">
      <formula>LEN(TRIM(C5732))&gt;0</formula>
    </cfRule>
  </conditionalFormatting>
  <conditionalFormatting sqref="C5737:F5738">
    <cfRule type="notContainsBlanks" dxfId="1544" priority="3577">
      <formula>LEN(TRIM(C5737))&gt;0</formula>
    </cfRule>
  </conditionalFormatting>
  <conditionalFormatting sqref="C5742:F5743">
    <cfRule type="notContainsBlanks" dxfId="1543" priority="3582">
      <formula>LEN(TRIM(C5742))&gt;0</formula>
    </cfRule>
  </conditionalFormatting>
  <conditionalFormatting sqref="C5747:F5748">
    <cfRule type="notContainsBlanks" dxfId="1542" priority="3587">
      <formula>LEN(TRIM(C5747))&gt;0</formula>
    </cfRule>
  </conditionalFormatting>
  <conditionalFormatting sqref="C5752:F5753">
    <cfRule type="notContainsBlanks" dxfId="1541" priority="3592">
      <formula>LEN(TRIM(C5752))&gt;0</formula>
    </cfRule>
  </conditionalFormatting>
  <conditionalFormatting sqref="C5757:F5758">
    <cfRule type="notContainsBlanks" dxfId="1540" priority="3597">
      <formula>LEN(TRIM(C5757))&gt;0</formula>
    </cfRule>
  </conditionalFormatting>
  <conditionalFormatting sqref="C5762:F5762">
    <cfRule type="notContainsBlanks" dxfId="1539" priority="3602">
      <formula>LEN(TRIM(C5762))&gt;0</formula>
    </cfRule>
  </conditionalFormatting>
  <conditionalFormatting sqref="C5766:F5767">
    <cfRule type="notContainsBlanks" dxfId="1538" priority="3607">
      <formula>LEN(TRIM(C5766))&gt;0</formula>
    </cfRule>
  </conditionalFormatting>
  <conditionalFormatting sqref="C5771:F5772">
    <cfRule type="notContainsBlanks" dxfId="1537" priority="3612">
      <formula>LEN(TRIM(C5771))&gt;0</formula>
    </cfRule>
  </conditionalFormatting>
  <conditionalFormatting sqref="C5776:F5779">
    <cfRule type="notContainsBlanks" dxfId="1536" priority="3617">
      <formula>LEN(TRIM(C5776))&gt;0</formula>
    </cfRule>
  </conditionalFormatting>
  <conditionalFormatting sqref="C5787:F5788">
    <cfRule type="notContainsBlanks" dxfId="1535" priority="3627">
      <formula>LEN(TRIM(C5787))&gt;0</formula>
    </cfRule>
  </conditionalFormatting>
  <conditionalFormatting sqref="C5796:F5796">
    <cfRule type="notContainsBlanks" dxfId="1534" priority="3637">
      <formula>LEN(TRIM(C5796))&gt;0</formula>
    </cfRule>
  </conditionalFormatting>
  <conditionalFormatting sqref="C5800:F5800">
    <cfRule type="notContainsBlanks" dxfId="1533" priority="3642">
      <formula>LEN(TRIM(C5800))&gt;0</formula>
    </cfRule>
  </conditionalFormatting>
  <conditionalFormatting sqref="C5804:F5805">
    <cfRule type="notContainsBlanks" dxfId="1532" priority="3647">
      <formula>LEN(TRIM(C5804))&gt;0</formula>
    </cfRule>
  </conditionalFormatting>
  <conditionalFormatting sqref="C5809:F5809">
    <cfRule type="notContainsBlanks" dxfId="1531" priority="3652">
      <formula>LEN(TRIM(C5809))&gt;0</formula>
    </cfRule>
  </conditionalFormatting>
  <conditionalFormatting sqref="C5813:F5814">
    <cfRule type="notContainsBlanks" dxfId="1530" priority="3657">
      <formula>LEN(TRIM(C5813))&gt;0</formula>
    </cfRule>
  </conditionalFormatting>
  <conditionalFormatting sqref="C5818:F5818">
    <cfRule type="notContainsBlanks" dxfId="1529" priority="3662">
      <formula>LEN(TRIM(C5818))&gt;0</formula>
    </cfRule>
  </conditionalFormatting>
  <conditionalFormatting sqref="C5822:F5823">
    <cfRule type="notContainsBlanks" dxfId="1528" priority="3667">
      <formula>LEN(TRIM(C5822))&gt;0</formula>
    </cfRule>
  </conditionalFormatting>
  <conditionalFormatting sqref="C5827:F5827">
    <cfRule type="notContainsBlanks" dxfId="1527" priority="3672">
      <formula>LEN(TRIM(C5827))&gt;0</formula>
    </cfRule>
  </conditionalFormatting>
  <conditionalFormatting sqref="C5831:F5831">
    <cfRule type="notContainsBlanks" dxfId="1526" priority="3677">
      <formula>LEN(TRIM(C5831))&gt;0</formula>
    </cfRule>
  </conditionalFormatting>
  <conditionalFormatting sqref="C5835:F5836">
    <cfRule type="notContainsBlanks" dxfId="1525" priority="3682">
      <formula>LEN(TRIM(C5835))&gt;0</formula>
    </cfRule>
  </conditionalFormatting>
  <conditionalFormatting sqref="C5840:F5841">
    <cfRule type="notContainsBlanks" dxfId="1524" priority="3687">
      <formula>LEN(TRIM(C5840))&gt;0</formula>
    </cfRule>
  </conditionalFormatting>
  <conditionalFormatting sqref="C5845:F5847">
    <cfRule type="notContainsBlanks" dxfId="1523" priority="3692">
      <formula>LEN(TRIM(C5845))&gt;0</formula>
    </cfRule>
  </conditionalFormatting>
  <conditionalFormatting sqref="C5855:F5856">
    <cfRule type="notContainsBlanks" dxfId="1522" priority="3702">
      <formula>LEN(TRIM(C5855))&gt;0</formula>
    </cfRule>
  </conditionalFormatting>
  <conditionalFormatting sqref="C5864:F5865">
    <cfRule type="notContainsBlanks" dxfId="1521" priority="3712">
      <formula>LEN(TRIM(C5864))&gt;0</formula>
    </cfRule>
  </conditionalFormatting>
  <conditionalFormatting sqref="C5869:F5869">
    <cfRule type="notContainsBlanks" dxfId="1520" priority="3717">
      <formula>LEN(TRIM(C5869))&gt;0</formula>
    </cfRule>
  </conditionalFormatting>
  <conditionalFormatting sqref="C5873:F5874">
    <cfRule type="notContainsBlanks" dxfId="1519" priority="3722">
      <formula>LEN(TRIM(C5873))&gt;0</formula>
    </cfRule>
  </conditionalFormatting>
  <conditionalFormatting sqref="C5878:F5879">
    <cfRule type="notContainsBlanks" dxfId="1518" priority="3727">
      <formula>LEN(TRIM(C5878))&gt;0</formula>
    </cfRule>
  </conditionalFormatting>
  <conditionalFormatting sqref="C5883:F5884">
    <cfRule type="notContainsBlanks" dxfId="1517" priority="3732">
      <formula>LEN(TRIM(C5883))&gt;0</formula>
    </cfRule>
  </conditionalFormatting>
  <conditionalFormatting sqref="C5888:F5889">
    <cfRule type="notContainsBlanks" dxfId="1516" priority="3737">
      <formula>LEN(TRIM(C5888))&gt;0</formula>
    </cfRule>
  </conditionalFormatting>
  <conditionalFormatting sqref="C5893:F5894">
    <cfRule type="notContainsBlanks" dxfId="1515" priority="3742">
      <formula>LEN(TRIM(C5893))&gt;0</formula>
    </cfRule>
  </conditionalFormatting>
  <conditionalFormatting sqref="C5898:F5899">
    <cfRule type="notContainsBlanks" dxfId="1514" priority="3747">
      <formula>LEN(TRIM(C5898))&gt;0</formula>
    </cfRule>
  </conditionalFormatting>
  <conditionalFormatting sqref="C5903:F5903">
    <cfRule type="notContainsBlanks" dxfId="1513" priority="3752">
      <formula>LEN(TRIM(C5903))&gt;0</formula>
    </cfRule>
  </conditionalFormatting>
  <conditionalFormatting sqref="C5907:F5908">
    <cfRule type="notContainsBlanks" dxfId="1512" priority="3757">
      <formula>LEN(TRIM(C5907))&gt;0</formula>
    </cfRule>
  </conditionalFormatting>
  <conditionalFormatting sqref="C5912:F5913">
    <cfRule type="notContainsBlanks" dxfId="1511" priority="3762">
      <formula>LEN(TRIM(C5912))&gt;0</formula>
    </cfRule>
  </conditionalFormatting>
  <conditionalFormatting sqref="C5917:F5920">
    <cfRule type="notContainsBlanks" dxfId="1510" priority="3767">
      <formula>LEN(TRIM(C5917))&gt;0</formula>
    </cfRule>
  </conditionalFormatting>
  <conditionalFormatting sqref="C5928:F5928">
    <cfRule type="notContainsBlanks" dxfId="1509" priority="3777">
      <formula>LEN(TRIM(C5928))&gt;0</formula>
    </cfRule>
  </conditionalFormatting>
  <conditionalFormatting sqref="C5936:F5936">
    <cfRule type="notContainsBlanks" dxfId="1508" priority="3787">
      <formula>LEN(TRIM(C5936))&gt;0</formula>
    </cfRule>
  </conditionalFormatting>
  <conditionalFormatting sqref="C5940:F5940">
    <cfRule type="notContainsBlanks" dxfId="1507" priority="3792">
      <formula>LEN(TRIM(C5940))&gt;0</formula>
    </cfRule>
  </conditionalFormatting>
  <conditionalFormatting sqref="C5944:F5944">
    <cfRule type="notContainsBlanks" dxfId="1506" priority="3797">
      <formula>LEN(TRIM(C5944))&gt;0</formula>
    </cfRule>
  </conditionalFormatting>
  <conditionalFormatting sqref="C5948:F5949">
    <cfRule type="notContainsBlanks" dxfId="1505" priority="3802">
      <formula>LEN(TRIM(C5948))&gt;0</formula>
    </cfRule>
  </conditionalFormatting>
  <conditionalFormatting sqref="C5953:F5954">
    <cfRule type="notContainsBlanks" dxfId="1504" priority="3807">
      <formula>LEN(TRIM(C5953))&gt;0</formula>
    </cfRule>
  </conditionalFormatting>
  <conditionalFormatting sqref="C5958:F5959">
    <cfRule type="notContainsBlanks" dxfId="1503" priority="3812">
      <formula>LEN(TRIM(C5958))&gt;0</formula>
    </cfRule>
  </conditionalFormatting>
  <conditionalFormatting sqref="C5963:F5964">
    <cfRule type="notContainsBlanks" dxfId="1502" priority="3817">
      <formula>LEN(TRIM(C5963))&gt;0</formula>
    </cfRule>
  </conditionalFormatting>
  <conditionalFormatting sqref="C5968:F5969">
    <cfRule type="notContainsBlanks" dxfId="1501" priority="3822">
      <formula>LEN(TRIM(C5968))&gt;0</formula>
    </cfRule>
  </conditionalFormatting>
  <conditionalFormatting sqref="C5973:F5973">
    <cfRule type="notContainsBlanks" dxfId="1500" priority="3827">
      <formula>LEN(TRIM(C5973))&gt;0</formula>
    </cfRule>
  </conditionalFormatting>
  <conditionalFormatting sqref="C5977:F5978">
    <cfRule type="notContainsBlanks" dxfId="1499" priority="3832">
      <formula>LEN(TRIM(C5977))&gt;0</formula>
    </cfRule>
  </conditionalFormatting>
  <conditionalFormatting sqref="C5982:F5983">
    <cfRule type="notContainsBlanks" dxfId="1498" priority="3837">
      <formula>LEN(TRIM(C5982))&gt;0</formula>
    </cfRule>
  </conditionalFormatting>
  <conditionalFormatting sqref="C5987:F5990">
    <cfRule type="notContainsBlanks" dxfId="1497" priority="3842">
      <formula>LEN(TRIM(C5987))&gt;0</formula>
    </cfRule>
  </conditionalFormatting>
  <conditionalFormatting sqref="C5998:F5998">
    <cfRule type="notContainsBlanks" dxfId="1496" priority="3852">
      <formula>LEN(TRIM(C5998))&gt;0</formula>
    </cfRule>
  </conditionalFormatting>
  <conditionalFormatting sqref="C6006:F6006">
    <cfRule type="notContainsBlanks" dxfId="1495" priority="3862">
      <formula>LEN(TRIM(C6006))&gt;0</formula>
    </cfRule>
  </conditionalFormatting>
  <conditionalFormatting sqref="C6010:F6010">
    <cfRule type="notContainsBlanks" dxfId="1494" priority="3867">
      <formula>LEN(TRIM(C6010))&gt;0</formula>
    </cfRule>
  </conditionalFormatting>
  <conditionalFormatting sqref="C6014:F6014">
    <cfRule type="notContainsBlanks" dxfId="1493" priority="3872">
      <formula>LEN(TRIM(C6014))&gt;0</formula>
    </cfRule>
  </conditionalFormatting>
  <conditionalFormatting sqref="C6018:F6018">
    <cfRule type="notContainsBlanks" dxfId="1492" priority="3877">
      <formula>LEN(TRIM(C6018))&gt;0</formula>
    </cfRule>
  </conditionalFormatting>
  <conditionalFormatting sqref="C6022:F6023">
    <cfRule type="notContainsBlanks" dxfId="1491" priority="3882">
      <formula>LEN(TRIM(C6022))&gt;0</formula>
    </cfRule>
  </conditionalFormatting>
  <conditionalFormatting sqref="C6027:F6027">
    <cfRule type="notContainsBlanks" dxfId="1490" priority="3887">
      <formula>LEN(TRIM(C6027))&gt;0</formula>
    </cfRule>
  </conditionalFormatting>
  <conditionalFormatting sqref="C6031:F6032">
    <cfRule type="notContainsBlanks" dxfId="1489" priority="3892">
      <formula>LEN(TRIM(C6031))&gt;0</formula>
    </cfRule>
  </conditionalFormatting>
  <conditionalFormatting sqref="C6036:F6036">
    <cfRule type="notContainsBlanks" dxfId="1488" priority="3897">
      <formula>LEN(TRIM(C6036))&gt;0</formula>
    </cfRule>
  </conditionalFormatting>
  <conditionalFormatting sqref="C6040:F6040">
    <cfRule type="notContainsBlanks" dxfId="1487" priority="3902">
      <formula>LEN(TRIM(C6040))&gt;0</formula>
    </cfRule>
  </conditionalFormatting>
  <conditionalFormatting sqref="C6044:F6045">
    <cfRule type="notContainsBlanks" dxfId="1486" priority="3907">
      <formula>LEN(TRIM(C6044))&gt;0</formula>
    </cfRule>
  </conditionalFormatting>
  <conditionalFormatting sqref="C6049:F6050">
    <cfRule type="notContainsBlanks" dxfId="1485" priority="3912">
      <formula>LEN(TRIM(C6049))&gt;0</formula>
    </cfRule>
  </conditionalFormatting>
  <conditionalFormatting sqref="C6054:F6056">
    <cfRule type="notContainsBlanks" dxfId="1484" priority="3917">
      <formula>LEN(TRIM(C6054))&gt;0</formula>
    </cfRule>
  </conditionalFormatting>
  <conditionalFormatting sqref="C6064:F6065">
    <cfRule type="notContainsBlanks" dxfId="1483" priority="3927">
      <formula>LEN(TRIM(C6064))&gt;0</formula>
    </cfRule>
  </conditionalFormatting>
  <conditionalFormatting sqref="C6073:F6074">
    <cfRule type="notContainsBlanks" dxfId="1482" priority="3937">
      <formula>LEN(TRIM(C6073))&gt;0</formula>
    </cfRule>
  </conditionalFormatting>
  <conditionalFormatting sqref="C6078:F6078">
    <cfRule type="notContainsBlanks" dxfId="1481" priority="3942">
      <formula>LEN(TRIM(C6078))&gt;0</formula>
    </cfRule>
  </conditionalFormatting>
  <conditionalFormatting sqref="C6082:F6083">
    <cfRule type="notContainsBlanks" dxfId="1480" priority="3947">
      <formula>LEN(TRIM(C6082))&gt;0</formula>
    </cfRule>
  </conditionalFormatting>
  <conditionalFormatting sqref="C6087:F6087">
    <cfRule type="notContainsBlanks" dxfId="1479" priority="3952">
      <formula>LEN(TRIM(C6087))&gt;0</formula>
    </cfRule>
  </conditionalFormatting>
  <conditionalFormatting sqref="C6091:F6092">
    <cfRule type="notContainsBlanks" dxfId="1478" priority="3957">
      <formula>LEN(TRIM(C6091))&gt;0</formula>
    </cfRule>
  </conditionalFormatting>
  <conditionalFormatting sqref="C6096:F6097">
    <cfRule type="notContainsBlanks" dxfId="1477" priority="3962">
      <formula>LEN(TRIM(C6096))&gt;0</formula>
    </cfRule>
  </conditionalFormatting>
  <conditionalFormatting sqref="C6101:F6102">
    <cfRule type="notContainsBlanks" dxfId="1476" priority="3967">
      <formula>LEN(TRIM(C6101))&gt;0</formula>
    </cfRule>
  </conditionalFormatting>
  <conditionalFormatting sqref="C6106:F6106">
    <cfRule type="notContainsBlanks" dxfId="1475" priority="3972">
      <formula>LEN(TRIM(C6106))&gt;0</formula>
    </cfRule>
  </conditionalFormatting>
  <conditionalFormatting sqref="C6110:F6110">
    <cfRule type="notContainsBlanks" dxfId="1474" priority="3977">
      <formula>LEN(TRIM(C6110))&gt;0</formula>
    </cfRule>
  </conditionalFormatting>
  <conditionalFormatting sqref="C6114:F6115">
    <cfRule type="notContainsBlanks" dxfId="1473" priority="3982">
      <formula>LEN(TRIM(C6114))&gt;0</formula>
    </cfRule>
  </conditionalFormatting>
  <conditionalFormatting sqref="C6119:F6120">
    <cfRule type="notContainsBlanks" dxfId="1472" priority="3987">
      <formula>LEN(TRIM(C6119))&gt;0</formula>
    </cfRule>
  </conditionalFormatting>
  <conditionalFormatting sqref="C6124:F6127">
    <cfRule type="notContainsBlanks" dxfId="1471" priority="3992">
      <formula>LEN(TRIM(C6124))&gt;0</formula>
    </cfRule>
  </conditionalFormatting>
  <conditionalFormatting sqref="C6135:F6136">
    <cfRule type="notContainsBlanks" dxfId="1470" priority="4002">
      <formula>LEN(TRIM(C6135))&gt;0</formula>
    </cfRule>
  </conditionalFormatting>
  <conditionalFormatting sqref="C6144:F6145">
    <cfRule type="notContainsBlanks" dxfId="1469" priority="4012">
      <formula>LEN(TRIM(C6144))&gt;0</formula>
    </cfRule>
  </conditionalFormatting>
  <conditionalFormatting sqref="C6149:F6149">
    <cfRule type="notContainsBlanks" dxfId="1468" priority="4017">
      <formula>LEN(TRIM(C6149))&gt;0</formula>
    </cfRule>
  </conditionalFormatting>
  <conditionalFormatting sqref="C6153:F6154">
    <cfRule type="notContainsBlanks" dxfId="1467" priority="4022">
      <formula>LEN(TRIM(C6153))&gt;0</formula>
    </cfRule>
  </conditionalFormatting>
  <conditionalFormatting sqref="C6158:F6159">
    <cfRule type="notContainsBlanks" dxfId="1466" priority="4027">
      <formula>LEN(TRIM(C6158))&gt;0</formula>
    </cfRule>
  </conditionalFormatting>
  <conditionalFormatting sqref="C6163:F6164">
    <cfRule type="notContainsBlanks" dxfId="1465" priority="4032">
      <formula>LEN(TRIM(C6163))&gt;0</formula>
    </cfRule>
  </conditionalFormatting>
  <conditionalFormatting sqref="C6168:F6169">
    <cfRule type="notContainsBlanks" dxfId="1464" priority="4037">
      <formula>LEN(TRIM(C6168))&gt;0</formula>
    </cfRule>
  </conditionalFormatting>
  <conditionalFormatting sqref="C6173:F6174">
    <cfRule type="notContainsBlanks" dxfId="1463" priority="4042">
      <formula>LEN(TRIM(C6173))&gt;0</formula>
    </cfRule>
  </conditionalFormatting>
  <conditionalFormatting sqref="C6178:F6179">
    <cfRule type="notContainsBlanks" dxfId="1462" priority="4047">
      <formula>LEN(TRIM(C6178))&gt;0</formula>
    </cfRule>
  </conditionalFormatting>
  <conditionalFormatting sqref="C6183:F6183">
    <cfRule type="notContainsBlanks" dxfId="1461" priority="4052">
      <formula>LEN(TRIM(C6183))&gt;0</formula>
    </cfRule>
  </conditionalFormatting>
  <conditionalFormatting sqref="C6187:F6188">
    <cfRule type="notContainsBlanks" dxfId="1460" priority="4057">
      <formula>LEN(TRIM(C6187))&gt;0</formula>
    </cfRule>
  </conditionalFormatting>
  <conditionalFormatting sqref="C6192:F6193">
    <cfRule type="notContainsBlanks" dxfId="1459" priority="4062">
      <formula>LEN(TRIM(C6192))&gt;0</formula>
    </cfRule>
  </conditionalFormatting>
  <conditionalFormatting sqref="C6197:F6200">
    <cfRule type="notContainsBlanks" dxfId="1458" priority="4067">
      <formula>LEN(TRIM(C6197))&gt;0</formula>
    </cfRule>
  </conditionalFormatting>
  <conditionalFormatting sqref="C6208:F6208">
    <cfRule type="notContainsBlanks" dxfId="1457" priority="4077">
      <formula>LEN(TRIM(C6208))&gt;0</formula>
    </cfRule>
  </conditionalFormatting>
  <conditionalFormatting sqref="C6216:F6216">
    <cfRule type="notContainsBlanks" dxfId="1456" priority="4087">
      <formula>LEN(TRIM(C6216))&gt;0</formula>
    </cfRule>
  </conditionalFormatting>
  <conditionalFormatting sqref="C6220:F6220">
    <cfRule type="notContainsBlanks" dxfId="1455" priority="4092">
      <formula>LEN(TRIM(C6220))&gt;0</formula>
    </cfRule>
  </conditionalFormatting>
  <conditionalFormatting sqref="C6224:F6225">
    <cfRule type="notContainsBlanks" dxfId="1454" priority="4097">
      <formula>LEN(TRIM(C6224))&gt;0</formula>
    </cfRule>
  </conditionalFormatting>
  <conditionalFormatting sqref="C6229:F6229">
    <cfRule type="notContainsBlanks" dxfId="1453" priority="4102">
      <formula>LEN(TRIM(C6229))&gt;0</formula>
    </cfRule>
  </conditionalFormatting>
  <conditionalFormatting sqref="C6233:F6234">
    <cfRule type="notContainsBlanks" dxfId="1452" priority="4107">
      <formula>LEN(TRIM(C6233))&gt;0</formula>
    </cfRule>
  </conditionalFormatting>
  <conditionalFormatting sqref="C6238:F6239">
    <cfRule type="notContainsBlanks" dxfId="1451" priority="4112">
      <formula>LEN(TRIM(C6238))&gt;0</formula>
    </cfRule>
  </conditionalFormatting>
  <conditionalFormatting sqref="C6243:F6244">
    <cfRule type="notContainsBlanks" dxfId="1450" priority="4117">
      <formula>LEN(TRIM(C6243))&gt;0</formula>
    </cfRule>
  </conditionalFormatting>
  <conditionalFormatting sqref="C6248:F6249">
    <cfRule type="notContainsBlanks" dxfId="1449" priority="4122">
      <formula>LEN(TRIM(C6248))&gt;0</formula>
    </cfRule>
  </conditionalFormatting>
  <conditionalFormatting sqref="C6253:F6253">
    <cfRule type="notContainsBlanks" dxfId="1448" priority="4127">
      <formula>LEN(TRIM(C6253))&gt;0</formula>
    </cfRule>
  </conditionalFormatting>
  <conditionalFormatting sqref="C6257:F6258">
    <cfRule type="notContainsBlanks" dxfId="1447" priority="4132">
      <formula>LEN(TRIM(C6257))&gt;0</formula>
    </cfRule>
  </conditionalFormatting>
  <conditionalFormatting sqref="C6262:F6263">
    <cfRule type="notContainsBlanks" dxfId="1446" priority="4137">
      <formula>LEN(TRIM(C6262))&gt;0</formula>
    </cfRule>
  </conditionalFormatting>
  <conditionalFormatting sqref="C6267:F6270">
    <cfRule type="notContainsBlanks" dxfId="1445" priority="4142">
      <formula>LEN(TRIM(C6267))&gt;0</formula>
    </cfRule>
  </conditionalFormatting>
  <conditionalFormatting sqref="C6870:F6871">
    <cfRule type="notContainsBlanks" dxfId="1444" priority="4392">
      <formula>LEN(TRIM(C6870))&gt;0</formula>
    </cfRule>
  </conditionalFormatting>
  <conditionalFormatting sqref="C6879:F6880">
    <cfRule type="notContainsBlanks" dxfId="1443" priority="4402">
      <formula>LEN(TRIM(C6879))&gt;0</formula>
    </cfRule>
  </conditionalFormatting>
  <conditionalFormatting sqref="C6884:F6885">
    <cfRule type="notContainsBlanks" dxfId="1442" priority="4407">
      <formula>LEN(TRIM(C6884))&gt;0</formula>
    </cfRule>
  </conditionalFormatting>
  <conditionalFormatting sqref="C6889:F6890">
    <cfRule type="notContainsBlanks" dxfId="1441" priority="4412">
      <formula>LEN(TRIM(C6889))&gt;0</formula>
    </cfRule>
  </conditionalFormatting>
  <conditionalFormatting sqref="C6894:F6895">
    <cfRule type="notContainsBlanks" dxfId="1440" priority="4417">
      <formula>LEN(TRIM(C6894))&gt;0</formula>
    </cfRule>
  </conditionalFormatting>
  <conditionalFormatting sqref="C6899:F6900">
    <cfRule type="notContainsBlanks" dxfId="1439" priority="4422">
      <formula>LEN(TRIM(C6899))&gt;0</formula>
    </cfRule>
  </conditionalFormatting>
  <conditionalFormatting sqref="C6904:F6905">
    <cfRule type="notContainsBlanks" dxfId="1438" priority="4427">
      <formula>LEN(TRIM(C6904))&gt;0</formula>
    </cfRule>
  </conditionalFormatting>
  <conditionalFormatting sqref="C6909:F6910">
    <cfRule type="notContainsBlanks" dxfId="1437" priority="4432">
      <formula>LEN(TRIM(C6909))&gt;0</formula>
    </cfRule>
  </conditionalFormatting>
  <conditionalFormatting sqref="C6914:F6915">
    <cfRule type="notContainsBlanks" dxfId="1436" priority="4437">
      <formula>LEN(TRIM(C6914))&gt;0</formula>
    </cfRule>
  </conditionalFormatting>
  <conditionalFormatting sqref="C6919:F6919">
    <cfRule type="notContainsBlanks" dxfId="1435" priority="4442">
      <formula>LEN(TRIM(C6919))&gt;0</formula>
    </cfRule>
  </conditionalFormatting>
  <conditionalFormatting sqref="C6923:F6924">
    <cfRule type="notContainsBlanks" dxfId="1434" priority="4447">
      <formula>LEN(TRIM(C6923))&gt;0</formula>
    </cfRule>
  </conditionalFormatting>
  <conditionalFormatting sqref="C6928:F6929">
    <cfRule type="notContainsBlanks" dxfId="1433" priority="4452">
      <formula>LEN(TRIM(C6928))&gt;0</formula>
    </cfRule>
  </conditionalFormatting>
  <conditionalFormatting sqref="C6933:F6936">
    <cfRule type="notContainsBlanks" dxfId="1432" priority="4457">
      <formula>LEN(TRIM(C6933))&gt;0</formula>
    </cfRule>
  </conditionalFormatting>
  <conditionalFormatting sqref="C6944:F6945">
    <cfRule type="notContainsBlanks" dxfId="1431" priority="4467">
      <formula>LEN(TRIM(C6944))&gt;0</formula>
    </cfRule>
  </conditionalFormatting>
  <conditionalFormatting sqref="C6953:F6954">
    <cfRule type="notContainsBlanks" dxfId="1430" priority="4477">
      <formula>LEN(TRIM(C6953))&gt;0</formula>
    </cfRule>
  </conditionalFormatting>
  <conditionalFormatting sqref="C6958:F6959">
    <cfRule type="notContainsBlanks" dxfId="1429" priority="4482">
      <formula>LEN(TRIM(C6958))&gt;0</formula>
    </cfRule>
  </conditionalFormatting>
  <conditionalFormatting sqref="C6963:F6964">
    <cfRule type="notContainsBlanks" dxfId="1428" priority="4487">
      <formula>LEN(TRIM(C6963))&gt;0</formula>
    </cfRule>
  </conditionalFormatting>
  <conditionalFormatting sqref="C6968:F6969">
    <cfRule type="notContainsBlanks" dxfId="1427" priority="4492">
      <formula>LEN(TRIM(C6968))&gt;0</formula>
    </cfRule>
  </conditionalFormatting>
  <conditionalFormatting sqref="C6973:F6974">
    <cfRule type="notContainsBlanks" dxfId="1426" priority="4497">
      <formula>LEN(TRIM(C6973))&gt;0</formula>
    </cfRule>
  </conditionalFormatting>
  <conditionalFormatting sqref="C6978:F6979">
    <cfRule type="notContainsBlanks" dxfId="1425" priority="4502">
      <formula>LEN(TRIM(C6978))&gt;0</formula>
    </cfRule>
  </conditionalFormatting>
  <conditionalFormatting sqref="C6983:F6984">
    <cfRule type="notContainsBlanks" dxfId="1424" priority="4507">
      <formula>LEN(TRIM(C6983))&gt;0</formula>
    </cfRule>
  </conditionalFormatting>
  <conditionalFormatting sqref="C6988:F6989">
    <cfRule type="notContainsBlanks" dxfId="1423" priority="4512">
      <formula>LEN(TRIM(C6988))&gt;0</formula>
    </cfRule>
  </conditionalFormatting>
  <conditionalFormatting sqref="C6993:F6993">
    <cfRule type="notContainsBlanks" dxfId="1422" priority="4517">
      <formula>LEN(TRIM(C6993))&gt;0</formula>
    </cfRule>
  </conditionalFormatting>
  <conditionalFormatting sqref="C6997:F6998">
    <cfRule type="notContainsBlanks" dxfId="1421" priority="4522">
      <formula>LEN(TRIM(C6997))&gt;0</formula>
    </cfRule>
  </conditionalFormatting>
  <conditionalFormatting sqref="C7002:F7003">
    <cfRule type="notContainsBlanks" dxfId="1420" priority="4527">
      <formula>LEN(TRIM(C7002))&gt;0</formula>
    </cfRule>
  </conditionalFormatting>
  <conditionalFormatting sqref="C7007:F7010">
    <cfRule type="notContainsBlanks" dxfId="1419" priority="4532">
      <formula>LEN(TRIM(C7007))&gt;0</formula>
    </cfRule>
  </conditionalFormatting>
  <conditionalFormatting sqref="C7092:F7092">
    <cfRule type="notContainsBlanks" dxfId="1418" priority="4572">
      <formula>LEN(TRIM(C7092))&gt;0</formula>
    </cfRule>
  </conditionalFormatting>
  <conditionalFormatting sqref="C7100:F7100">
    <cfRule type="notContainsBlanks" dxfId="1417" priority="4582">
      <formula>LEN(TRIM(C7100))&gt;0</formula>
    </cfRule>
  </conditionalFormatting>
  <conditionalFormatting sqref="C7104:F7104">
    <cfRule type="notContainsBlanks" dxfId="1416" priority="4587">
      <formula>LEN(TRIM(C7104))&gt;0</formula>
    </cfRule>
  </conditionalFormatting>
  <conditionalFormatting sqref="C7108:F7108">
    <cfRule type="notContainsBlanks" dxfId="1415" priority="4592">
      <formula>LEN(TRIM(C7108))&gt;0</formula>
    </cfRule>
  </conditionalFormatting>
  <conditionalFormatting sqref="C7112:F7112">
    <cfRule type="notContainsBlanks" dxfId="1414" priority="4597">
      <formula>LEN(TRIM(C7112))&gt;0</formula>
    </cfRule>
  </conditionalFormatting>
  <conditionalFormatting sqref="C7116:F7117">
    <cfRule type="notContainsBlanks" dxfId="1413" priority="4602">
      <formula>LEN(TRIM(C7116))&gt;0</formula>
    </cfRule>
  </conditionalFormatting>
  <conditionalFormatting sqref="C7121:F7122">
    <cfRule type="notContainsBlanks" dxfId="1412" priority="4607">
      <formula>LEN(TRIM(C7121))&gt;0</formula>
    </cfRule>
  </conditionalFormatting>
  <conditionalFormatting sqref="C7126:F7126">
    <cfRule type="notContainsBlanks" dxfId="1411" priority="4612">
      <formula>LEN(TRIM(C7126))&gt;0</formula>
    </cfRule>
  </conditionalFormatting>
  <conditionalFormatting sqref="C7130:F7130">
    <cfRule type="notContainsBlanks" dxfId="1410" priority="4617">
      <formula>LEN(TRIM(C7130))&gt;0</formula>
    </cfRule>
  </conditionalFormatting>
  <conditionalFormatting sqref="C7134:F7134">
    <cfRule type="notContainsBlanks" dxfId="1409" priority="4622">
      <formula>LEN(TRIM(C7134))&gt;0</formula>
    </cfRule>
  </conditionalFormatting>
  <conditionalFormatting sqref="C7138:F7139">
    <cfRule type="notContainsBlanks" dxfId="1408" priority="4627">
      <formula>LEN(TRIM(C7138))&gt;0</formula>
    </cfRule>
  </conditionalFormatting>
  <conditionalFormatting sqref="C7143:F7144">
    <cfRule type="notContainsBlanks" dxfId="1407" priority="4632">
      <formula>LEN(TRIM(C7143))&gt;0</formula>
    </cfRule>
  </conditionalFormatting>
  <conditionalFormatting sqref="C7148:F7150">
    <cfRule type="notContainsBlanks" dxfId="1406" priority="4637">
      <formula>LEN(TRIM(C7148))&gt;0</formula>
    </cfRule>
  </conditionalFormatting>
  <conditionalFormatting sqref="C7158:F7159">
    <cfRule type="notContainsBlanks" dxfId="1405" priority="4647">
      <formula>LEN(TRIM(C7158))&gt;0</formula>
    </cfRule>
  </conditionalFormatting>
  <conditionalFormatting sqref="C7167:F7168">
    <cfRule type="notContainsBlanks" dxfId="1404" priority="4657">
      <formula>LEN(TRIM(C7167))&gt;0</formula>
    </cfRule>
  </conditionalFormatting>
  <conditionalFormatting sqref="C7172:F7173">
    <cfRule type="notContainsBlanks" dxfId="1403" priority="4662">
      <formula>LEN(TRIM(C7172))&gt;0</formula>
    </cfRule>
  </conditionalFormatting>
  <conditionalFormatting sqref="C7177:F7178">
    <cfRule type="notContainsBlanks" dxfId="1402" priority="4667">
      <formula>LEN(TRIM(C7177))&gt;0</formula>
    </cfRule>
  </conditionalFormatting>
  <conditionalFormatting sqref="C7182:F7183">
    <cfRule type="notContainsBlanks" dxfId="1401" priority="4672">
      <formula>LEN(TRIM(C7182))&gt;0</formula>
    </cfRule>
  </conditionalFormatting>
  <conditionalFormatting sqref="C7187:F7188">
    <cfRule type="notContainsBlanks" dxfId="1400" priority="4677">
      <formula>LEN(TRIM(C7187))&gt;0</formula>
    </cfRule>
  </conditionalFormatting>
  <conditionalFormatting sqref="C7192:F7193">
    <cfRule type="notContainsBlanks" dxfId="1399" priority="4682">
      <formula>LEN(TRIM(C7192))&gt;0</formula>
    </cfRule>
  </conditionalFormatting>
  <conditionalFormatting sqref="C7197:F7198">
    <cfRule type="notContainsBlanks" dxfId="1398" priority="4687">
      <formula>LEN(TRIM(C7197))&gt;0</formula>
    </cfRule>
  </conditionalFormatting>
  <conditionalFormatting sqref="C7202:F7203">
    <cfRule type="notContainsBlanks" dxfId="1397" priority="4692">
      <formula>LEN(TRIM(C7202))&gt;0</formula>
    </cfRule>
  </conditionalFormatting>
  <conditionalFormatting sqref="C7207:F7207">
    <cfRule type="notContainsBlanks" dxfId="1396" priority="4697">
      <formula>LEN(TRIM(C7207))&gt;0</formula>
    </cfRule>
  </conditionalFormatting>
  <conditionalFormatting sqref="C7211:F7212">
    <cfRule type="notContainsBlanks" dxfId="1395" priority="4702">
      <formula>LEN(TRIM(C7211))&gt;0</formula>
    </cfRule>
  </conditionalFormatting>
  <conditionalFormatting sqref="C7216:F7217">
    <cfRule type="notContainsBlanks" dxfId="1394" priority="4707">
      <formula>LEN(TRIM(C7216))&gt;0</formula>
    </cfRule>
  </conditionalFormatting>
  <conditionalFormatting sqref="C7221:F7224">
    <cfRule type="notContainsBlanks" dxfId="1393" priority="4712">
      <formula>LEN(TRIM(C7221))&gt;0</formula>
    </cfRule>
  </conditionalFormatting>
  <conditionalFormatting sqref="C7232:F7233">
    <cfRule type="notContainsBlanks" dxfId="1392" priority="4722">
      <formula>LEN(TRIM(C7232))&gt;0</formula>
    </cfRule>
  </conditionalFormatting>
  <conditionalFormatting sqref="C7241:F7242">
    <cfRule type="notContainsBlanks" dxfId="1391" priority="4732">
      <formula>LEN(TRIM(C7241))&gt;0</formula>
    </cfRule>
  </conditionalFormatting>
  <conditionalFormatting sqref="C7246:F7246">
    <cfRule type="notContainsBlanks" dxfId="1390" priority="4737">
      <formula>LEN(TRIM(C7246))&gt;0</formula>
    </cfRule>
  </conditionalFormatting>
  <conditionalFormatting sqref="C7250:F7251">
    <cfRule type="notContainsBlanks" dxfId="1389" priority="4742">
      <formula>LEN(TRIM(C7250))&gt;0</formula>
    </cfRule>
  </conditionalFormatting>
  <conditionalFormatting sqref="C7255:F7256">
    <cfRule type="notContainsBlanks" dxfId="1388" priority="4747">
      <formula>LEN(TRIM(C7255))&gt;0</formula>
    </cfRule>
  </conditionalFormatting>
  <conditionalFormatting sqref="C7260:F7261">
    <cfRule type="notContainsBlanks" dxfId="1387" priority="4752">
      <formula>LEN(TRIM(C7260))&gt;0</formula>
    </cfRule>
  </conditionalFormatting>
  <conditionalFormatting sqref="C7265:F7266">
    <cfRule type="notContainsBlanks" dxfId="1386" priority="4757">
      <formula>LEN(TRIM(C7265))&gt;0</formula>
    </cfRule>
  </conditionalFormatting>
  <conditionalFormatting sqref="C7270:F7271">
    <cfRule type="notContainsBlanks" dxfId="1385" priority="4762">
      <formula>LEN(TRIM(C7270))&gt;0</formula>
    </cfRule>
  </conditionalFormatting>
  <conditionalFormatting sqref="C7275:F7276">
    <cfRule type="notContainsBlanks" dxfId="1384" priority="4767">
      <formula>LEN(TRIM(C7275))&gt;0</formula>
    </cfRule>
  </conditionalFormatting>
  <conditionalFormatting sqref="C7280:F7280">
    <cfRule type="notContainsBlanks" dxfId="1383" priority="4772">
      <formula>LEN(TRIM(C7280))&gt;0</formula>
    </cfRule>
  </conditionalFormatting>
  <conditionalFormatting sqref="C7284:F7285">
    <cfRule type="notContainsBlanks" dxfId="1382" priority="4777">
      <formula>LEN(TRIM(C7284))&gt;0</formula>
    </cfRule>
  </conditionalFormatting>
  <conditionalFormatting sqref="C7289:F7290">
    <cfRule type="notContainsBlanks" dxfId="1381" priority="4782">
      <formula>LEN(TRIM(C7289))&gt;0</formula>
    </cfRule>
  </conditionalFormatting>
  <conditionalFormatting sqref="C7294:F7297">
    <cfRule type="notContainsBlanks" dxfId="1380" priority="4787">
      <formula>LEN(TRIM(C7294))&gt;0</formula>
    </cfRule>
  </conditionalFormatting>
  <conditionalFormatting sqref="C7305:F7306">
    <cfRule type="notContainsBlanks" dxfId="1379" priority="4797">
      <formula>LEN(TRIM(C7305))&gt;0</formula>
    </cfRule>
  </conditionalFormatting>
  <conditionalFormatting sqref="C7314:F7315">
    <cfRule type="notContainsBlanks" dxfId="1378" priority="4807">
      <formula>LEN(TRIM(C7314))&gt;0</formula>
    </cfRule>
  </conditionalFormatting>
  <conditionalFormatting sqref="C7319:F7319">
    <cfRule type="notContainsBlanks" dxfId="1377" priority="4812">
      <formula>LEN(TRIM(C7319))&gt;0</formula>
    </cfRule>
  </conditionalFormatting>
  <conditionalFormatting sqref="C7323:F7324">
    <cfRule type="notContainsBlanks" dxfId="1376" priority="4817">
      <formula>LEN(TRIM(C7323))&gt;0</formula>
    </cfRule>
  </conditionalFormatting>
  <conditionalFormatting sqref="C7328:F7329">
    <cfRule type="notContainsBlanks" dxfId="1375" priority="4822">
      <formula>LEN(TRIM(C7328))&gt;0</formula>
    </cfRule>
  </conditionalFormatting>
  <conditionalFormatting sqref="C7333:F7334">
    <cfRule type="notContainsBlanks" dxfId="1374" priority="4827">
      <formula>LEN(TRIM(C7333))&gt;0</formula>
    </cfRule>
  </conditionalFormatting>
  <conditionalFormatting sqref="C7338:F7339">
    <cfRule type="notContainsBlanks" dxfId="1373" priority="4832">
      <formula>LEN(TRIM(C7338))&gt;0</formula>
    </cfRule>
  </conditionalFormatting>
  <conditionalFormatting sqref="C7343:F7344">
    <cfRule type="notContainsBlanks" dxfId="1372" priority="4837">
      <formula>LEN(TRIM(C7343))&gt;0</formula>
    </cfRule>
  </conditionalFormatting>
  <conditionalFormatting sqref="C7348:F7349">
    <cfRule type="notContainsBlanks" dxfId="1371" priority="4842">
      <formula>LEN(TRIM(C7348))&gt;0</formula>
    </cfRule>
  </conditionalFormatting>
  <conditionalFormatting sqref="C7353:F7353">
    <cfRule type="notContainsBlanks" dxfId="1370" priority="4847">
      <formula>LEN(TRIM(C7353))&gt;0</formula>
    </cfRule>
  </conditionalFormatting>
  <conditionalFormatting sqref="C7357:F7358">
    <cfRule type="notContainsBlanks" dxfId="1369" priority="4852">
      <formula>LEN(TRIM(C7357))&gt;0</formula>
    </cfRule>
  </conditionalFormatting>
  <conditionalFormatting sqref="C7362:F7363">
    <cfRule type="notContainsBlanks" dxfId="1368" priority="4857">
      <formula>LEN(TRIM(C7362))&gt;0</formula>
    </cfRule>
  </conditionalFormatting>
  <conditionalFormatting sqref="C7367:F7370">
    <cfRule type="notContainsBlanks" dxfId="1367" priority="4862">
      <formula>LEN(TRIM(C7367))&gt;0</formula>
    </cfRule>
  </conditionalFormatting>
  <conditionalFormatting sqref="C7378:F7379">
    <cfRule type="notContainsBlanks" dxfId="1366" priority="4872">
      <formula>LEN(TRIM(C7378))&gt;0</formula>
    </cfRule>
  </conditionalFormatting>
  <conditionalFormatting sqref="C7387:F7387">
    <cfRule type="notContainsBlanks" dxfId="1365" priority="4882">
      <formula>LEN(TRIM(C7387))&gt;0</formula>
    </cfRule>
  </conditionalFormatting>
  <conditionalFormatting sqref="C7391:F7391">
    <cfRule type="notContainsBlanks" dxfId="1364" priority="4887">
      <formula>LEN(TRIM(C7391))&gt;0</formula>
    </cfRule>
  </conditionalFormatting>
  <conditionalFormatting sqref="C7395:F7395">
    <cfRule type="notContainsBlanks" dxfId="1363" priority="4892">
      <formula>LEN(TRIM(C7395))&gt;0</formula>
    </cfRule>
  </conditionalFormatting>
  <conditionalFormatting sqref="C7399:F7399">
    <cfRule type="notContainsBlanks" dxfId="1362" priority="4897">
      <formula>LEN(TRIM(C7399))&gt;0</formula>
    </cfRule>
  </conditionalFormatting>
  <conditionalFormatting sqref="C7403:F7404">
    <cfRule type="notContainsBlanks" dxfId="1361" priority="4902">
      <formula>LEN(TRIM(C7403))&gt;0</formula>
    </cfRule>
  </conditionalFormatting>
  <conditionalFormatting sqref="C7408:F7409">
    <cfRule type="notContainsBlanks" dxfId="1360" priority="4907">
      <formula>LEN(TRIM(C7408))&gt;0</formula>
    </cfRule>
  </conditionalFormatting>
  <conditionalFormatting sqref="C7413:F7414">
    <cfRule type="notContainsBlanks" dxfId="1359" priority="4912">
      <formula>LEN(TRIM(C7413))&gt;0</formula>
    </cfRule>
  </conditionalFormatting>
  <conditionalFormatting sqref="C7418:F7419">
    <cfRule type="notContainsBlanks" dxfId="1358" priority="4917">
      <formula>LEN(TRIM(C7418))&gt;0</formula>
    </cfRule>
  </conditionalFormatting>
  <conditionalFormatting sqref="C7423:F7423">
    <cfRule type="notContainsBlanks" dxfId="1357" priority="4922">
      <formula>LEN(TRIM(C7423))&gt;0</formula>
    </cfRule>
  </conditionalFormatting>
  <conditionalFormatting sqref="C7427:F7428">
    <cfRule type="notContainsBlanks" dxfId="1356" priority="4927">
      <formula>LEN(TRIM(C7427))&gt;0</formula>
    </cfRule>
  </conditionalFormatting>
  <conditionalFormatting sqref="C7432:F7433">
    <cfRule type="notContainsBlanks" dxfId="1355" priority="4932">
      <formula>LEN(TRIM(C7432))&gt;0</formula>
    </cfRule>
  </conditionalFormatting>
  <conditionalFormatting sqref="C7437:F7440">
    <cfRule type="notContainsBlanks" dxfId="1354" priority="4937">
      <formula>LEN(TRIM(C7437))&gt;0</formula>
    </cfRule>
  </conditionalFormatting>
  <conditionalFormatting sqref="C7448:F7449">
    <cfRule type="notContainsBlanks" dxfId="1353" priority="4947">
      <formula>LEN(TRIM(C7448))&gt;0</formula>
    </cfRule>
  </conditionalFormatting>
  <conditionalFormatting sqref="C7457:F7458">
    <cfRule type="notContainsBlanks" dxfId="1352" priority="4957">
      <formula>LEN(TRIM(C7457))&gt;0</formula>
    </cfRule>
  </conditionalFormatting>
  <conditionalFormatting sqref="C7462:F7462">
    <cfRule type="notContainsBlanks" dxfId="1351" priority="4962">
      <formula>LEN(TRIM(C7462))&gt;0</formula>
    </cfRule>
  </conditionalFormatting>
  <conditionalFormatting sqref="C7466:F7467">
    <cfRule type="notContainsBlanks" dxfId="1350" priority="4967">
      <formula>LEN(TRIM(C7466))&gt;0</formula>
    </cfRule>
  </conditionalFormatting>
  <conditionalFormatting sqref="C7471:F7472">
    <cfRule type="notContainsBlanks" dxfId="1349" priority="4972">
      <formula>LEN(TRIM(C7471))&gt;0</formula>
    </cfRule>
  </conditionalFormatting>
  <conditionalFormatting sqref="C7476:F7477">
    <cfRule type="notContainsBlanks" dxfId="1348" priority="4977">
      <formula>LEN(TRIM(C7476))&gt;0</formula>
    </cfRule>
  </conditionalFormatting>
  <conditionalFormatting sqref="C7481:F7482">
    <cfRule type="notContainsBlanks" dxfId="1347" priority="4982">
      <formula>LEN(TRIM(C7481))&gt;0</formula>
    </cfRule>
  </conditionalFormatting>
  <conditionalFormatting sqref="C7486:F7487">
    <cfRule type="notContainsBlanks" dxfId="1346" priority="4987">
      <formula>LEN(TRIM(C7486))&gt;0</formula>
    </cfRule>
  </conditionalFormatting>
  <conditionalFormatting sqref="C7491:F7492">
    <cfRule type="notContainsBlanks" dxfId="1345" priority="4992">
      <formula>LEN(TRIM(C7491))&gt;0</formula>
    </cfRule>
  </conditionalFormatting>
  <conditionalFormatting sqref="C7496:F7496">
    <cfRule type="notContainsBlanks" dxfId="1344" priority="4997">
      <formula>LEN(TRIM(C7496))&gt;0</formula>
    </cfRule>
  </conditionalFormatting>
  <conditionalFormatting sqref="C7500:F7501">
    <cfRule type="notContainsBlanks" dxfId="1343" priority="5002">
      <formula>LEN(TRIM(C7500))&gt;0</formula>
    </cfRule>
  </conditionalFormatting>
  <conditionalFormatting sqref="C7505:F7506">
    <cfRule type="notContainsBlanks" dxfId="1342" priority="5007">
      <formula>LEN(TRIM(C7505))&gt;0</formula>
    </cfRule>
  </conditionalFormatting>
  <conditionalFormatting sqref="C7510:F7513">
    <cfRule type="notContainsBlanks" dxfId="1341" priority="5012">
      <formula>LEN(TRIM(C7510))&gt;0</formula>
    </cfRule>
  </conditionalFormatting>
  <conditionalFormatting sqref="C7521:F7521">
    <cfRule type="notContainsBlanks" dxfId="1340" priority="5022">
      <formula>LEN(TRIM(C7521))&gt;0</formula>
    </cfRule>
  </conditionalFormatting>
  <conditionalFormatting sqref="C7529:F7530">
    <cfRule type="notContainsBlanks" dxfId="1339" priority="5032">
      <formula>LEN(TRIM(C7529))&gt;0</formula>
    </cfRule>
  </conditionalFormatting>
  <conditionalFormatting sqref="C7534:F7534">
    <cfRule type="notContainsBlanks" dxfId="1338" priority="5037">
      <formula>LEN(TRIM(C7534))&gt;0</formula>
    </cfRule>
  </conditionalFormatting>
  <conditionalFormatting sqref="C7538:F7539">
    <cfRule type="notContainsBlanks" dxfId="1337" priority="5042">
      <formula>LEN(TRIM(C7538))&gt;0</formula>
    </cfRule>
  </conditionalFormatting>
  <conditionalFormatting sqref="C7543:F7543">
    <cfRule type="notContainsBlanks" dxfId="1336" priority="5047">
      <formula>LEN(TRIM(C7543))&gt;0</formula>
    </cfRule>
  </conditionalFormatting>
  <conditionalFormatting sqref="C7547:F7548">
    <cfRule type="notContainsBlanks" dxfId="1335" priority="5052">
      <formula>LEN(TRIM(C7547))&gt;0</formula>
    </cfRule>
  </conditionalFormatting>
  <conditionalFormatting sqref="C7552:F7553">
    <cfRule type="notContainsBlanks" dxfId="1334" priority="5057">
      <formula>LEN(TRIM(C7552))&gt;0</formula>
    </cfRule>
  </conditionalFormatting>
  <conditionalFormatting sqref="C7557:F7558">
    <cfRule type="notContainsBlanks" dxfId="1333" priority="5062">
      <formula>LEN(TRIM(C7557))&gt;0</formula>
    </cfRule>
  </conditionalFormatting>
  <conditionalFormatting sqref="C7562:F7563">
    <cfRule type="notContainsBlanks" dxfId="1332" priority="5067">
      <formula>LEN(TRIM(C7562))&gt;0</formula>
    </cfRule>
  </conditionalFormatting>
  <conditionalFormatting sqref="C7567:F7567">
    <cfRule type="notContainsBlanks" dxfId="1331" priority="5072">
      <formula>LEN(TRIM(C7567))&gt;0</formula>
    </cfRule>
  </conditionalFormatting>
  <conditionalFormatting sqref="C7571:F7572">
    <cfRule type="notContainsBlanks" dxfId="1330" priority="5077">
      <formula>LEN(TRIM(C7571))&gt;0</formula>
    </cfRule>
  </conditionalFormatting>
  <conditionalFormatting sqref="C7576:F7577">
    <cfRule type="notContainsBlanks" dxfId="1329" priority="5082">
      <formula>LEN(TRIM(C7576))&gt;0</formula>
    </cfRule>
  </conditionalFormatting>
  <conditionalFormatting sqref="C7581:F7584">
    <cfRule type="notContainsBlanks" dxfId="1328" priority="5087">
      <formula>LEN(TRIM(C7581))&gt;0</formula>
    </cfRule>
  </conditionalFormatting>
  <conditionalFormatting sqref="C7592:F7592">
    <cfRule type="notContainsBlanks" dxfId="1327" priority="5097">
      <formula>LEN(TRIM(C7592))&gt;0</formula>
    </cfRule>
  </conditionalFormatting>
  <conditionalFormatting sqref="C7600:F7601">
    <cfRule type="notContainsBlanks" dxfId="1326" priority="5107">
      <formula>LEN(TRIM(C7600))&gt;0</formula>
    </cfRule>
  </conditionalFormatting>
  <conditionalFormatting sqref="C7605:F7606">
    <cfRule type="notContainsBlanks" dxfId="1325" priority="5112">
      <formula>LEN(TRIM(C7605))&gt;0</formula>
    </cfRule>
  </conditionalFormatting>
  <conditionalFormatting sqref="C7610:F7611">
    <cfRule type="notContainsBlanks" dxfId="1324" priority="5117">
      <formula>LEN(TRIM(C7610))&gt;0</formula>
    </cfRule>
  </conditionalFormatting>
  <conditionalFormatting sqref="C7615:F7615">
    <cfRule type="notContainsBlanks" dxfId="1323" priority="5122">
      <formula>LEN(TRIM(C7615))&gt;0</formula>
    </cfRule>
  </conditionalFormatting>
  <conditionalFormatting sqref="C7619:F7620">
    <cfRule type="notContainsBlanks" dxfId="1322" priority="5127">
      <formula>LEN(TRIM(C7619))&gt;0</formula>
    </cfRule>
  </conditionalFormatting>
  <conditionalFormatting sqref="C7624:F7625">
    <cfRule type="notContainsBlanks" dxfId="1321" priority="5132">
      <formula>LEN(TRIM(C7624))&gt;0</formula>
    </cfRule>
  </conditionalFormatting>
  <conditionalFormatting sqref="C7629:F7630">
    <cfRule type="notContainsBlanks" dxfId="1320" priority="5137">
      <formula>LEN(TRIM(C7629))&gt;0</formula>
    </cfRule>
  </conditionalFormatting>
  <conditionalFormatting sqref="C7634:F7635">
    <cfRule type="notContainsBlanks" dxfId="1319" priority="5142">
      <formula>LEN(TRIM(C7634))&gt;0</formula>
    </cfRule>
  </conditionalFormatting>
  <conditionalFormatting sqref="C7639:F7639">
    <cfRule type="notContainsBlanks" dxfId="1318" priority="5147">
      <formula>LEN(TRIM(C7639))&gt;0</formula>
    </cfRule>
  </conditionalFormatting>
  <conditionalFormatting sqref="C7643:F7644">
    <cfRule type="notContainsBlanks" dxfId="1317" priority="5152">
      <formula>LEN(TRIM(C7643))&gt;0</formula>
    </cfRule>
  </conditionalFormatting>
  <conditionalFormatting sqref="C7648:F7649">
    <cfRule type="notContainsBlanks" dxfId="1316" priority="5157">
      <formula>LEN(TRIM(C7648))&gt;0</formula>
    </cfRule>
  </conditionalFormatting>
  <conditionalFormatting sqref="C7653:F7656">
    <cfRule type="notContainsBlanks" dxfId="1315" priority="5162">
      <formula>LEN(TRIM(C7653))&gt;0</formula>
    </cfRule>
  </conditionalFormatting>
  <conditionalFormatting sqref="C7664:F7665">
    <cfRule type="notContainsBlanks" dxfId="1314" priority="5172">
      <formula>LEN(TRIM(C7664))&gt;0</formula>
    </cfRule>
  </conditionalFormatting>
  <conditionalFormatting sqref="C7673:F7674">
    <cfRule type="notContainsBlanks" dxfId="1313" priority="5182">
      <formula>LEN(TRIM(C7673))&gt;0</formula>
    </cfRule>
  </conditionalFormatting>
  <conditionalFormatting sqref="C7678:F7679">
    <cfRule type="notContainsBlanks" dxfId="1312" priority="5187">
      <formula>LEN(TRIM(C7678))&gt;0</formula>
    </cfRule>
  </conditionalFormatting>
  <conditionalFormatting sqref="C7683:F7684">
    <cfRule type="notContainsBlanks" dxfId="1311" priority="5192">
      <formula>LEN(TRIM(C7683))&gt;0</formula>
    </cfRule>
  </conditionalFormatting>
  <conditionalFormatting sqref="C7688:F7689">
    <cfRule type="notContainsBlanks" dxfId="1310" priority="5197">
      <formula>LEN(TRIM(C7688))&gt;0</formula>
    </cfRule>
  </conditionalFormatting>
  <conditionalFormatting sqref="C7693:F7694">
    <cfRule type="notContainsBlanks" dxfId="1309" priority="5202">
      <formula>LEN(TRIM(C7693))&gt;0</formula>
    </cfRule>
  </conditionalFormatting>
  <conditionalFormatting sqref="C7698:F7699">
    <cfRule type="notContainsBlanks" dxfId="1308" priority="5207">
      <formula>LEN(TRIM(C7698))&gt;0</formula>
    </cfRule>
  </conditionalFormatting>
  <conditionalFormatting sqref="C7703:F7704">
    <cfRule type="notContainsBlanks" dxfId="1307" priority="5212">
      <formula>LEN(TRIM(C7703))&gt;0</formula>
    </cfRule>
  </conditionalFormatting>
  <conditionalFormatting sqref="C7708:F7709">
    <cfRule type="notContainsBlanks" dxfId="1306" priority="5217">
      <formula>LEN(TRIM(C7708))&gt;0</formula>
    </cfRule>
  </conditionalFormatting>
  <conditionalFormatting sqref="C7713:F7713">
    <cfRule type="notContainsBlanks" dxfId="1305" priority="5222">
      <formula>LEN(TRIM(C7713))&gt;0</formula>
    </cfRule>
  </conditionalFormatting>
  <conditionalFormatting sqref="C7717:F7718">
    <cfRule type="notContainsBlanks" dxfId="1304" priority="5227">
      <formula>LEN(TRIM(C7717))&gt;0</formula>
    </cfRule>
  </conditionalFormatting>
  <conditionalFormatting sqref="C7722:F7723">
    <cfRule type="notContainsBlanks" dxfId="1303" priority="5232">
      <formula>LEN(TRIM(C7722))&gt;0</formula>
    </cfRule>
  </conditionalFormatting>
  <conditionalFormatting sqref="C7727:F7730">
    <cfRule type="notContainsBlanks" dxfId="1302" priority="5237">
      <formula>LEN(TRIM(C7727))&gt;0</formula>
    </cfRule>
  </conditionalFormatting>
  <conditionalFormatting sqref="C7738:F7738">
    <cfRule type="notContainsBlanks" dxfId="1301" priority="5247">
      <formula>LEN(TRIM(C7738))&gt;0</formula>
    </cfRule>
  </conditionalFormatting>
  <conditionalFormatting sqref="C7746:F7747">
    <cfRule type="notContainsBlanks" dxfId="1300" priority="5257">
      <formula>LEN(TRIM(C7746))&gt;0</formula>
    </cfRule>
  </conditionalFormatting>
  <conditionalFormatting sqref="C7751:F7751">
    <cfRule type="notContainsBlanks" dxfId="1299" priority="5262">
      <formula>LEN(TRIM(C7751))&gt;0</formula>
    </cfRule>
  </conditionalFormatting>
  <conditionalFormatting sqref="C7755:F7756">
    <cfRule type="notContainsBlanks" dxfId="1298" priority="5267">
      <formula>LEN(TRIM(C7755))&gt;0</formula>
    </cfRule>
  </conditionalFormatting>
  <conditionalFormatting sqref="C7760:F7760">
    <cfRule type="notContainsBlanks" dxfId="1297" priority="5272">
      <formula>LEN(TRIM(C7760))&gt;0</formula>
    </cfRule>
  </conditionalFormatting>
  <conditionalFormatting sqref="C7764:F7765">
    <cfRule type="notContainsBlanks" dxfId="1296" priority="5277">
      <formula>LEN(TRIM(C7764))&gt;0</formula>
    </cfRule>
  </conditionalFormatting>
  <conditionalFormatting sqref="C7769:F7770">
    <cfRule type="notContainsBlanks" dxfId="1295" priority="5282">
      <formula>LEN(TRIM(C7769))&gt;0</formula>
    </cfRule>
  </conditionalFormatting>
  <conditionalFormatting sqref="C7774:F7775">
    <cfRule type="notContainsBlanks" dxfId="1294" priority="5287">
      <formula>LEN(TRIM(C7774))&gt;0</formula>
    </cfRule>
  </conditionalFormatting>
  <conditionalFormatting sqref="C7779:F7780">
    <cfRule type="notContainsBlanks" dxfId="1293" priority="5292">
      <formula>LEN(TRIM(C7779))&gt;0</formula>
    </cfRule>
  </conditionalFormatting>
  <conditionalFormatting sqref="C7784:F7784">
    <cfRule type="notContainsBlanks" dxfId="1292" priority="5297">
      <formula>LEN(TRIM(C7784))&gt;0</formula>
    </cfRule>
  </conditionalFormatting>
  <conditionalFormatting sqref="C7788:F7789">
    <cfRule type="notContainsBlanks" dxfId="1291" priority="5302">
      <formula>LEN(TRIM(C7788))&gt;0</formula>
    </cfRule>
  </conditionalFormatting>
  <conditionalFormatting sqref="C7793:F7794">
    <cfRule type="notContainsBlanks" dxfId="1290" priority="5307">
      <formula>LEN(TRIM(C7793))&gt;0</formula>
    </cfRule>
  </conditionalFormatting>
  <conditionalFormatting sqref="C7798:F7801">
    <cfRule type="notContainsBlanks" dxfId="1289" priority="5312">
      <formula>LEN(TRIM(C7798))&gt;0</formula>
    </cfRule>
  </conditionalFormatting>
  <conditionalFormatting sqref="C7809:F7809">
    <cfRule type="notContainsBlanks" dxfId="1288" priority="5322">
      <formula>LEN(TRIM(C7809))&gt;0</formula>
    </cfRule>
  </conditionalFormatting>
  <conditionalFormatting sqref="C7817:F7818">
    <cfRule type="notContainsBlanks" dxfId="1287" priority="5332">
      <formula>LEN(TRIM(C7817))&gt;0</formula>
    </cfRule>
  </conditionalFormatting>
  <conditionalFormatting sqref="C7822:F7822">
    <cfRule type="notContainsBlanks" dxfId="1286" priority="5337">
      <formula>LEN(TRIM(C7822))&gt;0</formula>
    </cfRule>
  </conditionalFormatting>
  <conditionalFormatting sqref="C7826:F7826">
    <cfRule type="notContainsBlanks" dxfId="1285" priority="5342">
      <formula>LEN(TRIM(C7826))&gt;0</formula>
    </cfRule>
  </conditionalFormatting>
  <conditionalFormatting sqref="C7830:F7831">
    <cfRule type="notContainsBlanks" dxfId="1284" priority="5347">
      <formula>LEN(TRIM(C7830))&gt;0</formula>
    </cfRule>
  </conditionalFormatting>
  <conditionalFormatting sqref="C7835:F7836">
    <cfRule type="notContainsBlanks" dxfId="1283" priority="5352">
      <formula>LEN(TRIM(C7835))&gt;0</formula>
    </cfRule>
  </conditionalFormatting>
  <conditionalFormatting sqref="C7840:F7841">
    <cfRule type="notContainsBlanks" dxfId="1282" priority="5357">
      <formula>LEN(TRIM(C7840))&gt;0</formula>
    </cfRule>
  </conditionalFormatting>
  <conditionalFormatting sqref="C7845:F7846">
    <cfRule type="notContainsBlanks" dxfId="1281" priority="5362">
      <formula>LEN(TRIM(C7845))&gt;0</formula>
    </cfRule>
  </conditionalFormatting>
  <conditionalFormatting sqref="C7850:F7851">
    <cfRule type="notContainsBlanks" dxfId="1280" priority="5367">
      <formula>LEN(TRIM(C7850))&gt;0</formula>
    </cfRule>
  </conditionalFormatting>
  <conditionalFormatting sqref="C7855:F7855">
    <cfRule type="notContainsBlanks" dxfId="1279" priority="5372">
      <formula>LEN(TRIM(C7855))&gt;0</formula>
    </cfRule>
  </conditionalFormatting>
  <conditionalFormatting sqref="C7859:F7860">
    <cfRule type="notContainsBlanks" dxfId="1278" priority="5377">
      <formula>LEN(TRIM(C7859))&gt;0</formula>
    </cfRule>
  </conditionalFormatting>
  <conditionalFormatting sqref="C7864:F7864">
    <cfRule type="notContainsBlanks" dxfId="1277" priority="5382">
      <formula>LEN(TRIM(C7864))&gt;0</formula>
    </cfRule>
  </conditionalFormatting>
  <conditionalFormatting sqref="C7868:F7871">
    <cfRule type="notContainsBlanks" dxfId="1276" priority="5387">
      <formula>LEN(TRIM(C7868))&gt;0</formula>
    </cfRule>
  </conditionalFormatting>
  <conditionalFormatting sqref="C7879:F7879">
    <cfRule type="notContainsBlanks" dxfId="1275" priority="5397">
      <formula>LEN(TRIM(C7879))&gt;0</formula>
    </cfRule>
  </conditionalFormatting>
  <conditionalFormatting sqref="C7887:F7887">
    <cfRule type="notContainsBlanks" dxfId="1274" priority="5407">
      <formula>LEN(TRIM(C7887))&gt;0</formula>
    </cfRule>
  </conditionalFormatting>
  <conditionalFormatting sqref="C7891:F7891">
    <cfRule type="notContainsBlanks" dxfId="1273" priority="5412">
      <formula>LEN(TRIM(C7891))&gt;0</formula>
    </cfRule>
  </conditionalFormatting>
  <conditionalFormatting sqref="C7895:F7896">
    <cfRule type="notContainsBlanks" dxfId="1272" priority="5417">
      <formula>LEN(TRIM(C7895))&gt;0</formula>
    </cfRule>
  </conditionalFormatting>
  <conditionalFormatting sqref="C7900:F7900">
    <cfRule type="notContainsBlanks" dxfId="1271" priority="5422">
      <formula>LEN(TRIM(C7900))&gt;0</formula>
    </cfRule>
  </conditionalFormatting>
  <conditionalFormatting sqref="C7904:F7905">
    <cfRule type="notContainsBlanks" dxfId="1270" priority="5427">
      <formula>LEN(TRIM(C7904))&gt;0</formula>
    </cfRule>
  </conditionalFormatting>
  <conditionalFormatting sqref="C7909:F7910">
    <cfRule type="notContainsBlanks" dxfId="1269" priority="5432">
      <formula>LEN(TRIM(C7909))&gt;0</formula>
    </cfRule>
  </conditionalFormatting>
  <conditionalFormatting sqref="C7914:F7915">
    <cfRule type="notContainsBlanks" dxfId="1268" priority="5437">
      <formula>LEN(TRIM(C7914))&gt;0</formula>
    </cfRule>
  </conditionalFormatting>
  <conditionalFormatting sqref="C7919:F7920">
    <cfRule type="notContainsBlanks" dxfId="1267" priority="5442">
      <formula>LEN(TRIM(C7919))&gt;0</formula>
    </cfRule>
  </conditionalFormatting>
  <conditionalFormatting sqref="C7924:F7924">
    <cfRule type="notContainsBlanks" dxfId="1266" priority="5447">
      <formula>LEN(TRIM(C7924))&gt;0</formula>
    </cfRule>
  </conditionalFormatting>
  <conditionalFormatting sqref="C7928:F7929">
    <cfRule type="notContainsBlanks" dxfId="1265" priority="5452">
      <formula>LEN(TRIM(C7928))&gt;0</formula>
    </cfRule>
  </conditionalFormatting>
  <conditionalFormatting sqref="C7933:F7934">
    <cfRule type="notContainsBlanks" dxfId="1264" priority="5457">
      <formula>LEN(TRIM(C7933))&gt;0</formula>
    </cfRule>
  </conditionalFormatting>
  <conditionalFormatting sqref="C7938:F7941">
    <cfRule type="notContainsBlanks" dxfId="1263" priority="5462">
      <formula>LEN(TRIM(C7938))&gt;0</formula>
    </cfRule>
  </conditionalFormatting>
  <conditionalFormatting sqref="C7949:F7950">
    <cfRule type="notContainsBlanks" dxfId="1262" priority="5472">
      <formula>LEN(TRIM(C7949))&gt;0</formula>
    </cfRule>
  </conditionalFormatting>
  <conditionalFormatting sqref="C7958:F7959">
    <cfRule type="notContainsBlanks" dxfId="1261" priority="5482">
      <formula>LEN(TRIM(C7958))&gt;0</formula>
    </cfRule>
  </conditionalFormatting>
  <conditionalFormatting sqref="C7963:F7964">
    <cfRule type="notContainsBlanks" dxfId="1260" priority="5487">
      <formula>LEN(TRIM(C7963))&gt;0</formula>
    </cfRule>
  </conditionalFormatting>
  <conditionalFormatting sqref="C7968:F7969">
    <cfRule type="notContainsBlanks" dxfId="1259" priority="5492">
      <formula>LEN(TRIM(C7968))&gt;0</formula>
    </cfRule>
  </conditionalFormatting>
  <conditionalFormatting sqref="C7973:F7973">
    <cfRule type="notContainsBlanks" dxfId="1258" priority="5497">
      <formula>LEN(TRIM(C7973))&gt;0</formula>
    </cfRule>
  </conditionalFormatting>
  <conditionalFormatting sqref="C7977:F7978">
    <cfRule type="notContainsBlanks" dxfId="1257" priority="5502">
      <formula>LEN(TRIM(C7977))&gt;0</formula>
    </cfRule>
  </conditionalFormatting>
  <conditionalFormatting sqref="C7982:F7983">
    <cfRule type="notContainsBlanks" dxfId="1256" priority="5507">
      <formula>LEN(TRIM(C7982))&gt;0</formula>
    </cfRule>
  </conditionalFormatting>
  <conditionalFormatting sqref="C7987:F7988">
    <cfRule type="notContainsBlanks" dxfId="1255" priority="5512">
      <formula>LEN(TRIM(C7987))&gt;0</formula>
    </cfRule>
  </conditionalFormatting>
  <conditionalFormatting sqref="C7992:F7993">
    <cfRule type="notContainsBlanks" dxfId="1254" priority="5517">
      <formula>LEN(TRIM(C7992))&gt;0</formula>
    </cfRule>
  </conditionalFormatting>
  <conditionalFormatting sqref="C7997:F7997">
    <cfRule type="notContainsBlanks" dxfId="1253" priority="5522">
      <formula>LEN(TRIM(C7997))&gt;0</formula>
    </cfRule>
  </conditionalFormatting>
  <conditionalFormatting sqref="C8001:F8002">
    <cfRule type="notContainsBlanks" dxfId="1252" priority="5527">
      <formula>LEN(TRIM(C8001))&gt;0</formula>
    </cfRule>
  </conditionalFormatting>
  <conditionalFormatting sqref="C8006:F8007">
    <cfRule type="notContainsBlanks" dxfId="1251" priority="5532">
      <formula>LEN(TRIM(C8006))&gt;0</formula>
    </cfRule>
  </conditionalFormatting>
  <conditionalFormatting sqref="C8011:F8014">
    <cfRule type="notContainsBlanks" dxfId="1250" priority="5537">
      <formula>LEN(TRIM(C8011))&gt;0</formula>
    </cfRule>
  </conditionalFormatting>
  <conditionalFormatting sqref="C8022:F8022">
    <cfRule type="notContainsBlanks" dxfId="1249" priority="5547">
      <formula>LEN(TRIM(C8022))&gt;0</formula>
    </cfRule>
  </conditionalFormatting>
  <conditionalFormatting sqref="C8030:F8030">
    <cfRule type="notContainsBlanks" dxfId="1248" priority="5557">
      <formula>LEN(TRIM(C8030))&gt;0</formula>
    </cfRule>
  </conditionalFormatting>
  <conditionalFormatting sqref="C8034:F8034">
    <cfRule type="notContainsBlanks" dxfId="1247" priority="5562">
      <formula>LEN(TRIM(C8034))&gt;0</formula>
    </cfRule>
  </conditionalFormatting>
  <conditionalFormatting sqref="C8038:F8039">
    <cfRule type="notContainsBlanks" dxfId="1246" priority="5567">
      <formula>LEN(TRIM(C8038))&gt;0</formula>
    </cfRule>
  </conditionalFormatting>
  <conditionalFormatting sqref="C8043:F8043">
    <cfRule type="notContainsBlanks" dxfId="1245" priority="5572">
      <formula>LEN(TRIM(C8043))&gt;0</formula>
    </cfRule>
  </conditionalFormatting>
  <conditionalFormatting sqref="C8047:F8048">
    <cfRule type="notContainsBlanks" dxfId="1244" priority="5577">
      <formula>LEN(TRIM(C8047))&gt;0</formula>
    </cfRule>
  </conditionalFormatting>
  <conditionalFormatting sqref="C8052:F8053">
    <cfRule type="notContainsBlanks" dxfId="1243" priority="5582">
      <formula>LEN(TRIM(C8052))&gt;0</formula>
    </cfRule>
  </conditionalFormatting>
  <conditionalFormatting sqref="C8057:F8058">
    <cfRule type="notContainsBlanks" dxfId="1242" priority="5587">
      <formula>LEN(TRIM(C8057))&gt;0</formula>
    </cfRule>
  </conditionalFormatting>
  <conditionalFormatting sqref="C8062:F8062">
    <cfRule type="notContainsBlanks" dxfId="1241" priority="5592">
      <formula>LEN(TRIM(C8062))&gt;0</formula>
    </cfRule>
  </conditionalFormatting>
  <conditionalFormatting sqref="C8066:F8066">
    <cfRule type="notContainsBlanks" dxfId="1240" priority="5597">
      <formula>LEN(TRIM(C8066))&gt;0</formula>
    </cfRule>
  </conditionalFormatting>
  <conditionalFormatting sqref="C8070:F8071">
    <cfRule type="notContainsBlanks" dxfId="1239" priority="5602">
      <formula>LEN(TRIM(C8070))&gt;0</formula>
    </cfRule>
  </conditionalFormatting>
  <conditionalFormatting sqref="C8075:F8076">
    <cfRule type="notContainsBlanks" dxfId="1238" priority="5607">
      <formula>LEN(TRIM(C8075))&gt;0</formula>
    </cfRule>
  </conditionalFormatting>
  <conditionalFormatting sqref="C8080:F8083">
    <cfRule type="notContainsBlanks" dxfId="1237" priority="5612">
      <formula>LEN(TRIM(C8080))&gt;0</formula>
    </cfRule>
  </conditionalFormatting>
  <conditionalFormatting sqref="C8091:F8091">
    <cfRule type="notContainsBlanks" dxfId="1236" priority="5622">
      <formula>LEN(TRIM(C8091))&gt;0</formula>
    </cfRule>
  </conditionalFormatting>
  <conditionalFormatting sqref="C8099:F8100">
    <cfRule type="notContainsBlanks" dxfId="1235" priority="5632">
      <formula>LEN(TRIM(C8099))&gt;0</formula>
    </cfRule>
  </conditionalFormatting>
  <conditionalFormatting sqref="C8104:F8104">
    <cfRule type="notContainsBlanks" dxfId="1234" priority="5637">
      <formula>LEN(TRIM(C8104))&gt;0</formula>
    </cfRule>
  </conditionalFormatting>
  <conditionalFormatting sqref="C8108:F8109">
    <cfRule type="notContainsBlanks" dxfId="1233" priority="5642">
      <formula>LEN(TRIM(C8108))&gt;0</formula>
    </cfRule>
  </conditionalFormatting>
  <conditionalFormatting sqref="C8113:F8113">
    <cfRule type="notContainsBlanks" dxfId="1232" priority="5647">
      <formula>LEN(TRIM(C8113))&gt;0</formula>
    </cfRule>
  </conditionalFormatting>
  <conditionalFormatting sqref="C8117:F8118">
    <cfRule type="notContainsBlanks" dxfId="1231" priority="5652">
      <formula>LEN(TRIM(C8117))&gt;0</formula>
    </cfRule>
  </conditionalFormatting>
  <conditionalFormatting sqref="C8122:F8123">
    <cfRule type="notContainsBlanks" dxfId="1230" priority="5657">
      <formula>LEN(TRIM(C8122))&gt;0</formula>
    </cfRule>
  </conditionalFormatting>
  <conditionalFormatting sqref="C8127:F8128">
    <cfRule type="notContainsBlanks" dxfId="1229" priority="5662">
      <formula>LEN(TRIM(C8127))&gt;0</formula>
    </cfRule>
  </conditionalFormatting>
  <conditionalFormatting sqref="C8132:F8133">
    <cfRule type="notContainsBlanks" dxfId="1228" priority="5667">
      <formula>LEN(TRIM(C8132))&gt;0</formula>
    </cfRule>
  </conditionalFormatting>
  <conditionalFormatting sqref="C8137:F8137">
    <cfRule type="notContainsBlanks" dxfId="1227" priority="5672">
      <formula>LEN(TRIM(C8137))&gt;0</formula>
    </cfRule>
  </conditionalFormatting>
  <conditionalFormatting sqref="C8141:F8142">
    <cfRule type="notContainsBlanks" dxfId="1226" priority="5677">
      <formula>LEN(TRIM(C8141))&gt;0</formula>
    </cfRule>
  </conditionalFormatting>
  <conditionalFormatting sqref="C8146:F8147">
    <cfRule type="notContainsBlanks" dxfId="1225" priority="5682">
      <formula>LEN(TRIM(C8146))&gt;0</formula>
    </cfRule>
  </conditionalFormatting>
  <conditionalFormatting sqref="C8151:F8154">
    <cfRule type="notContainsBlanks" dxfId="1224" priority="5687">
      <formula>LEN(TRIM(C8151))&gt;0</formula>
    </cfRule>
  </conditionalFormatting>
  <conditionalFormatting sqref="C8162:F8162">
    <cfRule type="notContainsBlanks" dxfId="1223" priority="5697">
      <formula>LEN(TRIM(C8162))&gt;0</formula>
    </cfRule>
  </conditionalFormatting>
  <conditionalFormatting sqref="C8170:F8170">
    <cfRule type="notContainsBlanks" dxfId="1222" priority="5707">
      <formula>LEN(TRIM(C8170))&gt;0</formula>
    </cfRule>
  </conditionalFormatting>
  <conditionalFormatting sqref="C8174:F8174">
    <cfRule type="notContainsBlanks" dxfId="1221" priority="5712">
      <formula>LEN(TRIM(C8174))&gt;0</formula>
    </cfRule>
  </conditionalFormatting>
  <conditionalFormatting sqref="C8178:F8178">
    <cfRule type="notContainsBlanks" dxfId="1220" priority="5717">
      <formula>LEN(TRIM(C8178))&gt;0</formula>
    </cfRule>
  </conditionalFormatting>
  <conditionalFormatting sqref="C8182:F8182">
    <cfRule type="notContainsBlanks" dxfId="1219" priority="5722">
      <formula>LEN(TRIM(C8182))&gt;0</formula>
    </cfRule>
  </conditionalFormatting>
  <conditionalFormatting sqref="C8186:F8187">
    <cfRule type="notContainsBlanks" dxfId="1218" priority="5727">
      <formula>LEN(TRIM(C8186))&gt;0</formula>
    </cfRule>
  </conditionalFormatting>
  <conditionalFormatting sqref="C8191:F8192">
    <cfRule type="notContainsBlanks" dxfId="1217" priority="5732">
      <formula>LEN(TRIM(C8191))&gt;0</formula>
    </cfRule>
  </conditionalFormatting>
  <conditionalFormatting sqref="C8196:F8197">
    <cfRule type="notContainsBlanks" dxfId="1216" priority="5737">
      <formula>LEN(TRIM(C8196))&gt;0</formula>
    </cfRule>
  </conditionalFormatting>
  <conditionalFormatting sqref="C8201:F8201">
    <cfRule type="notContainsBlanks" dxfId="1215" priority="5742">
      <formula>LEN(TRIM(C8201))&gt;0</formula>
    </cfRule>
  </conditionalFormatting>
  <conditionalFormatting sqref="C8205:F8205">
    <cfRule type="notContainsBlanks" dxfId="1214" priority="5747">
      <formula>LEN(TRIM(C8205))&gt;0</formula>
    </cfRule>
  </conditionalFormatting>
  <conditionalFormatting sqref="C8209:F8210">
    <cfRule type="notContainsBlanks" dxfId="1213" priority="5752">
      <formula>LEN(TRIM(C8209))&gt;0</formula>
    </cfRule>
  </conditionalFormatting>
  <conditionalFormatting sqref="C8214:F8214">
    <cfRule type="notContainsBlanks" dxfId="1212" priority="5757">
      <formula>LEN(TRIM(C8214))&gt;0</formula>
    </cfRule>
  </conditionalFormatting>
  <conditionalFormatting sqref="C8218:F8220">
    <cfRule type="notContainsBlanks" dxfId="1211" priority="5762">
      <formula>LEN(TRIM(C8218))&gt;0</formula>
    </cfRule>
  </conditionalFormatting>
  <conditionalFormatting sqref="C8228:F8229">
    <cfRule type="notContainsBlanks" dxfId="1210" priority="5772">
      <formula>LEN(TRIM(C8228))&gt;0</formula>
    </cfRule>
  </conditionalFormatting>
  <conditionalFormatting sqref="C8237:F8238">
    <cfRule type="notContainsBlanks" dxfId="1209" priority="5782">
      <formula>LEN(TRIM(C8237))&gt;0</formula>
    </cfRule>
  </conditionalFormatting>
  <conditionalFormatting sqref="C8242:F8242">
    <cfRule type="notContainsBlanks" dxfId="1208" priority="5787">
      <formula>LEN(TRIM(C8242))&gt;0</formula>
    </cfRule>
  </conditionalFormatting>
  <conditionalFormatting sqref="C8246:F8247">
    <cfRule type="notContainsBlanks" dxfId="1207" priority="5792">
      <formula>LEN(TRIM(C8246))&gt;0</formula>
    </cfRule>
  </conditionalFormatting>
  <conditionalFormatting sqref="C8251:F8251">
    <cfRule type="notContainsBlanks" dxfId="1206" priority="5797">
      <formula>LEN(TRIM(C8251))&gt;0</formula>
    </cfRule>
  </conditionalFormatting>
  <conditionalFormatting sqref="C8255:F8256">
    <cfRule type="notContainsBlanks" dxfId="1205" priority="5802">
      <formula>LEN(TRIM(C8255))&gt;0</formula>
    </cfRule>
  </conditionalFormatting>
  <conditionalFormatting sqref="C8260:F8261">
    <cfRule type="notContainsBlanks" dxfId="1204" priority="5807">
      <formula>LEN(TRIM(C8260))&gt;0</formula>
    </cfRule>
  </conditionalFormatting>
  <conditionalFormatting sqref="C8265:F8266">
    <cfRule type="notContainsBlanks" dxfId="1203" priority="5812">
      <formula>LEN(TRIM(C8265))&gt;0</formula>
    </cfRule>
  </conditionalFormatting>
  <conditionalFormatting sqref="C8270:F8270">
    <cfRule type="notContainsBlanks" dxfId="1202" priority="5817">
      <formula>LEN(TRIM(C8270))&gt;0</formula>
    </cfRule>
  </conditionalFormatting>
  <conditionalFormatting sqref="C8274:F8274">
    <cfRule type="notContainsBlanks" dxfId="1201" priority="5822">
      <formula>LEN(TRIM(C8274))&gt;0</formula>
    </cfRule>
  </conditionalFormatting>
  <conditionalFormatting sqref="C8278:F8279">
    <cfRule type="notContainsBlanks" dxfId="1200" priority="5827">
      <formula>LEN(TRIM(C8278))&gt;0</formula>
    </cfRule>
  </conditionalFormatting>
  <conditionalFormatting sqref="C8283:F8284">
    <cfRule type="notContainsBlanks" dxfId="1199" priority="5832">
      <formula>LEN(TRIM(C8283))&gt;0</formula>
    </cfRule>
  </conditionalFormatting>
  <conditionalFormatting sqref="C8288:F8291">
    <cfRule type="notContainsBlanks" dxfId="1198" priority="5837">
      <formula>LEN(TRIM(C8288))&gt;0</formula>
    </cfRule>
  </conditionalFormatting>
  <conditionalFormatting sqref="C8299:F8300">
    <cfRule type="notContainsBlanks" dxfId="1197" priority="5847">
      <formula>LEN(TRIM(C8299))&gt;0</formula>
    </cfRule>
  </conditionalFormatting>
  <conditionalFormatting sqref="C8308:F8309">
    <cfRule type="notContainsBlanks" dxfId="1196" priority="5857">
      <formula>LEN(TRIM(C8308))&gt;0</formula>
    </cfRule>
  </conditionalFormatting>
  <conditionalFormatting sqref="C8313:F8313">
    <cfRule type="notContainsBlanks" dxfId="1195" priority="5862">
      <formula>LEN(TRIM(C8313))&gt;0</formula>
    </cfRule>
  </conditionalFormatting>
  <conditionalFormatting sqref="C8317:F8318">
    <cfRule type="notContainsBlanks" dxfId="1194" priority="5867">
      <formula>LEN(TRIM(C8317))&gt;0</formula>
    </cfRule>
  </conditionalFormatting>
  <conditionalFormatting sqref="C8322:F8322">
    <cfRule type="notContainsBlanks" dxfId="1193" priority="5872">
      <formula>LEN(TRIM(C8322))&gt;0</formula>
    </cfRule>
  </conditionalFormatting>
  <conditionalFormatting sqref="C8326:F8327">
    <cfRule type="notContainsBlanks" dxfId="1192" priority="5877">
      <formula>LEN(TRIM(C8326))&gt;0</formula>
    </cfRule>
  </conditionalFormatting>
  <conditionalFormatting sqref="C8331:F8332">
    <cfRule type="notContainsBlanks" dxfId="1191" priority="5882">
      <formula>LEN(TRIM(C8331))&gt;0</formula>
    </cfRule>
  </conditionalFormatting>
  <conditionalFormatting sqref="C8336:F8337">
    <cfRule type="notContainsBlanks" dxfId="1190" priority="5887">
      <formula>LEN(TRIM(C8336))&gt;0</formula>
    </cfRule>
  </conditionalFormatting>
  <conditionalFormatting sqref="C8341:F8342">
    <cfRule type="notContainsBlanks" dxfId="1189" priority="5892">
      <formula>LEN(TRIM(C8341))&gt;0</formula>
    </cfRule>
  </conditionalFormatting>
  <conditionalFormatting sqref="C8346:F8346">
    <cfRule type="notContainsBlanks" dxfId="1188" priority="5897">
      <formula>LEN(TRIM(C8346))&gt;0</formula>
    </cfRule>
  </conditionalFormatting>
  <conditionalFormatting sqref="C8350:F8351">
    <cfRule type="notContainsBlanks" dxfId="1187" priority="5902">
      <formula>LEN(TRIM(C8350))&gt;0</formula>
    </cfRule>
  </conditionalFormatting>
  <conditionalFormatting sqref="C8355:F8356">
    <cfRule type="notContainsBlanks" dxfId="1186" priority="5907">
      <formula>LEN(TRIM(C8355))&gt;0</formula>
    </cfRule>
  </conditionalFormatting>
  <conditionalFormatting sqref="C8360:F8363">
    <cfRule type="notContainsBlanks" dxfId="1185" priority="5912">
      <formula>LEN(TRIM(C8360))&gt;0</formula>
    </cfRule>
  </conditionalFormatting>
  <conditionalFormatting sqref="C8371:F8372">
    <cfRule type="notContainsBlanks" dxfId="1184" priority="5922">
      <formula>LEN(TRIM(C8371))&gt;0</formula>
    </cfRule>
  </conditionalFormatting>
  <conditionalFormatting sqref="C8380:F8381">
    <cfRule type="notContainsBlanks" dxfId="1183" priority="5932">
      <formula>LEN(TRIM(C8380))&gt;0</formula>
    </cfRule>
  </conditionalFormatting>
  <conditionalFormatting sqref="C8385:F8386">
    <cfRule type="notContainsBlanks" dxfId="1182" priority="5937">
      <formula>LEN(TRIM(C8385))&gt;0</formula>
    </cfRule>
  </conditionalFormatting>
  <conditionalFormatting sqref="C8390:F8391">
    <cfRule type="notContainsBlanks" dxfId="1181" priority="5942">
      <formula>LEN(TRIM(C8390))&gt;0</formula>
    </cfRule>
  </conditionalFormatting>
  <conditionalFormatting sqref="C8395:F8396">
    <cfRule type="notContainsBlanks" dxfId="1180" priority="5947">
      <formula>LEN(TRIM(C8395))&gt;0</formula>
    </cfRule>
  </conditionalFormatting>
  <conditionalFormatting sqref="C8400:F8401">
    <cfRule type="notContainsBlanks" dxfId="1179" priority="5952">
      <formula>LEN(TRIM(C8400))&gt;0</formula>
    </cfRule>
  </conditionalFormatting>
  <conditionalFormatting sqref="C8405:F8406">
    <cfRule type="notContainsBlanks" dxfId="1178" priority="5957">
      <formula>LEN(TRIM(C8405))&gt;0</formula>
    </cfRule>
  </conditionalFormatting>
  <conditionalFormatting sqref="C8410:F8411">
    <cfRule type="notContainsBlanks" dxfId="1177" priority="5962">
      <formula>LEN(TRIM(C8410))&gt;0</formula>
    </cfRule>
  </conditionalFormatting>
  <conditionalFormatting sqref="C8415:F8416">
    <cfRule type="notContainsBlanks" dxfId="1176" priority="5967">
      <formula>LEN(TRIM(C8415))&gt;0</formula>
    </cfRule>
  </conditionalFormatting>
  <conditionalFormatting sqref="C8420:F8420">
    <cfRule type="notContainsBlanks" dxfId="1175" priority="5972">
      <formula>LEN(TRIM(C8420))&gt;0</formula>
    </cfRule>
  </conditionalFormatting>
  <conditionalFormatting sqref="C8424:F8425">
    <cfRule type="notContainsBlanks" dxfId="1174" priority="5977">
      <formula>LEN(TRIM(C8424))&gt;0</formula>
    </cfRule>
  </conditionalFormatting>
  <conditionalFormatting sqref="C8429:F8430">
    <cfRule type="notContainsBlanks" dxfId="1173" priority="5982">
      <formula>LEN(TRIM(C8429))&gt;0</formula>
    </cfRule>
  </conditionalFormatting>
  <conditionalFormatting sqref="C8434:F8437">
    <cfRule type="notContainsBlanks" dxfId="1172" priority="5987">
      <formula>LEN(TRIM(C8434))&gt;0</formula>
    </cfRule>
  </conditionalFormatting>
  <conditionalFormatting sqref="C8445:F8446">
    <cfRule type="notContainsBlanks" dxfId="1171" priority="5997">
      <formula>LEN(TRIM(C8445))&gt;0</formula>
    </cfRule>
  </conditionalFormatting>
  <conditionalFormatting sqref="C8454:F8454">
    <cfRule type="notContainsBlanks" dxfId="1170" priority="6007">
      <formula>LEN(TRIM(C8454))&gt;0</formula>
    </cfRule>
  </conditionalFormatting>
  <conditionalFormatting sqref="C8458:F8458">
    <cfRule type="notContainsBlanks" dxfId="1169" priority="6012">
      <formula>LEN(TRIM(C8458))&gt;0</formula>
    </cfRule>
  </conditionalFormatting>
  <conditionalFormatting sqref="C8462:F8463">
    <cfRule type="notContainsBlanks" dxfId="1168" priority="6017">
      <formula>LEN(TRIM(C8462))&gt;0</formula>
    </cfRule>
  </conditionalFormatting>
  <conditionalFormatting sqref="C8467:F8467">
    <cfRule type="notContainsBlanks" dxfId="1167" priority="6022">
      <formula>LEN(TRIM(C8467))&gt;0</formula>
    </cfRule>
  </conditionalFormatting>
  <conditionalFormatting sqref="C8471:F8472">
    <cfRule type="notContainsBlanks" dxfId="1166" priority="6027">
      <formula>LEN(TRIM(C8471))&gt;0</formula>
    </cfRule>
  </conditionalFormatting>
  <conditionalFormatting sqref="C8476:F8477">
    <cfRule type="notContainsBlanks" dxfId="1165" priority="6032">
      <formula>LEN(TRIM(C8476))&gt;0</formula>
    </cfRule>
  </conditionalFormatting>
  <conditionalFormatting sqref="C8481:F8482">
    <cfRule type="notContainsBlanks" dxfId="1164" priority="6037">
      <formula>LEN(TRIM(C8481))&gt;0</formula>
    </cfRule>
  </conditionalFormatting>
  <conditionalFormatting sqref="C8486:F8487">
    <cfRule type="notContainsBlanks" dxfId="1163" priority="6042">
      <formula>LEN(TRIM(C8486))&gt;0</formula>
    </cfRule>
  </conditionalFormatting>
  <conditionalFormatting sqref="C8491:F8491">
    <cfRule type="notContainsBlanks" dxfId="1162" priority="6047">
      <formula>LEN(TRIM(C8491))&gt;0</formula>
    </cfRule>
  </conditionalFormatting>
  <conditionalFormatting sqref="C8495:F8496">
    <cfRule type="notContainsBlanks" dxfId="1161" priority="6052">
      <formula>LEN(TRIM(C8495))&gt;0</formula>
    </cfRule>
  </conditionalFormatting>
  <conditionalFormatting sqref="C8500:F8501">
    <cfRule type="notContainsBlanks" dxfId="1160" priority="6057">
      <formula>LEN(TRIM(C8500))&gt;0</formula>
    </cfRule>
  </conditionalFormatting>
  <conditionalFormatting sqref="C8505:F8508">
    <cfRule type="notContainsBlanks" dxfId="1159" priority="6062">
      <formula>LEN(TRIM(C8505))&gt;0</formula>
    </cfRule>
  </conditionalFormatting>
  <conditionalFormatting sqref="C8516:F8516">
    <cfRule type="notContainsBlanks" dxfId="1158" priority="6072">
      <formula>LEN(TRIM(C8516))&gt;0</formula>
    </cfRule>
  </conditionalFormatting>
  <conditionalFormatting sqref="C8524:F8524">
    <cfRule type="notContainsBlanks" dxfId="1157" priority="6082">
      <formula>LEN(TRIM(C8524))&gt;0</formula>
    </cfRule>
  </conditionalFormatting>
  <conditionalFormatting sqref="C8528:F8528">
    <cfRule type="notContainsBlanks" dxfId="1156" priority="6087">
      <formula>LEN(TRIM(C8528))&gt;0</formula>
    </cfRule>
  </conditionalFormatting>
  <conditionalFormatting sqref="C8532:F8532">
    <cfRule type="notContainsBlanks" dxfId="1155" priority="6092">
      <formula>LEN(TRIM(C8532))&gt;0</formula>
    </cfRule>
  </conditionalFormatting>
  <conditionalFormatting sqref="C8536:F8536">
    <cfRule type="notContainsBlanks" dxfId="1154" priority="6097">
      <formula>LEN(TRIM(C8536))&gt;0</formula>
    </cfRule>
  </conditionalFormatting>
  <conditionalFormatting sqref="C8540:F8540">
    <cfRule type="notContainsBlanks" dxfId="1153" priority="6102">
      <formula>LEN(TRIM(C8540))&gt;0</formula>
    </cfRule>
  </conditionalFormatting>
  <conditionalFormatting sqref="C8544:F8545">
    <cfRule type="notContainsBlanks" dxfId="1152" priority="6107">
      <formula>LEN(TRIM(C8544))&gt;0</formula>
    </cfRule>
  </conditionalFormatting>
  <conditionalFormatting sqref="C8549:F8550">
    <cfRule type="notContainsBlanks" dxfId="1151" priority="6112">
      <formula>LEN(TRIM(C8549))&gt;0</formula>
    </cfRule>
  </conditionalFormatting>
  <conditionalFormatting sqref="C8554:F8555">
    <cfRule type="notContainsBlanks" dxfId="1150" priority="6117">
      <formula>LEN(TRIM(C8554))&gt;0</formula>
    </cfRule>
  </conditionalFormatting>
  <conditionalFormatting sqref="C8559:F8559">
    <cfRule type="notContainsBlanks" dxfId="1149" priority="6122">
      <formula>LEN(TRIM(C8559))&gt;0</formula>
    </cfRule>
  </conditionalFormatting>
  <conditionalFormatting sqref="C8563:F8564">
    <cfRule type="notContainsBlanks" dxfId="1148" priority="6127">
      <formula>LEN(TRIM(C8563))&gt;0</formula>
    </cfRule>
  </conditionalFormatting>
  <conditionalFormatting sqref="C8568:F8568">
    <cfRule type="notContainsBlanks" dxfId="1147" priority="6132">
      <formula>LEN(TRIM(C8568))&gt;0</formula>
    </cfRule>
  </conditionalFormatting>
  <conditionalFormatting sqref="C8572:F8574">
    <cfRule type="notContainsBlanks" dxfId="1146" priority="6137">
      <formula>LEN(TRIM(C8572))&gt;0</formula>
    </cfRule>
  </conditionalFormatting>
  <conditionalFormatting sqref="C8582:F8583">
    <cfRule type="notContainsBlanks" dxfId="1145" priority="6147">
      <formula>LEN(TRIM(C8582))&gt;0</formula>
    </cfRule>
  </conditionalFormatting>
  <conditionalFormatting sqref="C8591:F8592">
    <cfRule type="notContainsBlanks" dxfId="1144" priority="6157">
      <formula>LEN(TRIM(C8591))&gt;0</formula>
    </cfRule>
  </conditionalFormatting>
  <conditionalFormatting sqref="C8596:F8597">
    <cfRule type="notContainsBlanks" dxfId="1143" priority="6162">
      <formula>LEN(TRIM(C8596))&gt;0</formula>
    </cfRule>
  </conditionalFormatting>
  <conditionalFormatting sqref="C8601:F8602">
    <cfRule type="notContainsBlanks" dxfId="1142" priority="6167">
      <formula>LEN(TRIM(C8601))&gt;0</formula>
    </cfRule>
  </conditionalFormatting>
  <conditionalFormatting sqref="C8606:F8607">
    <cfRule type="notContainsBlanks" dxfId="1141" priority="6172">
      <formula>LEN(TRIM(C8606))&gt;0</formula>
    </cfRule>
  </conditionalFormatting>
  <conditionalFormatting sqref="C8611:F8612">
    <cfRule type="notContainsBlanks" dxfId="1140" priority="6177">
      <formula>LEN(TRIM(C8611))&gt;0</formula>
    </cfRule>
  </conditionalFormatting>
  <conditionalFormatting sqref="C8616:F8617">
    <cfRule type="notContainsBlanks" dxfId="1139" priority="6182">
      <formula>LEN(TRIM(C8616))&gt;0</formula>
    </cfRule>
  </conditionalFormatting>
  <conditionalFormatting sqref="C8621:F8622">
    <cfRule type="notContainsBlanks" dxfId="1138" priority="6187">
      <formula>LEN(TRIM(C8621))&gt;0</formula>
    </cfRule>
  </conditionalFormatting>
  <conditionalFormatting sqref="C8626:F8627">
    <cfRule type="notContainsBlanks" dxfId="1137" priority="6192">
      <formula>LEN(TRIM(C8626))&gt;0</formula>
    </cfRule>
  </conditionalFormatting>
  <conditionalFormatting sqref="C8631:F8631">
    <cfRule type="notContainsBlanks" dxfId="1136" priority="6197">
      <formula>LEN(TRIM(C8631))&gt;0</formula>
    </cfRule>
  </conditionalFormatting>
  <conditionalFormatting sqref="C8635:F8636">
    <cfRule type="notContainsBlanks" dxfId="1135" priority="6202">
      <formula>LEN(TRIM(C8635))&gt;0</formula>
    </cfRule>
  </conditionalFormatting>
  <conditionalFormatting sqref="C8640:F8641">
    <cfRule type="notContainsBlanks" dxfId="1134" priority="6207">
      <formula>LEN(TRIM(C8640))&gt;0</formula>
    </cfRule>
  </conditionalFormatting>
  <conditionalFormatting sqref="C8645:F8648">
    <cfRule type="notContainsBlanks" dxfId="1133" priority="6212">
      <formula>LEN(TRIM(C8645))&gt;0</formula>
    </cfRule>
  </conditionalFormatting>
  <conditionalFormatting sqref="C8656:F8657">
    <cfRule type="notContainsBlanks" dxfId="1132" priority="6222">
      <formula>LEN(TRIM(C8656))&gt;0</formula>
    </cfRule>
  </conditionalFormatting>
  <conditionalFormatting sqref="C8665:F8666">
    <cfRule type="notContainsBlanks" dxfId="1131" priority="6232">
      <formula>LEN(TRIM(C8665))&gt;0</formula>
    </cfRule>
  </conditionalFormatting>
  <conditionalFormatting sqref="C8670:F8670">
    <cfRule type="notContainsBlanks" dxfId="1130" priority="6237">
      <formula>LEN(TRIM(C8670))&gt;0</formula>
    </cfRule>
  </conditionalFormatting>
  <conditionalFormatting sqref="C8674:F8675">
    <cfRule type="notContainsBlanks" dxfId="1129" priority="6242">
      <formula>LEN(TRIM(C8674))&gt;0</formula>
    </cfRule>
  </conditionalFormatting>
  <conditionalFormatting sqref="C8679:F8680">
    <cfRule type="notContainsBlanks" dxfId="1128" priority="6247">
      <formula>LEN(TRIM(C8679))&gt;0</formula>
    </cfRule>
  </conditionalFormatting>
  <conditionalFormatting sqref="C8684:F8685">
    <cfRule type="notContainsBlanks" dxfId="1127" priority="6252">
      <formula>LEN(TRIM(C8684))&gt;0</formula>
    </cfRule>
  </conditionalFormatting>
  <conditionalFormatting sqref="C8689:F8690">
    <cfRule type="notContainsBlanks" dxfId="1126" priority="6257">
      <formula>LEN(TRIM(C8689))&gt;0</formula>
    </cfRule>
  </conditionalFormatting>
  <conditionalFormatting sqref="C8694:F8695">
    <cfRule type="notContainsBlanks" dxfId="1125" priority="6262">
      <formula>LEN(TRIM(C8694))&gt;0</formula>
    </cfRule>
  </conditionalFormatting>
  <conditionalFormatting sqref="C8699:F8700">
    <cfRule type="notContainsBlanks" dxfId="1124" priority="6267">
      <formula>LEN(TRIM(C8699))&gt;0</formula>
    </cfRule>
  </conditionalFormatting>
  <conditionalFormatting sqref="C8704:F8704">
    <cfRule type="notContainsBlanks" dxfId="1123" priority="6272">
      <formula>LEN(TRIM(C8704))&gt;0</formula>
    </cfRule>
  </conditionalFormatting>
  <conditionalFormatting sqref="C8708:F8709">
    <cfRule type="notContainsBlanks" dxfId="1122" priority="6277">
      <formula>LEN(TRIM(C8708))&gt;0</formula>
    </cfRule>
  </conditionalFormatting>
  <conditionalFormatting sqref="C8713:F8714">
    <cfRule type="notContainsBlanks" dxfId="1121" priority="6282">
      <formula>LEN(TRIM(C8713))&gt;0</formula>
    </cfRule>
  </conditionalFormatting>
  <conditionalFormatting sqref="C8718:F8721">
    <cfRule type="notContainsBlanks" dxfId="1120" priority="6287">
      <formula>LEN(TRIM(C8718))&gt;0</formula>
    </cfRule>
  </conditionalFormatting>
  <conditionalFormatting sqref="C8729:F8730">
    <cfRule type="notContainsBlanks" dxfId="1119" priority="6297">
      <formula>LEN(TRIM(C8729))&gt;0</formula>
    </cfRule>
  </conditionalFormatting>
  <conditionalFormatting sqref="C8738:F8739">
    <cfRule type="notContainsBlanks" dxfId="1118" priority="6307">
      <formula>LEN(TRIM(C8738))&gt;0</formula>
    </cfRule>
  </conditionalFormatting>
  <conditionalFormatting sqref="C8743:F8743">
    <cfRule type="notContainsBlanks" dxfId="1117" priority="6312">
      <formula>LEN(TRIM(C8743))&gt;0</formula>
    </cfRule>
  </conditionalFormatting>
  <conditionalFormatting sqref="C8747:F8748">
    <cfRule type="notContainsBlanks" dxfId="1116" priority="6317">
      <formula>LEN(TRIM(C8747))&gt;0</formula>
    </cfRule>
  </conditionalFormatting>
  <conditionalFormatting sqref="C8752:F8753">
    <cfRule type="notContainsBlanks" dxfId="1115" priority="6322">
      <formula>LEN(TRIM(C8752))&gt;0</formula>
    </cfRule>
  </conditionalFormatting>
  <conditionalFormatting sqref="C8757:F8758">
    <cfRule type="notContainsBlanks" dxfId="1114" priority="6327">
      <formula>LEN(TRIM(C8757))&gt;0</formula>
    </cfRule>
  </conditionalFormatting>
  <conditionalFormatting sqref="C8762:F8763">
    <cfRule type="notContainsBlanks" dxfId="1113" priority="6332">
      <formula>LEN(TRIM(C8762))&gt;0</formula>
    </cfRule>
  </conditionalFormatting>
  <conditionalFormatting sqref="C8767:F8768">
    <cfRule type="notContainsBlanks" dxfId="1112" priority="6337">
      <formula>LEN(TRIM(C8767))&gt;0</formula>
    </cfRule>
  </conditionalFormatting>
  <conditionalFormatting sqref="C8772:F8773">
    <cfRule type="notContainsBlanks" dxfId="1111" priority="6342">
      <formula>LEN(TRIM(C8772))&gt;0</formula>
    </cfRule>
  </conditionalFormatting>
  <conditionalFormatting sqref="C8777:F8777">
    <cfRule type="notContainsBlanks" dxfId="1110" priority="6347">
      <formula>LEN(TRIM(C8777))&gt;0</formula>
    </cfRule>
  </conditionalFormatting>
  <conditionalFormatting sqref="C8781:F8782">
    <cfRule type="notContainsBlanks" dxfId="1109" priority="6352">
      <formula>LEN(TRIM(C8781))&gt;0</formula>
    </cfRule>
  </conditionalFormatting>
  <conditionalFormatting sqref="C8786:F8787">
    <cfRule type="notContainsBlanks" dxfId="1108" priority="6357">
      <formula>LEN(TRIM(C8786))&gt;0</formula>
    </cfRule>
  </conditionalFormatting>
  <conditionalFormatting sqref="C8791:F8794">
    <cfRule type="notContainsBlanks" dxfId="1107" priority="6362">
      <formula>LEN(TRIM(C8791))&gt;0</formula>
    </cfRule>
  </conditionalFormatting>
  <conditionalFormatting sqref="C8802:F8803">
    <cfRule type="notContainsBlanks" dxfId="1106" priority="6372">
      <formula>LEN(TRIM(C8802))&gt;0</formula>
    </cfRule>
  </conditionalFormatting>
  <conditionalFormatting sqref="C8811:F8812">
    <cfRule type="notContainsBlanks" dxfId="1105" priority="6382">
      <formula>LEN(TRIM(C8811))&gt;0</formula>
    </cfRule>
  </conditionalFormatting>
  <conditionalFormatting sqref="C8816:F8816">
    <cfRule type="notContainsBlanks" dxfId="1104" priority="6387">
      <formula>LEN(TRIM(C8816))&gt;0</formula>
    </cfRule>
  </conditionalFormatting>
  <conditionalFormatting sqref="C8820:F8820">
    <cfRule type="notContainsBlanks" dxfId="1103" priority="6392">
      <formula>LEN(TRIM(C8820))&gt;0</formula>
    </cfRule>
  </conditionalFormatting>
  <conditionalFormatting sqref="C8824:F8825">
    <cfRule type="notContainsBlanks" dxfId="1102" priority="6397">
      <formula>LEN(TRIM(C8824))&gt;0</formula>
    </cfRule>
  </conditionalFormatting>
  <conditionalFormatting sqref="C8829:F8830">
    <cfRule type="notContainsBlanks" dxfId="1101" priority="6402">
      <formula>LEN(TRIM(C8829))&gt;0</formula>
    </cfRule>
  </conditionalFormatting>
  <conditionalFormatting sqref="C8834:F8835">
    <cfRule type="notContainsBlanks" dxfId="1100" priority="6407">
      <formula>LEN(TRIM(C8834))&gt;0</formula>
    </cfRule>
  </conditionalFormatting>
  <conditionalFormatting sqref="C8839:F8840">
    <cfRule type="notContainsBlanks" dxfId="1099" priority="6412">
      <formula>LEN(TRIM(C8839))&gt;0</formula>
    </cfRule>
  </conditionalFormatting>
  <conditionalFormatting sqref="C8844:F8845">
    <cfRule type="notContainsBlanks" dxfId="1098" priority="6417">
      <formula>LEN(TRIM(C8844))&gt;0</formula>
    </cfRule>
  </conditionalFormatting>
  <conditionalFormatting sqref="C8849:F8849">
    <cfRule type="notContainsBlanks" dxfId="1097" priority="6422">
      <formula>LEN(TRIM(C8849))&gt;0</formula>
    </cfRule>
  </conditionalFormatting>
  <conditionalFormatting sqref="C8853:F8854">
    <cfRule type="notContainsBlanks" dxfId="1096" priority="6427">
      <formula>LEN(TRIM(C8853))&gt;0</formula>
    </cfRule>
  </conditionalFormatting>
  <conditionalFormatting sqref="C8858:F8859">
    <cfRule type="notContainsBlanks" dxfId="1095" priority="6432">
      <formula>LEN(TRIM(C8858))&gt;0</formula>
    </cfRule>
  </conditionalFormatting>
  <conditionalFormatting sqref="C8863:F8866">
    <cfRule type="notContainsBlanks" dxfId="1094" priority="6437">
      <formula>LEN(TRIM(C8863))&gt;0</formula>
    </cfRule>
  </conditionalFormatting>
  <conditionalFormatting sqref="C8874:F8875">
    <cfRule type="notContainsBlanks" dxfId="1093" priority="6447">
      <formula>LEN(TRIM(C8874))&gt;0</formula>
    </cfRule>
  </conditionalFormatting>
  <conditionalFormatting sqref="C8883:F8884">
    <cfRule type="notContainsBlanks" dxfId="1092" priority="6457">
      <formula>LEN(TRIM(C8883))&gt;0</formula>
    </cfRule>
  </conditionalFormatting>
  <conditionalFormatting sqref="C8888:F8888">
    <cfRule type="notContainsBlanks" dxfId="1091" priority="6462">
      <formula>LEN(TRIM(C8888))&gt;0</formula>
    </cfRule>
  </conditionalFormatting>
  <conditionalFormatting sqref="C8892:F8893">
    <cfRule type="notContainsBlanks" dxfId="1090" priority="6467">
      <formula>LEN(TRIM(C8892))&gt;0</formula>
    </cfRule>
  </conditionalFormatting>
  <conditionalFormatting sqref="C8897:F8898">
    <cfRule type="notContainsBlanks" dxfId="1089" priority="6472">
      <formula>LEN(TRIM(C8897))&gt;0</formula>
    </cfRule>
  </conditionalFormatting>
  <conditionalFormatting sqref="C8902:F8903">
    <cfRule type="notContainsBlanks" dxfId="1088" priority="6477">
      <formula>LEN(TRIM(C8902))&gt;0</formula>
    </cfRule>
  </conditionalFormatting>
  <conditionalFormatting sqref="C8907:F8908">
    <cfRule type="notContainsBlanks" dxfId="1087" priority="6482">
      <formula>LEN(TRIM(C8907))&gt;0</formula>
    </cfRule>
  </conditionalFormatting>
  <conditionalFormatting sqref="C8912:F8913">
    <cfRule type="notContainsBlanks" dxfId="1086" priority="6487">
      <formula>LEN(TRIM(C8912))&gt;0</formula>
    </cfRule>
  </conditionalFormatting>
  <conditionalFormatting sqref="C8917:F8918">
    <cfRule type="notContainsBlanks" dxfId="1085" priority="6492">
      <formula>LEN(TRIM(C8917))&gt;0</formula>
    </cfRule>
  </conditionalFormatting>
  <conditionalFormatting sqref="C8922:F8922">
    <cfRule type="notContainsBlanks" dxfId="1084" priority="6497">
      <formula>LEN(TRIM(C8922))&gt;0</formula>
    </cfRule>
  </conditionalFormatting>
  <conditionalFormatting sqref="C8926:F8927">
    <cfRule type="notContainsBlanks" dxfId="1083" priority="6502">
      <formula>LEN(TRIM(C8926))&gt;0</formula>
    </cfRule>
  </conditionalFormatting>
  <conditionalFormatting sqref="C8931:F8932">
    <cfRule type="notContainsBlanks" dxfId="1082" priority="6507">
      <formula>LEN(TRIM(C8931))&gt;0</formula>
    </cfRule>
  </conditionalFormatting>
  <conditionalFormatting sqref="C8936:F8939">
    <cfRule type="notContainsBlanks" dxfId="1081" priority="6512">
      <formula>LEN(TRIM(C8936))&gt;0</formula>
    </cfRule>
  </conditionalFormatting>
  <conditionalFormatting sqref="C8947:F8948">
    <cfRule type="notContainsBlanks" dxfId="1080" priority="6522">
      <formula>LEN(TRIM(C8947))&gt;0</formula>
    </cfRule>
  </conditionalFormatting>
  <conditionalFormatting sqref="C8956:F8957">
    <cfRule type="notContainsBlanks" dxfId="1079" priority="6532">
      <formula>LEN(TRIM(C8956))&gt;0</formula>
    </cfRule>
  </conditionalFormatting>
  <conditionalFormatting sqref="C8961:F8962">
    <cfRule type="notContainsBlanks" dxfId="1078" priority="6537">
      <formula>LEN(TRIM(C8961))&gt;0</formula>
    </cfRule>
  </conditionalFormatting>
  <conditionalFormatting sqref="C8966:F8967">
    <cfRule type="notContainsBlanks" dxfId="1077" priority="6542">
      <formula>LEN(TRIM(C8966))&gt;0</formula>
    </cfRule>
  </conditionalFormatting>
  <conditionalFormatting sqref="C8971:F8972">
    <cfRule type="notContainsBlanks" dxfId="1076" priority="6547">
      <formula>LEN(TRIM(C8971))&gt;0</formula>
    </cfRule>
  </conditionalFormatting>
  <conditionalFormatting sqref="C8976:F8977">
    <cfRule type="notContainsBlanks" dxfId="1075" priority="6552">
      <formula>LEN(TRIM(C8976))&gt;0</formula>
    </cfRule>
  </conditionalFormatting>
  <conditionalFormatting sqref="C8981:F8982">
    <cfRule type="notContainsBlanks" dxfId="1074" priority="6557">
      <formula>LEN(TRIM(C8981))&gt;0</formula>
    </cfRule>
  </conditionalFormatting>
  <conditionalFormatting sqref="C8986:F8987">
    <cfRule type="notContainsBlanks" dxfId="1073" priority="6562">
      <formula>LEN(TRIM(C8986))&gt;0</formula>
    </cfRule>
  </conditionalFormatting>
  <conditionalFormatting sqref="C8991:F8992">
    <cfRule type="notContainsBlanks" dxfId="1072" priority="6567">
      <formula>LEN(TRIM(C8991))&gt;0</formula>
    </cfRule>
  </conditionalFormatting>
  <conditionalFormatting sqref="C8996:F8996">
    <cfRule type="notContainsBlanks" dxfId="1071" priority="6572">
      <formula>LEN(TRIM(C8996))&gt;0</formula>
    </cfRule>
  </conditionalFormatting>
  <conditionalFormatting sqref="C9000:F9001">
    <cfRule type="notContainsBlanks" dxfId="1070" priority="6577">
      <formula>LEN(TRIM(C9000))&gt;0</formula>
    </cfRule>
  </conditionalFormatting>
  <conditionalFormatting sqref="C9005:F9006">
    <cfRule type="notContainsBlanks" dxfId="1069" priority="6582">
      <formula>LEN(TRIM(C9005))&gt;0</formula>
    </cfRule>
  </conditionalFormatting>
  <conditionalFormatting sqref="C9010:F9013">
    <cfRule type="notContainsBlanks" dxfId="1068" priority="6587">
      <formula>LEN(TRIM(C9010))&gt;0</formula>
    </cfRule>
  </conditionalFormatting>
  <conditionalFormatting sqref="C9021:F9022">
    <cfRule type="notContainsBlanks" dxfId="1067" priority="6597">
      <formula>LEN(TRIM(C9021))&gt;0</formula>
    </cfRule>
  </conditionalFormatting>
  <conditionalFormatting sqref="C9030:F9031">
    <cfRule type="notContainsBlanks" dxfId="1066" priority="6607">
      <formula>LEN(TRIM(C9030))&gt;0</formula>
    </cfRule>
  </conditionalFormatting>
  <conditionalFormatting sqref="C9035:F9035">
    <cfRule type="notContainsBlanks" dxfId="1065" priority="6612">
      <formula>LEN(TRIM(C9035))&gt;0</formula>
    </cfRule>
  </conditionalFormatting>
  <conditionalFormatting sqref="C9039:F9040">
    <cfRule type="notContainsBlanks" dxfId="1064" priority="6617">
      <formula>LEN(TRIM(C9039))&gt;0</formula>
    </cfRule>
  </conditionalFormatting>
  <conditionalFormatting sqref="C9044:F9044">
    <cfRule type="notContainsBlanks" dxfId="1063" priority="6622">
      <formula>LEN(TRIM(C9044))&gt;0</formula>
    </cfRule>
  </conditionalFormatting>
  <conditionalFormatting sqref="C9048:F9049">
    <cfRule type="notContainsBlanks" dxfId="1062" priority="6627">
      <formula>LEN(TRIM(C9048))&gt;0</formula>
    </cfRule>
  </conditionalFormatting>
  <conditionalFormatting sqref="C9053:F9054">
    <cfRule type="notContainsBlanks" dxfId="1061" priority="6632">
      <formula>LEN(TRIM(C9053))&gt;0</formula>
    </cfRule>
  </conditionalFormatting>
  <conditionalFormatting sqref="C9058:F9059">
    <cfRule type="notContainsBlanks" dxfId="1060" priority="6637">
      <formula>LEN(TRIM(C9058))&gt;0</formula>
    </cfRule>
  </conditionalFormatting>
  <conditionalFormatting sqref="C9063:F9064">
    <cfRule type="notContainsBlanks" dxfId="1059" priority="6642">
      <formula>LEN(TRIM(C9063))&gt;0</formula>
    </cfRule>
  </conditionalFormatting>
  <conditionalFormatting sqref="C9068:F9068">
    <cfRule type="notContainsBlanks" dxfId="1058" priority="6647">
      <formula>LEN(TRIM(C9068))&gt;0</formula>
    </cfRule>
  </conditionalFormatting>
  <conditionalFormatting sqref="C9072:F9073">
    <cfRule type="notContainsBlanks" dxfId="1057" priority="6652">
      <formula>LEN(TRIM(C9072))&gt;0</formula>
    </cfRule>
  </conditionalFormatting>
  <conditionalFormatting sqref="C9077:F9078">
    <cfRule type="notContainsBlanks" dxfId="1056" priority="6657">
      <formula>LEN(TRIM(C9077))&gt;0</formula>
    </cfRule>
  </conditionalFormatting>
  <conditionalFormatting sqref="C9082:F9085">
    <cfRule type="notContainsBlanks" dxfId="1055" priority="6662">
      <formula>LEN(TRIM(C9082))&gt;0</formula>
    </cfRule>
  </conditionalFormatting>
  <conditionalFormatting sqref="C9093:F9094">
    <cfRule type="notContainsBlanks" dxfId="1054" priority="6672">
      <formula>LEN(TRIM(C9093))&gt;0</formula>
    </cfRule>
  </conditionalFormatting>
  <conditionalFormatting sqref="C9102:F9103">
    <cfRule type="notContainsBlanks" dxfId="1053" priority="6682">
      <formula>LEN(TRIM(C9102))&gt;0</formula>
    </cfRule>
  </conditionalFormatting>
  <conditionalFormatting sqref="C9107:F9108">
    <cfRule type="notContainsBlanks" dxfId="1052" priority="6687">
      <formula>LEN(TRIM(C9107))&gt;0</formula>
    </cfRule>
  </conditionalFormatting>
  <conditionalFormatting sqref="C9112:F9113">
    <cfRule type="notContainsBlanks" dxfId="1051" priority="6692">
      <formula>LEN(TRIM(C9112))&gt;0</formula>
    </cfRule>
  </conditionalFormatting>
  <conditionalFormatting sqref="C9117:F9118">
    <cfRule type="notContainsBlanks" dxfId="1050" priority="6697">
      <formula>LEN(TRIM(C9117))&gt;0</formula>
    </cfRule>
  </conditionalFormatting>
  <conditionalFormatting sqref="C9122:F9123">
    <cfRule type="notContainsBlanks" dxfId="1049" priority="6702">
      <formula>LEN(TRIM(C9122))&gt;0</formula>
    </cfRule>
  </conditionalFormatting>
  <conditionalFormatting sqref="C9127:F9128">
    <cfRule type="notContainsBlanks" dxfId="1048" priority="6707">
      <formula>LEN(TRIM(C9127))&gt;0</formula>
    </cfRule>
  </conditionalFormatting>
  <conditionalFormatting sqref="C9132:F9133">
    <cfRule type="notContainsBlanks" dxfId="1047" priority="6712">
      <formula>LEN(TRIM(C9132))&gt;0</formula>
    </cfRule>
  </conditionalFormatting>
  <conditionalFormatting sqref="C9137:F9138">
    <cfRule type="notContainsBlanks" dxfId="1046" priority="6717">
      <formula>LEN(TRIM(C9137))&gt;0</formula>
    </cfRule>
  </conditionalFormatting>
  <conditionalFormatting sqref="C9142:F9142">
    <cfRule type="notContainsBlanks" dxfId="1045" priority="6722">
      <formula>LEN(TRIM(C9142))&gt;0</formula>
    </cfRule>
  </conditionalFormatting>
  <conditionalFormatting sqref="C9146:F9147">
    <cfRule type="notContainsBlanks" dxfId="1044" priority="6727">
      <formula>LEN(TRIM(C9146))&gt;0</formula>
    </cfRule>
  </conditionalFormatting>
  <conditionalFormatting sqref="C9151:F9152">
    <cfRule type="notContainsBlanks" dxfId="1043" priority="6732">
      <formula>LEN(TRIM(C9151))&gt;0</formula>
    </cfRule>
  </conditionalFormatting>
  <conditionalFormatting sqref="C9156:F9159">
    <cfRule type="notContainsBlanks" dxfId="1042" priority="6737">
      <formula>LEN(TRIM(C9156))&gt;0</formula>
    </cfRule>
  </conditionalFormatting>
  <conditionalFormatting sqref="C9167:F9168">
    <cfRule type="notContainsBlanks" dxfId="1041" priority="6747">
      <formula>LEN(TRIM(C9167))&gt;0</formula>
    </cfRule>
  </conditionalFormatting>
  <conditionalFormatting sqref="C9176:F9176">
    <cfRule type="notContainsBlanks" dxfId="1040" priority="6757">
      <formula>LEN(TRIM(C9176))&gt;0</formula>
    </cfRule>
  </conditionalFormatting>
  <conditionalFormatting sqref="C9180:F9180">
    <cfRule type="notContainsBlanks" dxfId="1039" priority="6762">
      <formula>LEN(TRIM(C9180))&gt;0</formula>
    </cfRule>
  </conditionalFormatting>
  <conditionalFormatting sqref="C9184:F9185">
    <cfRule type="notContainsBlanks" dxfId="1038" priority="6767">
      <formula>LEN(TRIM(C9184))&gt;0</formula>
    </cfRule>
  </conditionalFormatting>
  <conditionalFormatting sqref="C9189:F9189">
    <cfRule type="notContainsBlanks" dxfId="1037" priority="6772">
      <formula>LEN(TRIM(C9189))&gt;0</formula>
    </cfRule>
  </conditionalFormatting>
  <conditionalFormatting sqref="C9193:F9194">
    <cfRule type="notContainsBlanks" dxfId="1036" priority="6777">
      <formula>LEN(TRIM(C9193))&gt;0</formula>
    </cfRule>
  </conditionalFormatting>
  <conditionalFormatting sqref="C9198:F9199">
    <cfRule type="notContainsBlanks" dxfId="1035" priority="6782">
      <formula>LEN(TRIM(C9198))&gt;0</formula>
    </cfRule>
  </conditionalFormatting>
  <conditionalFormatting sqref="C9203:F9204">
    <cfRule type="notContainsBlanks" dxfId="1034" priority="6787">
      <formula>LEN(TRIM(C9203))&gt;0</formula>
    </cfRule>
  </conditionalFormatting>
  <conditionalFormatting sqref="C9208:F9209">
    <cfRule type="notContainsBlanks" dxfId="1033" priority="6792">
      <formula>LEN(TRIM(C9208))&gt;0</formula>
    </cfRule>
  </conditionalFormatting>
  <conditionalFormatting sqref="C9213:F9213">
    <cfRule type="notContainsBlanks" dxfId="1032" priority="6797">
      <formula>LEN(TRIM(C9213))&gt;0</formula>
    </cfRule>
  </conditionalFormatting>
  <conditionalFormatting sqref="C9217:F9218">
    <cfRule type="notContainsBlanks" dxfId="1031" priority="6802">
      <formula>LEN(TRIM(C9217))&gt;0</formula>
    </cfRule>
  </conditionalFormatting>
  <conditionalFormatting sqref="C9222:F9223">
    <cfRule type="notContainsBlanks" dxfId="1030" priority="6807">
      <formula>LEN(TRIM(C9222))&gt;0</formula>
    </cfRule>
  </conditionalFormatting>
  <conditionalFormatting sqref="C9227:F9230">
    <cfRule type="notContainsBlanks" dxfId="1029" priority="6812">
      <formula>LEN(TRIM(C9227))&gt;0</formula>
    </cfRule>
  </conditionalFormatting>
  <conditionalFormatting sqref="C9238:F9239">
    <cfRule type="notContainsBlanks" dxfId="1028" priority="6822">
      <formula>LEN(TRIM(C9238))&gt;0</formula>
    </cfRule>
  </conditionalFormatting>
  <conditionalFormatting sqref="C9247:F9248">
    <cfRule type="notContainsBlanks" dxfId="1027" priority="6832">
      <formula>LEN(TRIM(C9247))&gt;0</formula>
    </cfRule>
  </conditionalFormatting>
  <conditionalFormatting sqref="C9252:F9252">
    <cfRule type="notContainsBlanks" dxfId="1026" priority="6837">
      <formula>LEN(TRIM(C9252))&gt;0</formula>
    </cfRule>
  </conditionalFormatting>
  <conditionalFormatting sqref="C9256:F9256">
    <cfRule type="notContainsBlanks" dxfId="1025" priority="6842">
      <formula>LEN(TRIM(C9256))&gt;0</formula>
    </cfRule>
  </conditionalFormatting>
  <conditionalFormatting sqref="C9260:F9260">
    <cfRule type="notContainsBlanks" dxfId="1024" priority="6847">
      <formula>LEN(TRIM(C9260))&gt;0</formula>
    </cfRule>
  </conditionalFormatting>
  <conditionalFormatting sqref="C9264:F9264">
    <cfRule type="notContainsBlanks" dxfId="1023" priority="6852">
      <formula>LEN(TRIM(C9264))&gt;0</formula>
    </cfRule>
  </conditionalFormatting>
  <conditionalFormatting sqref="C9268:F9269">
    <cfRule type="notContainsBlanks" dxfId="1022" priority="6857">
      <formula>LEN(TRIM(C9268))&gt;0</formula>
    </cfRule>
  </conditionalFormatting>
  <conditionalFormatting sqref="C9273:F9273">
    <cfRule type="notContainsBlanks" dxfId="1021" priority="6862">
      <formula>LEN(TRIM(C9273))&gt;0</formula>
    </cfRule>
  </conditionalFormatting>
  <conditionalFormatting sqref="C9277:F9278">
    <cfRule type="notContainsBlanks" dxfId="1020" priority="6867">
      <formula>LEN(TRIM(C9277))&gt;0</formula>
    </cfRule>
  </conditionalFormatting>
  <conditionalFormatting sqref="C9282:F9282">
    <cfRule type="notContainsBlanks" dxfId="1019" priority="6872">
      <formula>LEN(TRIM(C9282))&gt;0</formula>
    </cfRule>
  </conditionalFormatting>
  <conditionalFormatting sqref="C9286:F9287">
    <cfRule type="notContainsBlanks" dxfId="1018" priority="6877">
      <formula>LEN(TRIM(C9286))&gt;0</formula>
    </cfRule>
  </conditionalFormatting>
  <conditionalFormatting sqref="C9291:F9291">
    <cfRule type="notContainsBlanks" dxfId="1017" priority="6882">
      <formula>LEN(TRIM(C9291))&gt;0</formula>
    </cfRule>
  </conditionalFormatting>
  <conditionalFormatting sqref="C9295:F9297">
    <cfRule type="notContainsBlanks" dxfId="1016" priority="6887">
      <formula>LEN(TRIM(C9295))&gt;0</formula>
    </cfRule>
  </conditionalFormatting>
  <conditionalFormatting sqref="C9305:F9305">
    <cfRule type="notContainsBlanks" dxfId="1015" priority="6897">
      <formula>LEN(TRIM(C9305))&gt;0</formula>
    </cfRule>
  </conditionalFormatting>
  <conditionalFormatting sqref="C9313:F9313">
    <cfRule type="notContainsBlanks" dxfId="1014" priority="6907">
      <formula>LEN(TRIM(C9313))&gt;0</formula>
    </cfRule>
  </conditionalFormatting>
  <conditionalFormatting sqref="C9317:F9317">
    <cfRule type="notContainsBlanks" dxfId="1013" priority="6912">
      <formula>LEN(TRIM(C9317))&gt;0</formula>
    </cfRule>
  </conditionalFormatting>
  <conditionalFormatting sqref="C9321:F9321">
    <cfRule type="notContainsBlanks" dxfId="1012" priority="6917">
      <formula>LEN(TRIM(C9321))&gt;0</formula>
    </cfRule>
  </conditionalFormatting>
  <conditionalFormatting sqref="C9325:F9325">
    <cfRule type="notContainsBlanks" dxfId="1011" priority="6922">
      <formula>LEN(TRIM(C9325))&gt;0</formula>
    </cfRule>
  </conditionalFormatting>
  <conditionalFormatting sqref="C9329:F9330">
    <cfRule type="notContainsBlanks" dxfId="1010" priority="6927">
      <formula>LEN(TRIM(C9329))&gt;0</formula>
    </cfRule>
  </conditionalFormatting>
  <conditionalFormatting sqref="C9334:F9335">
    <cfRule type="notContainsBlanks" dxfId="1009" priority="6932">
      <formula>LEN(TRIM(C9334))&gt;0</formula>
    </cfRule>
  </conditionalFormatting>
  <conditionalFormatting sqref="C9339:F9339">
    <cfRule type="notContainsBlanks" dxfId="1008" priority="6937">
      <formula>LEN(TRIM(C9339))&gt;0</formula>
    </cfRule>
  </conditionalFormatting>
  <conditionalFormatting sqref="C9343:F9344">
    <cfRule type="notContainsBlanks" dxfId="1007" priority="6942">
      <formula>LEN(TRIM(C9343))&gt;0</formula>
    </cfRule>
  </conditionalFormatting>
  <conditionalFormatting sqref="C9348:F9348">
    <cfRule type="notContainsBlanks" dxfId="1006" priority="6947">
      <formula>LEN(TRIM(C9348))&gt;0</formula>
    </cfRule>
  </conditionalFormatting>
  <conditionalFormatting sqref="C9352:F9353">
    <cfRule type="notContainsBlanks" dxfId="1005" priority="6952">
      <formula>LEN(TRIM(C9352))&gt;0</formula>
    </cfRule>
  </conditionalFormatting>
  <conditionalFormatting sqref="C9357:F9358">
    <cfRule type="notContainsBlanks" dxfId="1004" priority="6957">
      <formula>LEN(TRIM(C9357))&gt;0</formula>
    </cfRule>
  </conditionalFormatting>
  <conditionalFormatting sqref="C9362:F9362">
    <cfRule type="notContainsBlanks" dxfId="1003" priority="6962">
      <formula>LEN(TRIM(C9362))&gt;0</formula>
    </cfRule>
  </conditionalFormatting>
  <conditionalFormatting sqref="C9370:F9371">
    <cfRule type="notContainsBlanks" dxfId="1002" priority="6972">
      <formula>LEN(TRIM(C9370))&gt;0</formula>
    </cfRule>
  </conditionalFormatting>
  <conditionalFormatting sqref="C9379:F9380">
    <cfRule type="notContainsBlanks" dxfId="1001" priority="6982">
      <formula>LEN(TRIM(C9379))&gt;0</formula>
    </cfRule>
  </conditionalFormatting>
  <conditionalFormatting sqref="C9384:F9385">
    <cfRule type="notContainsBlanks" dxfId="1000" priority="6987">
      <formula>LEN(TRIM(C9384))&gt;0</formula>
    </cfRule>
  </conditionalFormatting>
  <conditionalFormatting sqref="C9389:F9390">
    <cfRule type="notContainsBlanks" dxfId="999" priority="6992">
      <formula>LEN(TRIM(C9389))&gt;0</formula>
    </cfRule>
  </conditionalFormatting>
  <conditionalFormatting sqref="C9394:F9395">
    <cfRule type="notContainsBlanks" dxfId="998" priority="6997">
      <formula>LEN(TRIM(C9394))&gt;0</formula>
    </cfRule>
  </conditionalFormatting>
  <conditionalFormatting sqref="C9399:F9400">
    <cfRule type="notContainsBlanks" dxfId="997" priority="7002">
      <formula>LEN(TRIM(C9399))&gt;0</formula>
    </cfRule>
  </conditionalFormatting>
  <conditionalFormatting sqref="C9404:F9405">
    <cfRule type="notContainsBlanks" dxfId="996" priority="7007">
      <formula>LEN(TRIM(C9404))&gt;0</formula>
    </cfRule>
  </conditionalFormatting>
  <conditionalFormatting sqref="C9409:F9410">
    <cfRule type="notContainsBlanks" dxfId="995" priority="7012">
      <formula>LEN(TRIM(C9409))&gt;0</formula>
    </cfRule>
  </conditionalFormatting>
  <conditionalFormatting sqref="C9414:F9415">
    <cfRule type="notContainsBlanks" dxfId="994" priority="7017">
      <formula>LEN(TRIM(C9414))&gt;0</formula>
    </cfRule>
  </conditionalFormatting>
  <conditionalFormatting sqref="C9419:F9419">
    <cfRule type="notContainsBlanks" dxfId="993" priority="7022">
      <formula>LEN(TRIM(C9419))&gt;0</formula>
    </cfRule>
  </conditionalFormatting>
  <conditionalFormatting sqref="C9423:F9424">
    <cfRule type="notContainsBlanks" dxfId="992" priority="7027">
      <formula>LEN(TRIM(C9423))&gt;0</formula>
    </cfRule>
  </conditionalFormatting>
  <conditionalFormatting sqref="C9428:F9429">
    <cfRule type="notContainsBlanks" dxfId="991" priority="7032">
      <formula>LEN(TRIM(C9428))&gt;0</formula>
    </cfRule>
  </conditionalFormatting>
  <conditionalFormatting sqref="C9433:F9436">
    <cfRule type="notContainsBlanks" dxfId="990" priority="7037">
      <formula>LEN(TRIM(C9433))&gt;0</formula>
    </cfRule>
  </conditionalFormatting>
  <conditionalFormatting sqref="C9444:F9444">
    <cfRule type="notContainsBlanks" dxfId="989" priority="7047">
      <formula>LEN(TRIM(C9444))&gt;0</formula>
    </cfRule>
  </conditionalFormatting>
  <conditionalFormatting sqref="C9452:F9452">
    <cfRule type="notContainsBlanks" dxfId="988" priority="7057">
      <formula>LEN(TRIM(C9452))&gt;0</formula>
    </cfRule>
  </conditionalFormatting>
  <conditionalFormatting sqref="C9456:F9456">
    <cfRule type="notContainsBlanks" dxfId="987" priority="7062">
      <formula>LEN(TRIM(C9456))&gt;0</formula>
    </cfRule>
  </conditionalFormatting>
  <conditionalFormatting sqref="C9460:F9460">
    <cfRule type="notContainsBlanks" dxfId="986" priority="7067">
      <formula>LEN(TRIM(C9460))&gt;0</formula>
    </cfRule>
  </conditionalFormatting>
  <conditionalFormatting sqref="C9464:F9464">
    <cfRule type="notContainsBlanks" dxfId="985" priority="7072">
      <formula>LEN(TRIM(C9464))&gt;0</formula>
    </cfRule>
  </conditionalFormatting>
  <conditionalFormatting sqref="C9468:F9469">
    <cfRule type="notContainsBlanks" dxfId="984" priority="7077">
      <formula>LEN(TRIM(C9468))&gt;0</formula>
    </cfRule>
  </conditionalFormatting>
  <conditionalFormatting sqref="C9473:F9473">
    <cfRule type="notContainsBlanks" dxfId="983" priority="7082">
      <formula>LEN(TRIM(C9473))&gt;0</formula>
    </cfRule>
  </conditionalFormatting>
  <conditionalFormatting sqref="C9477:F9478">
    <cfRule type="notContainsBlanks" dxfId="982" priority="7087">
      <formula>LEN(TRIM(C9477))&gt;0</formula>
    </cfRule>
  </conditionalFormatting>
  <conditionalFormatting sqref="C9482:F9482">
    <cfRule type="notContainsBlanks" dxfId="981" priority="7092">
      <formula>LEN(TRIM(C9482))&gt;0</formula>
    </cfRule>
  </conditionalFormatting>
  <conditionalFormatting sqref="C9486:F9486">
    <cfRule type="notContainsBlanks" dxfId="980" priority="7097">
      <formula>LEN(TRIM(C9486))&gt;0</formula>
    </cfRule>
  </conditionalFormatting>
  <conditionalFormatting sqref="C9490:F9491">
    <cfRule type="notContainsBlanks" dxfId="979" priority="7102">
      <formula>LEN(TRIM(C9490))&gt;0</formula>
    </cfRule>
  </conditionalFormatting>
  <conditionalFormatting sqref="C9495:F9495">
    <cfRule type="notContainsBlanks" dxfId="978" priority="7107">
      <formula>LEN(TRIM(C9495))&gt;0</formula>
    </cfRule>
  </conditionalFormatting>
  <conditionalFormatting sqref="C9499:F9501">
    <cfRule type="notContainsBlanks" dxfId="977" priority="7112">
      <formula>LEN(TRIM(C9499))&gt;0</formula>
    </cfRule>
  </conditionalFormatting>
  <conditionalFormatting sqref="C9509:F9509">
    <cfRule type="notContainsBlanks" dxfId="976" priority="7122">
      <formula>LEN(TRIM(C9509))&gt;0</formula>
    </cfRule>
  </conditionalFormatting>
  <conditionalFormatting sqref="C9517:F9518">
    <cfRule type="notContainsBlanks" dxfId="975" priority="7132">
      <formula>LEN(TRIM(C9517))&gt;0</formula>
    </cfRule>
  </conditionalFormatting>
  <conditionalFormatting sqref="C9522:F9522">
    <cfRule type="notContainsBlanks" dxfId="974" priority="7137">
      <formula>LEN(TRIM(C9522))&gt;0</formula>
    </cfRule>
  </conditionalFormatting>
  <conditionalFormatting sqref="C9526:F9526">
    <cfRule type="notContainsBlanks" dxfId="973" priority="7142">
      <formula>LEN(TRIM(C9526))&gt;0</formula>
    </cfRule>
  </conditionalFormatting>
  <conditionalFormatting sqref="C9530:F9530">
    <cfRule type="notContainsBlanks" dxfId="972" priority="7147">
      <formula>LEN(TRIM(C9530))&gt;0</formula>
    </cfRule>
  </conditionalFormatting>
  <conditionalFormatting sqref="C9534:F9535">
    <cfRule type="notContainsBlanks" dxfId="971" priority="7152">
      <formula>LEN(TRIM(C9534))&gt;0</formula>
    </cfRule>
  </conditionalFormatting>
  <conditionalFormatting sqref="C9539:F9540">
    <cfRule type="notContainsBlanks" dxfId="970" priority="7157">
      <formula>LEN(TRIM(C9539))&gt;0</formula>
    </cfRule>
  </conditionalFormatting>
  <conditionalFormatting sqref="C9544:F9545">
    <cfRule type="notContainsBlanks" dxfId="969" priority="7162">
      <formula>LEN(TRIM(C9544))&gt;0</formula>
    </cfRule>
  </conditionalFormatting>
  <conditionalFormatting sqref="C9549:F9549">
    <cfRule type="notContainsBlanks" dxfId="968" priority="7167">
      <formula>LEN(TRIM(C9549))&gt;0</formula>
    </cfRule>
  </conditionalFormatting>
  <conditionalFormatting sqref="C9553:F9553">
    <cfRule type="notContainsBlanks" dxfId="967" priority="7172">
      <formula>LEN(TRIM(C9553))&gt;0</formula>
    </cfRule>
  </conditionalFormatting>
  <conditionalFormatting sqref="C9557:F9558">
    <cfRule type="notContainsBlanks" dxfId="966" priority="7177">
      <formula>LEN(TRIM(C9557))&gt;0</formula>
    </cfRule>
  </conditionalFormatting>
  <conditionalFormatting sqref="C9562:F9563">
    <cfRule type="notContainsBlanks" dxfId="965" priority="7182">
      <formula>LEN(TRIM(C9562))&gt;0</formula>
    </cfRule>
  </conditionalFormatting>
  <conditionalFormatting sqref="C9567:F9570">
    <cfRule type="notContainsBlanks" dxfId="964" priority="7187">
      <formula>LEN(TRIM(C9567))&gt;0</formula>
    </cfRule>
  </conditionalFormatting>
  <conditionalFormatting sqref="C9578:F9579">
    <cfRule type="notContainsBlanks" dxfId="963" priority="7197">
      <formula>LEN(TRIM(C9578))&gt;0</formula>
    </cfRule>
  </conditionalFormatting>
  <conditionalFormatting sqref="C9587:F9587">
    <cfRule type="notContainsBlanks" dxfId="962" priority="7207">
      <formula>LEN(TRIM(C9587))&gt;0</formula>
    </cfRule>
  </conditionalFormatting>
  <conditionalFormatting sqref="C9591:F9591">
    <cfRule type="notContainsBlanks" dxfId="961" priority="7212">
      <formula>LEN(TRIM(C9591))&gt;0</formula>
    </cfRule>
  </conditionalFormatting>
  <conditionalFormatting sqref="C9595:F9595">
    <cfRule type="notContainsBlanks" dxfId="960" priority="7217">
      <formula>LEN(TRIM(C9595))&gt;0</formula>
    </cfRule>
  </conditionalFormatting>
  <conditionalFormatting sqref="C9599:F9600">
    <cfRule type="notContainsBlanks" dxfId="959" priority="7222">
      <formula>LEN(TRIM(C9599))&gt;0</formula>
    </cfRule>
  </conditionalFormatting>
  <conditionalFormatting sqref="C9604:F9604">
    <cfRule type="notContainsBlanks" dxfId="958" priority="7227">
      <formula>LEN(TRIM(C9604))&gt;0</formula>
    </cfRule>
  </conditionalFormatting>
  <conditionalFormatting sqref="C9608:F9609">
    <cfRule type="notContainsBlanks" dxfId="957" priority="7232">
      <formula>LEN(TRIM(C9608))&gt;0</formula>
    </cfRule>
  </conditionalFormatting>
  <conditionalFormatting sqref="C9613:F9614">
    <cfRule type="notContainsBlanks" dxfId="956" priority="7237">
      <formula>LEN(TRIM(C9613))&gt;0</formula>
    </cfRule>
  </conditionalFormatting>
  <conditionalFormatting sqref="C9618:F9618">
    <cfRule type="notContainsBlanks" dxfId="955" priority="7242">
      <formula>LEN(TRIM(C9618))&gt;0</formula>
    </cfRule>
  </conditionalFormatting>
  <conditionalFormatting sqref="C9622:F9622">
    <cfRule type="notContainsBlanks" dxfId="954" priority="7247">
      <formula>LEN(TRIM(C9622))&gt;0</formula>
    </cfRule>
  </conditionalFormatting>
  <conditionalFormatting sqref="C9626:F9627">
    <cfRule type="notContainsBlanks" dxfId="953" priority="7252">
      <formula>LEN(TRIM(C9626))&gt;0</formula>
    </cfRule>
  </conditionalFormatting>
  <conditionalFormatting sqref="C9631:F9631">
    <cfRule type="notContainsBlanks" dxfId="952" priority="7257">
      <formula>LEN(TRIM(C9631))&gt;0</formula>
    </cfRule>
  </conditionalFormatting>
  <conditionalFormatting sqref="C9635:F9636">
    <cfRule type="notContainsBlanks" dxfId="951" priority="7262">
      <formula>LEN(TRIM(C9635))&gt;0</formula>
    </cfRule>
  </conditionalFormatting>
  <conditionalFormatting sqref="C9644:F9644">
    <cfRule type="notContainsBlanks" dxfId="950" priority="7272">
      <formula>LEN(TRIM(C9644))&gt;0</formula>
    </cfRule>
  </conditionalFormatting>
  <conditionalFormatting sqref="C9652:F9652">
    <cfRule type="notContainsBlanks" dxfId="949" priority="7282">
      <formula>LEN(TRIM(C9652))&gt;0</formula>
    </cfRule>
  </conditionalFormatting>
  <conditionalFormatting sqref="C9656:F9656">
    <cfRule type="notContainsBlanks" dxfId="948" priority="7287">
      <formula>LEN(TRIM(C9656))&gt;0</formula>
    </cfRule>
  </conditionalFormatting>
  <conditionalFormatting sqref="C9660:F9660">
    <cfRule type="notContainsBlanks" dxfId="947" priority="7292">
      <formula>LEN(TRIM(C9660))&gt;0</formula>
    </cfRule>
  </conditionalFormatting>
  <conditionalFormatting sqref="C9664:F9664">
    <cfRule type="notContainsBlanks" dxfId="946" priority="7297">
      <formula>LEN(TRIM(C9664))&gt;0</formula>
    </cfRule>
  </conditionalFormatting>
  <conditionalFormatting sqref="C9668:F9668">
    <cfRule type="notContainsBlanks" dxfId="945" priority="7302">
      <formula>LEN(TRIM(C9668))&gt;0</formula>
    </cfRule>
  </conditionalFormatting>
  <conditionalFormatting sqref="C9672:F9672">
    <cfRule type="notContainsBlanks" dxfId="944" priority="7307">
      <formula>LEN(TRIM(C9672))&gt;0</formula>
    </cfRule>
  </conditionalFormatting>
  <conditionalFormatting sqref="C9676:F9677">
    <cfRule type="notContainsBlanks" dxfId="943" priority="7312">
      <formula>LEN(TRIM(C9676))&gt;0</formula>
    </cfRule>
  </conditionalFormatting>
  <conditionalFormatting sqref="C9681:F9682">
    <cfRule type="notContainsBlanks" dxfId="942" priority="7317">
      <formula>LEN(TRIM(C9681))&gt;0</formula>
    </cfRule>
  </conditionalFormatting>
  <conditionalFormatting sqref="C9686:F9686">
    <cfRule type="notContainsBlanks" dxfId="941" priority="7322">
      <formula>LEN(TRIM(C9686))&gt;0</formula>
    </cfRule>
  </conditionalFormatting>
  <conditionalFormatting sqref="C9690:F9690">
    <cfRule type="notContainsBlanks" dxfId="940" priority="7327">
      <formula>LEN(TRIM(C9690))&gt;0</formula>
    </cfRule>
  </conditionalFormatting>
  <conditionalFormatting sqref="C9694:F9694">
    <cfRule type="notContainsBlanks" dxfId="939" priority="7332">
      <formula>LEN(TRIM(C9694))&gt;0</formula>
    </cfRule>
  </conditionalFormatting>
  <conditionalFormatting sqref="C9698:F9699">
    <cfRule type="notContainsBlanks" dxfId="938" priority="7337">
      <formula>LEN(TRIM(C9698))&gt;0</formula>
    </cfRule>
  </conditionalFormatting>
  <conditionalFormatting sqref="C9707:F9708">
    <cfRule type="notContainsBlanks" dxfId="937" priority="7347">
      <formula>LEN(TRIM(C9707))&gt;0</formula>
    </cfRule>
  </conditionalFormatting>
  <conditionalFormatting sqref="C9716:F9717">
    <cfRule type="notContainsBlanks" dxfId="936" priority="7357">
      <formula>LEN(TRIM(C9716))&gt;0</formula>
    </cfRule>
  </conditionalFormatting>
  <conditionalFormatting sqref="C9721:F9721">
    <cfRule type="notContainsBlanks" dxfId="935" priority="7362">
      <formula>LEN(TRIM(C9721))&gt;0</formula>
    </cfRule>
  </conditionalFormatting>
  <conditionalFormatting sqref="C9725:F9726">
    <cfRule type="notContainsBlanks" dxfId="934" priority="7367">
      <formula>LEN(TRIM(C9725))&gt;0</formula>
    </cfRule>
  </conditionalFormatting>
  <conditionalFormatting sqref="C9730:F9730">
    <cfRule type="notContainsBlanks" dxfId="933" priority="7372">
      <formula>LEN(TRIM(C9730))&gt;0</formula>
    </cfRule>
  </conditionalFormatting>
  <conditionalFormatting sqref="C9734:F9735">
    <cfRule type="notContainsBlanks" dxfId="932" priority="7377">
      <formula>LEN(TRIM(C9734))&gt;0</formula>
    </cfRule>
  </conditionalFormatting>
  <conditionalFormatting sqref="C9739:F9740">
    <cfRule type="notContainsBlanks" dxfId="931" priority="7382">
      <formula>LEN(TRIM(C9739))&gt;0</formula>
    </cfRule>
  </conditionalFormatting>
  <conditionalFormatting sqref="C9744:F9745">
    <cfRule type="notContainsBlanks" dxfId="930" priority="7387">
      <formula>LEN(TRIM(C9744))&gt;0</formula>
    </cfRule>
  </conditionalFormatting>
  <conditionalFormatting sqref="C9749:F9749">
    <cfRule type="notContainsBlanks" dxfId="929" priority="7392">
      <formula>LEN(TRIM(C9749))&gt;0</formula>
    </cfRule>
  </conditionalFormatting>
  <conditionalFormatting sqref="C9753:F9753">
    <cfRule type="notContainsBlanks" dxfId="928" priority="7397">
      <formula>LEN(TRIM(C9753))&gt;0</formula>
    </cfRule>
  </conditionalFormatting>
  <conditionalFormatting sqref="C9757:F9758">
    <cfRule type="notContainsBlanks" dxfId="927" priority="7402">
      <formula>LEN(TRIM(C9757))&gt;0</formula>
    </cfRule>
  </conditionalFormatting>
  <conditionalFormatting sqref="C9762:F9762">
    <cfRule type="notContainsBlanks" dxfId="926" priority="7407">
      <formula>LEN(TRIM(C9762))&gt;0</formula>
    </cfRule>
  </conditionalFormatting>
  <conditionalFormatting sqref="C9766:F9769">
    <cfRule type="notContainsBlanks" dxfId="925" priority="7412">
      <formula>LEN(TRIM(C9766))&gt;0</formula>
    </cfRule>
  </conditionalFormatting>
  <conditionalFormatting sqref="C9777:F9778">
    <cfRule type="notContainsBlanks" dxfId="924" priority="7422">
      <formula>LEN(TRIM(C9777))&gt;0</formula>
    </cfRule>
  </conditionalFormatting>
  <conditionalFormatting sqref="C9786:F9787">
    <cfRule type="notContainsBlanks" dxfId="923" priority="7432">
      <formula>LEN(TRIM(C9786))&gt;0</formula>
    </cfRule>
  </conditionalFormatting>
  <conditionalFormatting sqref="C9791:F9792">
    <cfRule type="notContainsBlanks" dxfId="922" priority="7437">
      <formula>LEN(TRIM(C9791))&gt;0</formula>
    </cfRule>
  </conditionalFormatting>
  <conditionalFormatting sqref="C9796:F9797">
    <cfRule type="notContainsBlanks" dxfId="921" priority="7442">
      <formula>LEN(TRIM(C9796))&gt;0</formula>
    </cfRule>
  </conditionalFormatting>
  <conditionalFormatting sqref="C9801:F9802">
    <cfRule type="notContainsBlanks" dxfId="920" priority="7447">
      <formula>LEN(TRIM(C9801))&gt;0</formula>
    </cfRule>
  </conditionalFormatting>
  <conditionalFormatting sqref="C9806:F9807">
    <cfRule type="notContainsBlanks" dxfId="919" priority="7452">
      <formula>LEN(TRIM(C9806))&gt;0</formula>
    </cfRule>
  </conditionalFormatting>
  <conditionalFormatting sqref="C9811:F9812">
    <cfRule type="notContainsBlanks" dxfId="918" priority="7457">
      <formula>LEN(TRIM(C9811))&gt;0</formula>
    </cfRule>
  </conditionalFormatting>
  <conditionalFormatting sqref="C9816:F9817">
    <cfRule type="notContainsBlanks" dxfId="917" priority="7462">
      <formula>LEN(TRIM(C9816))&gt;0</formula>
    </cfRule>
  </conditionalFormatting>
  <conditionalFormatting sqref="C9821:F9822">
    <cfRule type="notContainsBlanks" dxfId="916" priority="7467">
      <formula>LEN(TRIM(C9821))&gt;0</formula>
    </cfRule>
  </conditionalFormatting>
  <conditionalFormatting sqref="C9826:F9826">
    <cfRule type="notContainsBlanks" dxfId="915" priority="7472">
      <formula>LEN(TRIM(C9826))&gt;0</formula>
    </cfRule>
  </conditionalFormatting>
  <conditionalFormatting sqref="C9830:F9831">
    <cfRule type="notContainsBlanks" dxfId="914" priority="7477">
      <formula>LEN(TRIM(C9830))&gt;0</formula>
    </cfRule>
  </conditionalFormatting>
  <conditionalFormatting sqref="C9835:F9836">
    <cfRule type="notContainsBlanks" dxfId="913" priority="7482">
      <formula>LEN(TRIM(C9835))&gt;0</formula>
    </cfRule>
  </conditionalFormatting>
  <conditionalFormatting sqref="C9840:F9843">
    <cfRule type="notContainsBlanks" dxfId="912" priority="7487">
      <formula>LEN(TRIM(C9840))&gt;0</formula>
    </cfRule>
  </conditionalFormatting>
  <conditionalFormatting sqref="C9851:F9852">
    <cfRule type="notContainsBlanks" dxfId="911" priority="7497">
      <formula>LEN(TRIM(C9851))&gt;0</formula>
    </cfRule>
  </conditionalFormatting>
  <conditionalFormatting sqref="C9860:F9861">
    <cfRule type="notContainsBlanks" dxfId="910" priority="7507">
      <formula>LEN(TRIM(C9860))&gt;0</formula>
    </cfRule>
  </conditionalFormatting>
  <conditionalFormatting sqref="C9865:F9865">
    <cfRule type="notContainsBlanks" dxfId="909" priority="7512">
      <formula>LEN(TRIM(C9865))&gt;0</formula>
    </cfRule>
  </conditionalFormatting>
  <conditionalFormatting sqref="C9869:F9870">
    <cfRule type="notContainsBlanks" dxfId="908" priority="7517">
      <formula>LEN(TRIM(C9869))&gt;0</formula>
    </cfRule>
  </conditionalFormatting>
  <conditionalFormatting sqref="C9874:F9874">
    <cfRule type="notContainsBlanks" dxfId="907" priority="7522">
      <formula>LEN(TRIM(C9874))&gt;0</formula>
    </cfRule>
  </conditionalFormatting>
  <conditionalFormatting sqref="C9878:F9878">
    <cfRule type="notContainsBlanks" dxfId="906" priority="7527">
      <formula>LEN(TRIM(C9878))&gt;0</formula>
    </cfRule>
  </conditionalFormatting>
  <conditionalFormatting sqref="C9882:F9883">
    <cfRule type="notContainsBlanks" dxfId="905" priority="7532">
      <formula>LEN(TRIM(C9882))&gt;0</formula>
    </cfRule>
  </conditionalFormatting>
  <conditionalFormatting sqref="C9887:F9888">
    <cfRule type="notContainsBlanks" dxfId="904" priority="7537">
      <formula>LEN(TRIM(C9887))&gt;0</formula>
    </cfRule>
  </conditionalFormatting>
  <conditionalFormatting sqref="C9892:F9893">
    <cfRule type="notContainsBlanks" dxfId="903" priority="7542">
      <formula>LEN(TRIM(C9892))&gt;0</formula>
    </cfRule>
  </conditionalFormatting>
  <conditionalFormatting sqref="C9897:F9897">
    <cfRule type="notContainsBlanks" dxfId="902" priority="7547">
      <formula>LEN(TRIM(C9897))&gt;0</formula>
    </cfRule>
  </conditionalFormatting>
  <conditionalFormatting sqref="C9901:F9902">
    <cfRule type="notContainsBlanks" dxfId="901" priority="7552">
      <formula>LEN(TRIM(C9901))&gt;0</formula>
    </cfRule>
  </conditionalFormatting>
  <conditionalFormatting sqref="C9906:F9907">
    <cfRule type="notContainsBlanks" dxfId="900" priority="7557">
      <formula>LEN(TRIM(C9906))&gt;0</formula>
    </cfRule>
  </conditionalFormatting>
  <conditionalFormatting sqref="C9911:F9914">
    <cfRule type="notContainsBlanks" dxfId="899" priority="7562">
      <formula>LEN(TRIM(C9911))&gt;0</formula>
    </cfRule>
  </conditionalFormatting>
  <conditionalFormatting sqref="D4">
    <cfRule type="colorScale" priority="14">
      <colorScale>
        <cfvo type="min"/>
        <cfvo type="percentile" val="50"/>
        <cfvo type="max"/>
        <color rgb="FFF8696B"/>
        <color rgb="FFFFEB84"/>
        <color rgb="FF63BE7B"/>
      </colorScale>
    </cfRule>
  </conditionalFormatting>
  <conditionalFormatting sqref="D8:D9">
    <cfRule type="colorScale" priority="18">
      <colorScale>
        <cfvo type="min"/>
        <cfvo type="percentile" val="50"/>
        <cfvo type="max"/>
        <color rgb="FFF8696B"/>
        <color rgb="FFFFEB84"/>
        <color rgb="FF63BE7B"/>
      </colorScale>
    </cfRule>
  </conditionalFormatting>
  <conditionalFormatting sqref="D17:D18">
    <cfRule type="colorScale" priority="28">
      <colorScale>
        <cfvo type="min"/>
        <cfvo type="percentile" val="50"/>
        <cfvo type="max"/>
        <color rgb="FFF8696B"/>
        <color rgb="FFFFEB84"/>
        <color rgb="FF63BE7B"/>
      </colorScale>
    </cfRule>
  </conditionalFormatting>
  <conditionalFormatting sqref="D22:D23">
    <cfRule type="colorScale" priority="33">
      <colorScale>
        <cfvo type="min"/>
        <cfvo type="percentile" val="50"/>
        <cfvo type="max"/>
        <color rgb="FFF8696B"/>
        <color rgb="FFFFEB84"/>
        <color rgb="FF63BE7B"/>
      </colorScale>
    </cfRule>
  </conditionalFormatting>
  <conditionalFormatting sqref="D27:D28">
    <cfRule type="colorScale" priority="38">
      <colorScale>
        <cfvo type="min"/>
        <cfvo type="percentile" val="50"/>
        <cfvo type="max"/>
        <color rgb="FFF8696B"/>
        <color rgb="FFFFEB84"/>
        <color rgb="FF63BE7B"/>
      </colorScale>
    </cfRule>
  </conditionalFormatting>
  <conditionalFormatting sqref="D32:D33">
    <cfRule type="colorScale" priority="43">
      <colorScale>
        <cfvo type="min"/>
        <cfvo type="percentile" val="50"/>
        <cfvo type="max"/>
        <color rgb="FFF8696B"/>
        <color rgb="FFFFEB84"/>
        <color rgb="FF63BE7B"/>
      </colorScale>
    </cfRule>
  </conditionalFormatting>
  <conditionalFormatting sqref="D37:D38">
    <cfRule type="colorScale" priority="48">
      <colorScale>
        <cfvo type="min"/>
        <cfvo type="percentile" val="50"/>
        <cfvo type="max"/>
        <color rgb="FFF8696B"/>
        <color rgb="FFFFEB84"/>
        <color rgb="FF63BE7B"/>
      </colorScale>
    </cfRule>
  </conditionalFormatting>
  <conditionalFormatting sqref="D42:D43">
    <cfRule type="colorScale" priority="53">
      <colorScale>
        <cfvo type="min"/>
        <cfvo type="percentile" val="50"/>
        <cfvo type="max"/>
        <color rgb="FFF8696B"/>
        <color rgb="FFFFEB84"/>
        <color rgb="FF63BE7B"/>
      </colorScale>
    </cfRule>
  </conditionalFormatting>
  <conditionalFormatting sqref="D47:D48">
    <cfRule type="colorScale" priority="58">
      <colorScale>
        <cfvo type="min"/>
        <cfvo type="percentile" val="50"/>
        <cfvo type="max"/>
        <color rgb="FFF8696B"/>
        <color rgb="FFFFEB84"/>
        <color rgb="FF63BE7B"/>
      </colorScale>
    </cfRule>
  </conditionalFormatting>
  <conditionalFormatting sqref="D52:D53">
    <cfRule type="colorScale" priority="63">
      <colorScale>
        <cfvo type="min"/>
        <cfvo type="percentile" val="50"/>
        <cfvo type="max"/>
        <color rgb="FFF8696B"/>
        <color rgb="FFFFEB84"/>
        <color rgb="FF63BE7B"/>
      </colorScale>
    </cfRule>
  </conditionalFormatting>
  <conditionalFormatting sqref="D57">
    <cfRule type="colorScale" priority="68">
      <colorScale>
        <cfvo type="min"/>
        <cfvo type="percentile" val="50"/>
        <cfvo type="max"/>
        <color rgb="FFF8696B"/>
        <color rgb="FFFFEB84"/>
        <color rgb="FF63BE7B"/>
      </colorScale>
    </cfRule>
  </conditionalFormatting>
  <conditionalFormatting sqref="D61:D62">
    <cfRule type="colorScale" priority="73">
      <colorScale>
        <cfvo type="min"/>
        <cfvo type="percentile" val="50"/>
        <cfvo type="max"/>
        <color rgb="FFF8696B"/>
        <color rgb="FFFFEB84"/>
        <color rgb="FF63BE7B"/>
      </colorScale>
    </cfRule>
  </conditionalFormatting>
  <conditionalFormatting sqref="D66:D67">
    <cfRule type="colorScale" priority="78">
      <colorScale>
        <cfvo type="min"/>
        <cfvo type="percentile" val="50"/>
        <cfvo type="max"/>
        <color rgb="FFF8696B"/>
        <color rgb="FFFFEB84"/>
        <color rgb="FF63BE7B"/>
      </colorScale>
    </cfRule>
  </conditionalFormatting>
  <conditionalFormatting sqref="D71:D74">
    <cfRule type="colorScale" priority="83">
      <colorScale>
        <cfvo type="min"/>
        <cfvo type="percentile" val="50"/>
        <cfvo type="max"/>
        <color rgb="FFF8696B"/>
        <color rgb="FFFFEB84"/>
        <color rgb="FF63BE7B"/>
      </colorScale>
    </cfRule>
  </conditionalFormatting>
  <conditionalFormatting sqref="D78">
    <cfRule type="colorScale" priority="89">
      <colorScale>
        <cfvo type="min"/>
        <cfvo type="percentile" val="50"/>
        <cfvo type="max"/>
        <color rgb="FFF8696B"/>
        <color rgb="FFFFEB84"/>
        <color rgb="FF63BE7B"/>
      </colorScale>
    </cfRule>
  </conditionalFormatting>
  <conditionalFormatting sqref="D82:D83">
    <cfRule type="colorScale" priority="93">
      <colorScale>
        <cfvo type="min"/>
        <cfvo type="percentile" val="50"/>
        <cfvo type="max"/>
        <color rgb="FFF8696B"/>
        <color rgb="FFFFEB84"/>
        <color rgb="FF63BE7B"/>
      </colorScale>
    </cfRule>
  </conditionalFormatting>
  <conditionalFormatting sqref="D91:D92">
    <cfRule type="colorScale" priority="103">
      <colorScale>
        <cfvo type="min"/>
        <cfvo type="percentile" val="50"/>
        <cfvo type="max"/>
        <color rgb="FFF8696B"/>
        <color rgb="FFFFEB84"/>
        <color rgb="FF63BE7B"/>
      </colorScale>
    </cfRule>
  </conditionalFormatting>
  <conditionalFormatting sqref="D96:D97">
    <cfRule type="colorScale" priority="108">
      <colorScale>
        <cfvo type="min"/>
        <cfvo type="percentile" val="50"/>
        <cfvo type="max"/>
        <color rgb="FFF8696B"/>
        <color rgb="FFFFEB84"/>
        <color rgb="FF63BE7B"/>
      </colorScale>
    </cfRule>
  </conditionalFormatting>
  <conditionalFormatting sqref="D101:D102">
    <cfRule type="colorScale" priority="113">
      <colorScale>
        <cfvo type="min"/>
        <cfvo type="percentile" val="50"/>
        <cfvo type="max"/>
        <color rgb="FFF8696B"/>
        <color rgb="FFFFEB84"/>
        <color rgb="FF63BE7B"/>
      </colorScale>
    </cfRule>
  </conditionalFormatting>
  <conditionalFormatting sqref="D106:D107">
    <cfRule type="colorScale" priority="118">
      <colorScale>
        <cfvo type="min"/>
        <cfvo type="percentile" val="50"/>
        <cfvo type="max"/>
        <color rgb="FFF8696B"/>
        <color rgb="FFFFEB84"/>
        <color rgb="FF63BE7B"/>
      </colorScale>
    </cfRule>
  </conditionalFormatting>
  <conditionalFormatting sqref="D111:D112">
    <cfRule type="colorScale" priority="123">
      <colorScale>
        <cfvo type="min"/>
        <cfvo type="percentile" val="50"/>
        <cfvo type="max"/>
        <color rgb="FFF8696B"/>
        <color rgb="FFFFEB84"/>
        <color rgb="FF63BE7B"/>
      </colorScale>
    </cfRule>
  </conditionalFormatting>
  <conditionalFormatting sqref="D116:D117">
    <cfRule type="colorScale" priority="128">
      <colorScale>
        <cfvo type="min"/>
        <cfvo type="percentile" val="50"/>
        <cfvo type="max"/>
        <color rgb="FFF8696B"/>
        <color rgb="FFFFEB84"/>
        <color rgb="FF63BE7B"/>
      </colorScale>
    </cfRule>
  </conditionalFormatting>
  <conditionalFormatting sqref="D121:D122">
    <cfRule type="colorScale" priority="133">
      <colorScale>
        <cfvo type="min"/>
        <cfvo type="percentile" val="50"/>
        <cfvo type="max"/>
        <color rgb="FFF8696B"/>
        <color rgb="FFFFEB84"/>
        <color rgb="FF63BE7B"/>
      </colorScale>
    </cfRule>
  </conditionalFormatting>
  <conditionalFormatting sqref="D126:D127">
    <cfRule type="colorScale" priority="138">
      <colorScale>
        <cfvo type="min"/>
        <cfvo type="percentile" val="50"/>
        <cfvo type="max"/>
        <color rgb="FFF8696B"/>
        <color rgb="FFFFEB84"/>
        <color rgb="FF63BE7B"/>
      </colorScale>
    </cfRule>
  </conditionalFormatting>
  <conditionalFormatting sqref="D131">
    <cfRule type="colorScale" priority="143">
      <colorScale>
        <cfvo type="min"/>
        <cfvo type="percentile" val="50"/>
        <cfvo type="max"/>
        <color rgb="FFF8696B"/>
        <color rgb="FFFFEB84"/>
        <color rgb="FF63BE7B"/>
      </colorScale>
    </cfRule>
  </conditionalFormatting>
  <conditionalFormatting sqref="D135:D136">
    <cfRule type="colorScale" priority="148">
      <colorScale>
        <cfvo type="min"/>
        <cfvo type="percentile" val="50"/>
        <cfvo type="max"/>
        <color rgb="FFF8696B"/>
        <color rgb="FFFFEB84"/>
        <color rgb="FF63BE7B"/>
      </colorScale>
    </cfRule>
  </conditionalFormatting>
  <conditionalFormatting sqref="D140:D141">
    <cfRule type="colorScale" priority="153">
      <colorScale>
        <cfvo type="min"/>
        <cfvo type="percentile" val="50"/>
        <cfvo type="max"/>
        <color rgb="FFF8696B"/>
        <color rgb="FFFFEB84"/>
        <color rgb="FF63BE7B"/>
      </colorScale>
    </cfRule>
  </conditionalFormatting>
  <conditionalFormatting sqref="D145:D148">
    <cfRule type="colorScale" priority="158">
      <colorScale>
        <cfvo type="min"/>
        <cfvo type="percentile" val="50"/>
        <cfvo type="max"/>
        <color rgb="FFF8696B"/>
        <color rgb="FFFFEB84"/>
        <color rgb="FF63BE7B"/>
      </colorScale>
    </cfRule>
  </conditionalFormatting>
  <conditionalFormatting sqref="D152">
    <cfRule type="colorScale" priority="164">
      <colorScale>
        <cfvo type="min"/>
        <cfvo type="percentile" val="50"/>
        <cfvo type="max"/>
        <color rgb="FFF8696B"/>
        <color rgb="FFFFEB84"/>
        <color rgb="FF63BE7B"/>
      </colorScale>
    </cfRule>
  </conditionalFormatting>
  <conditionalFormatting sqref="D156:D157">
    <cfRule type="colorScale" priority="168">
      <colorScale>
        <cfvo type="min"/>
        <cfvo type="percentile" val="50"/>
        <cfvo type="max"/>
        <color rgb="FFF8696B"/>
        <color rgb="FFFFEB84"/>
        <color rgb="FF63BE7B"/>
      </colorScale>
    </cfRule>
  </conditionalFormatting>
  <conditionalFormatting sqref="D165:D166">
    <cfRule type="colorScale" priority="178">
      <colorScale>
        <cfvo type="min"/>
        <cfvo type="percentile" val="50"/>
        <cfvo type="max"/>
        <color rgb="FFF8696B"/>
        <color rgb="FFFFEB84"/>
        <color rgb="FF63BE7B"/>
      </colorScale>
    </cfRule>
  </conditionalFormatting>
  <conditionalFormatting sqref="D170:D171">
    <cfRule type="colorScale" priority="183">
      <colorScale>
        <cfvo type="min"/>
        <cfvo type="percentile" val="50"/>
        <cfvo type="max"/>
        <color rgb="FFF8696B"/>
        <color rgb="FFFFEB84"/>
        <color rgb="FF63BE7B"/>
      </colorScale>
    </cfRule>
  </conditionalFormatting>
  <conditionalFormatting sqref="D175:D176">
    <cfRule type="colorScale" priority="188">
      <colorScale>
        <cfvo type="min"/>
        <cfvo type="percentile" val="50"/>
        <cfvo type="max"/>
        <color rgb="FFF8696B"/>
        <color rgb="FFFFEB84"/>
        <color rgb="FF63BE7B"/>
      </colorScale>
    </cfRule>
  </conditionalFormatting>
  <conditionalFormatting sqref="D180:D181">
    <cfRule type="colorScale" priority="193">
      <colorScale>
        <cfvo type="min"/>
        <cfvo type="percentile" val="50"/>
        <cfvo type="max"/>
        <color rgb="FFF8696B"/>
        <color rgb="FFFFEB84"/>
        <color rgb="FF63BE7B"/>
      </colorScale>
    </cfRule>
  </conditionalFormatting>
  <conditionalFormatting sqref="D185:D186">
    <cfRule type="colorScale" priority="198">
      <colorScale>
        <cfvo type="min"/>
        <cfvo type="percentile" val="50"/>
        <cfvo type="max"/>
        <color rgb="FFF8696B"/>
        <color rgb="FFFFEB84"/>
        <color rgb="FF63BE7B"/>
      </colorScale>
    </cfRule>
  </conditionalFormatting>
  <conditionalFormatting sqref="D190:D191">
    <cfRule type="colorScale" priority="203">
      <colorScale>
        <cfvo type="min"/>
        <cfvo type="percentile" val="50"/>
        <cfvo type="max"/>
        <color rgb="FFF8696B"/>
        <color rgb="FFFFEB84"/>
        <color rgb="FF63BE7B"/>
      </colorScale>
    </cfRule>
  </conditionalFormatting>
  <conditionalFormatting sqref="D195:D196">
    <cfRule type="colorScale" priority="208">
      <colorScale>
        <cfvo type="min"/>
        <cfvo type="percentile" val="50"/>
        <cfvo type="max"/>
        <color rgb="FFF8696B"/>
        <color rgb="FFFFEB84"/>
        <color rgb="FF63BE7B"/>
      </colorScale>
    </cfRule>
  </conditionalFormatting>
  <conditionalFormatting sqref="D200:D201">
    <cfRule type="colorScale" priority="213">
      <colorScale>
        <cfvo type="min"/>
        <cfvo type="percentile" val="50"/>
        <cfvo type="max"/>
        <color rgb="FFF8696B"/>
        <color rgb="FFFFEB84"/>
        <color rgb="FF63BE7B"/>
      </colorScale>
    </cfRule>
  </conditionalFormatting>
  <conditionalFormatting sqref="D205">
    <cfRule type="colorScale" priority="218">
      <colorScale>
        <cfvo type="min"/>
        <cfvo type="percentile" val="50"/>
        <cfvo type="max"/>
        <color rgb="FFF8696B"/>
        <color rgb="FFFFEB84"/>
        <color rgb="FF63BE7B"/>
      </colorScale>
    </cfRule>
  </conditionalFormatting>
  <conditionalFormatting sqref="D209:D210">
    <cfRule type="colorScale" priority="223">
      <colorScale>
        <cfvo type="min"/>
        <cfvo type="percentile" val="50"/>
        <cfvo type="max"/>
        <color rgb="FFF8696B"/>
        <color rgb="FFFFEB84"/>
        <color rgb="FF63BE7B"/>
      </colorScale>
    </cfRule>
  </conditionalFormatting>
  <conditionalFormatting sqref="D214:D215">
    <cfRule type="colorScale" priority="228">
      <colorScale>
        <cfvo type="min"/>
        <cfvo type="percentile" val="50"/>
        <cfvo type="max"/>
        <color rgb="FFF8696B"/>
        <color rgb="FFFFEB84"/>
        <color rgb="FF63BE7B"/>
      </colorScale>
    </cfRule>
  </conditionalFormatting>
  <conditionalFormatting sqref="D219:D222">
    <cfRule type="colorScale" priority="233">
      <colorScale>
        <cfvo type="min"/>
        <cfvo type="percentile" val="50"/>
        <cfvo type="max"/>
        <color rgb="FFF8696B"/>
        <color rgb="FFFFEB84"/>
        <color rgb="FF63BE7B"/>
      </colorScale>
    </cfRule>
  </conditionalFormatting>
  <conditionalFormatting sqref="D226">
    <cfRule type="colorScale" priority="239">
      <colorScale>
        <cfvo type="min"/>
        <cfvo type="percentile" val="50"/>
        <cfvo type="max"/>
        <color rgb="FFF8696B"/>
        <color rgb="FFFFEB84"/>
        <color rgb="FF63BE7B"/>
      </colorScale>
    </cfRule>
  </conditionalFormatting>
  <conditionalFormatting sqref="D230:D231">
    <cfRule type="colorScale" priority="243">
      <colorScale>
        <cfvo type="min"/>
        <cfvo type="percentile" val="50"/>
        <cfvo type="max"/>
        <color rgb="FFF8696B"/>
        <color rgb="FFFFEB84"/>
        <color rgb="FF63BE7B"/>
      </colorScale>
    </cfRule>
  </conditionalFormatting>
  <conditionalFormatting sqref="D239:D240">
    <cfRule type="colorScale" priority="253">
      <colorScale>
        <cfvo type="min"/>
        <cfvo type="percentile" val="50"/>
        <cfvo type="max"/>
        <color rgb="FFF8696B"/>
        <color rgb="FFFFEB84"/>
        <color rgb="FF63BE7B"/>
      </colorScale>
    </cfRule>
  </conditionalFormatting>
  <conditionalFormatting sqref="D244:D245">
    <cfRule type="colorScale" priority="258">
      <colorScale>
        <cfvo type="min"/>
        <cfvo type="percentile" val="50"/>
        <cfvo type="max"/>
        <color rgb="FFF8696B"/>
        <color rgb="FFFFEB84"/>
        <color rgb="FF63BE7B"/>
      </colorScale>
    </cfRule>
  </conditionalFormatting>
  <conditionalFormatting sqref="D249:D250">
    <cfRule type="colorScale" priority="263">
      <colorScale>
        <cfvo type="min"/>
        <cfvo type="percentile" val="50"/>
        <cfvo type="max"/>
        <color rgb="FFF8696B"/>
        <color rgb="FFFFEB84"/>
        <color rgb="FF63BE7B"/>
      </colorScale>
    </cfRule>
  </conditionalFormatting>
  <conditionalFormatting sqref="D254:D255">
    <cfRule type="colorScale" priority="268">
      <colorScale>
        <cfvo type="min"/>
        <cfvo type="percentile" val="50"/>
        <cfvo type="max"/>
        <color rgb="FFF8696B"/>
        <color rgb="FFFFEB84"/>
        <color rgb="FF63BE7B"/>
      </colorScale>
    </cfRule>
  </conditionalFormatting>
  <conditionalFormatting sqref="D259:D260">
    <cfRule type="colorScale" priority="273">
      <colorScale>
        <cfvo type="min"/>
        <cfvo type="percentile" val="50"/>
        <cfvo type="max"/>
        <color rgb="FFF8696B"/>
        <color rgb="FFFFEB84"/>
        <color rgb="FF63BE7B"/>
      </colorScale>
    </cfRule>
  </conditionalFormatting>
  <conditionalFormatting sqref="D264:D265">
    <cfRule type="colorScale" priority="278">
      <colorScale>
        <cfvo type="min"/>
        <cfvo type="percentile" val="50"/>
        <cfvo type="max"/>
        <color rgb="FFF8696B"/>
        <color rgb="FFFFEB84"/>
        <color rgb="FF63BE7B"/>
      </colorScale>
    </cfRule>
  </conditionalFormatting>
  <conditionalFormatting sqref="D269:D270">
    <cfRule type="colorScale" priority="283">
      <colorScale>
        <cfvo type="min"/>
        <cfvo type="percentile" val="50"/>
        <cfvo type="max"/>
        <color rgb="FFF8696B"/>
        <color rgb="FFFFEB84"/>
        <color rgb="FF63BE7B"/>
      </colorScale>
    </cfRule>
  </conditionalFormatting>
  <conditionalFormatting sqref="D274:D275">
    <cfRule type="colorScale" priority="288">
      <colorScale>
        <cfvo type="min"/>
        <cfvo type="percentile" val="50"/>
        <cfvo type="max"/>
        <color rgb="FFF8696B"/>
        <color rgb="FFFFEB84"/>
        <color rgb="FF63BE7B"/>
      </colorScale>
    </cfRule>
  </conditionalFormatting>
  <conditionalFormatting sqref="D279">
    <cfRule type="colorScale" priority="293">
      <colorScale>
        <cfvo type="min"/>
        <cfvo type="percentile" val="50"/>
        <cfvo type="max"/>
        <color rgb="FFF8696B"/>
        <color rgb="FFFFEB84"/>
        <color rgb="FF63BE7B"/>
      </colorScale>
    </cfRule>
  </conditionalFormatting>
  <conditionalFormatting sqref="D283:D284">
    <cfRule type="colorScale" priority="298">
      <colorScale>
        <cfvo type="min"/>
        <cfvo type="percentile" val="50"/>
        <cfvo type="max"/>
        <color rgb="FFF8696B"/>
        <color rgb="FFFFEB84"/>
        <color rgb="FF63BE7B"/>
      </colorScale>
    </cfRule>
  </conditionalFormatting>
  <conditionalFormatting sqref="D288:D289">
    <cfRule type="colorScale" priority="303">
      <colorScale>
        <cfvo type="min"/>
        <cfvo type="percentile" val="50"/>
        <cfvo type="max"/>
        <color rgb="FFF8696B"/>
        <color rgb="FFFFEB84"/>
        <color rgb="FF63BE7B"/>
      </colorScale>
    </cfRule>
  </conditionalFormatting>
  <conditionalFormatting sqref="D293:D296">
    <cfRule type="colorScale" priority="308">
      <colorScale>
        <cfvo type="min"/>
        <cfvo type="percentile" val="50"/>
        <cfvo type="max"/>
        <color rgb="FFF8696B"/>
        <color rgb="FFFFEB84"/>
        <color rgb="FF63BE7B"/>
      </colorScale>
    </cfRule>
  </conditionalFormatting>
  <conditionalFormatting sqref="D448">
    <cfRule type="colorScale" priority="374">
      <colorScale>
        <cfvo type="min"/>
        <cfvo type="percentile" val="50"/>
        <cfvo type="max"/>
        <color rgb="FFF8696B"/>
        <color rgb="FFFFEB84"/>
        <color rgb="FF63BE7B"/>
      </colorScale>
    </cfRule>
  </conditionalFormatting>
  <conditionalFormatting sqref="D452:D453">
    <cfRule type="colorScale" priority="378">
      <colorScale>
        <cfvo type="min"/>
        <cfvo type="percentile" val="50"/>
        <cfvo type="max"/>
        <color rgb="FFF8696B"/>
        <color rgb="FFFFEB84"/>
        <color rgb="FF63BE7B"/>
      </colorScale>
    </cfRule>
  </conditionalFormatting>
  <conditionalFormatting sqref="D461:D462">
    <cfRule type="colorScale" priority="388">
      <colorScale>
        <cfvo type="min"/>
        <cfvo type="percentile" val="50"/>
        <cfvo type="max"/>
        <color rgb="FFF8696B"/>
        <color rgb="FFFFEB84"/>
        <color rgb="FF63BE7B"/>
      </colorScale>
    </cfRule>
  </conditionalFormatting>
  <conditionalFormatting sqref="D466:D467">
    <cfRule type="colorScale" priority="393">
      <colorScale>
        <cfvo type="min"/>
        <cfvo type="percentile" val="50"/>
        <cfvo type="max"/>
        <color rgb="FFF8696B"/>
        <color rgb="FFFFEB84"/>
        <color rgb="FF63BE7B"/>
      </colorScale>
    </cfRule>
  </conditionalFormatting>
  <conditionalFormatting sqref="D471:D472">
    <cfRule type="colorScale" priority="398">
      <colorScale>
        <cfvo type="min"/>
        <cfvo type="percentile" val="50"/>
        <cfvo type="max"/>
        <color rgb="FFF8696B"/>
        <color rgb="FFFFEB84"/>
        <color rgb="FF63BE7B"/>
      </colorScale>
    </cfRule>
  </conditionalFormatting>
  <conditionalFormatting sqref="D476:D477">
    <cfRule type="colorScale" priority="403">
      <colorScale>
        <cfvo type="min"/>
        <cfvo type="percentile" val="50"/>
        <cfvo type="max"/>
        <color rgb="FFF8696B"/>
        <color rgb="FFFFEB84"/>
        <color rgb="FF63BE7B"/>
      </colorScale>
    </cfRule>
  </conditionalFormatting>
  <conditionalFormatting sqref="D481:D482">
    <cfRule type="colorScale" priority="408">
      <colorScale>
        <cfvo type="min"/>
        <cfvo type="percentile" val="50"/>
        <cfvo type="max"/>
        <color rgb="FFF8696B"/>
        <color rgb="FFFFEB84"/>
        <color rgb="FF63BE7B"/>
      </colorScale>
    </cfRule>
  </conditionalFormatting>
  <conditionalFormatting sqref="D486:D487">
    <cfRule type="colorScale" priority="413">
      <colorScale>
        <cfvo type="min"/>
        <cfvo type="percentile" val="50"/>
        <cfvo type="max"/>
        <color rgb="FFF8696B"/>
        <color rgb="FFFFEB84"/>
        <color rgb="FF63BE7B"/>
      </colorScale>
    </cfRule>
  </conditionalFormatting>
  <conditionalFormatting sqref="D491:D492">
    <cfRule type="colorScale" priority="418">
      <colorScale>
        <cfvo type="min"/>
        <cfvo type="percentile" val="50"/>
        <cfvo type="max"/>
        <color rgb="FFF8696B"/>
        <color rgb="FFFFEB84"/>
        <color rgb="FF63BE7B"/>
      </colorScale>
    </cfRule>
  </conditionalFormatting>
  <conditionalFormatting sqref="D496:D497">
    <cfRule type="colorScale" priority="423">
      <colorScale>
        <cfvo type="min"/>
        <cfvo type="percentile" val="50"/>
        <cfvo type="max"/>
        <color rgb="FFF8696B"/>
        <color rgb="FFFFEB84"/>
        <color rgb="FF63BE7B"/>
      </colorScale>
    </cfRule>
  </conditionalFormatting>
  <conditionalFormatting sqref="D501">
    <cfRule type="colorScale" priority="428">
      <colorScale>
        <cfvo type="min"/>
        <cfvo type="percentile" val="50"/>
        <cfvo type="max"/>
        <color rgb="FFF8696B"/>
        <color rgb="FFFFEB84"/>
        <color rgb="FF63BE7B"/>
      </colorScale>
    </cfRule>
  </conditionalFormatting>
  <conditionalFormatting sqref="D505:D506">
    <cfRule type="colorScale" priority="433">
      <colorScale>
        <cfvo type="min"/>
        <cfvo type="percentile" val="50"/>
        <cfvo type="max"/>
        <color rgb="FFF8696B"/>
        <color rgb="FFFFEB84"/>
        <color rgb="FF63BE7B"/>
      </colorScale>
    </cfRule>
  </conditionalFormatting>
  <conditionalFormatting sqref="D510:D511">
    <cfRule type="colorScale" priority="438">
      <colorScale>
        <cfvo type="min"/>
        <cfvo type="percentile" val="50"/>
        <cfvo type="max"/>
        <color rgb="FFF8696B"/>
        <color rgb="FFFFEB84"/>
        <color rgb="FF63BE7B"/>
      </colorScale>
    </cfRule>
  </conditionalFormatting>
  <conditionalFormatting sqref="D515:D518">
    <cfRule type="colorScale" priority="443">
      <colorScale>
        <cfvo type="min"/>
        <cfvo type="percentile" val="50"/>
        <cfvo type="max"/>
        <color rgb="FFF8696B"/>
        <color rgb="FFFFEB84"/>
        <color rgb="FF63BE7B"/>
      </colorScale>
    </cfRule>
  </conditionalFormatting>
  <conditionalFormatting sqref="D522">
    <cfRule type="colorScale" priority="449">
      <colorScale>
        <cfvo type="min"/>
        <cfvo type="percentile" val="50"/>
        <cfvo type="max"/>
        <color rgb="FFF8696B"/>
        <color rgb="FFFFEB84"/>
        <color rgb="FF63BE7B"/>
      </colorScale>
    </cfRule>
  </conditionalFormatting>
  <conditionalFormatting sqref="D526:D527">
    <cfRule type="colorScale" priority="453">
      <colorScale>
        <cfvo type="min"/>
        <cfvo type="percentile" val="50"/>
        <cfvo type="max"/>
        <color rgb="FFF8696B"/>
        <color rgb="FFFFEB84"/>
        <color rgb="FF63BE7B"/>
      </colorScale>
    </cfRule>
  </conditionalFormatting>
  <conditionalFormatting sqref="D535:D536">
    <cfRule type="colorScale" priority="463">
      <colorScale>
        <cfvo type="min"/>
        <cfvo type="percentile" val="50"/>
        <cfvo type="max"/>
        <color rgb="FFF8696B"/>
        <color rgb="FFFFEB84"/>
        <color rgb="FF63BE7B"/>
      </colorScale>
    </cfRule>
  </conditionalFormatting>
  <conditionalFormatting sqref="D540:D541">
    <cfRule type="colorScale" priority="468">
      <colorScale>
        <cfvo type="min"/>
        <cfvo type="percentile" val="50"/>
        <cfvo type="max"/>
        <color rgb="FFF8696B"/>
        <color rgb="FFFFEB84"/>
        <color rgb="FF63BE7B"/>
      </colorScale>
    </cfRule>
  </conditionalFormatting>
  <conditionalFormatting sqref="D545:D546">
    <cfRule type="colorScale" priority="473">
      <colorScale>
        <cfvo type="min"/>
        <cfvo type="percentile" val="50"/>
        <cfvo type="max"/>
        <color rgb="FFF8696B"/>
        <color rgb="FFFFEB84"/>
        <color rgb="FF63BE7B"/>
      </colorScale>
    </cfRule>
  </conditionalFormatting>
  <conditionalFormatting sqref="D550:D551">
    <cfRule type="colorScale" priority="478">
      <colorScale>
        <cfvo type="min"/>
        <cfvo type="percentile" val="50"/>
        <cfvo type="max"/>
        <color rgb="FFF8696B"/>
        <color rgb="FFFFEB84"/>
        <color rgb="FF63BE7B"/>
      </colorScale>
    </cfRule>
  </conditionalFormatting>
  <conditionalFormatting sqref="D555:D556">
    <cfRule type="colorScale" priority="483">
      <colorScale>
        <cfvo type="min"/>
        <cfvo type="percentile" val="50"/>
        <cfvo type="max"/>
        <color rgb="FFF8696B"/>
        <color rgb="FFFFEB84"/>
        <color rgb="FF63BE7B"/>
      </colorScale>
    </cfRule>
  </conditionalFormatting>
  <conditionalFormatting sqref="D560:D561">
    <cfRule type="colorScale" priority="488">
      <colorScale>
        <cfvo type="min"/>
        <cfvo type="percentile" val="50"/>
        <cfvo type="max"/>
        <color rgb="FFF8696B"/>
        <color rgb="FFFFEB84"/>
        <color rgb="FF63BE7B"/>
      </colorScale>
    </cfRule>
  </conditionalFormatting>
  <conditionalFormatting sqref="D565:D566">
    <cfRule type="colorScale" priority="493">
      <colorScale>
        <cfvo type="min"/>
        <cfvo type="percentile" val="50"/>
        <cfvo type="max"/>
        <color rgb="FFF8696B"/>
        <color rgb="FFFFEB84"/>
        <color rgb="FF63BE7B"/>
      </colorScale>
    </cfRule>
  </conditionalFormatting>
  <conditionalFormatting sqref="D570:D571">
    <cfRule type="colorScale" priority="498">
      <colorScale>
        <cfvo type="min"/>
        <cfvo type="percentile" val="50"/>
        <cfvo type="max"/>
        <color rgb="FFF8696B"/>
        <color rgb="FFFFEB84"/>
        <color rgb="FF63BE7B"/>
      </colorScale>
    </cfRule>
  </conditionalFormatting>
  <conditionalFormatting sqref="D575">
    <cfRule type="colorScale" priority="503">
      <colorScale>
        <cfvo type="min"/>
        <cfvo type="percentile" val="50"/>
        <cfvo type="max"/>
        <color rgb="FFF8696B"/>
        <color rgb="FFFFEB84"/>
        <color rgb="FF63BE7B"/>
      </colorScale>
    </cfRule>
  </conditionalFormatting>
  <conditionalFormatting sqref="D579:D580">
    <cfRule type="colorScale" priority="508">
      <colorScale>
        <cfvo type="min"/>
        <cfvo type="percentile" val="50"/>
        <cfvo type="max"/>
        <color rgb="FFF8696B"/>
        <color rgb="FFFFEB84"/>
        <color rgb="FF63BE7B"/>
      </colorScale>
    </cfRule>
  </conditionalFormatting>
  <conditionalFormatting sqref="D584:D585">
    <cfRule type="colorScale" priority="513">
      <colorScale>
        <cfvo type="min"/>
        <cfvo type="percentile" val="50"/>
        <cfvo type="max"/>
        <color rgb="FFF8696B"/>
        <color rgb="FFFFEB84"/>
        <color rgb="FF63BE7B"/>
      </colorScale>
    </cfRule>
  </conditionalFormatting>
  <conditionalFormatting sqref="D589:D592">
    <cfRule type="colorScale" priority="518">
      <colorScale>
        <cfvo type="min"/>
        <cfvo type="percentile" val="50"/>
        <cfvo type="max"/>
        <color rgb="FFF8696B"/>
        <color rgb="FFFFEB84"/>
        <color rgb="FF63BE7B"/>
      </colorScale>
    </cfRule>
  </conditionalFormatting>
  <conditionalFormatting sqref="D596">
    <cfRule type="colorScale" priority="524">
      <colorScale>
        <cfvo type="min"/>
        <cfvo type="percentile" val="50"/>
        <cfvo type="max"/>
        <color rgb="FFF8696B"/>
        <color rgb="FFFFEB84"/>
        <color rgb="FF63BE7B"/>
      </colorScale>
    </cfRule>
  </conditionalFormatting>
  <conditionalFormatting sqref="D600:D601">
    <cfRule type="colorScale" priority="528">
      <colorScale>
        <cfvo type="min"/>
        <cfvo type="percentile" val="50"/>
        <cfvo type="max"/>
        <color rgb="FFF8696B"/>
        <color rgb="FFFFEB84"/>
        <color rgb="FF63BE7B"/>
      </colorScale>
    </cfRule>
  </conditionalFormatting>
  <conditionalFormatting sqref="D609:D610">
    <cfRule type="colorScale" priority="538">
      <colorScale>
        <cfvo type="min"/>
        <cfvo type="percentile" val="50"/>
        <cfvo type="max"/>
        <color rgb="FFF8696B"/>
        <color rgb="FFFFEB84"/>
        <color rgb="FF63BE7B"/>
      </colorScale>
    </cfRule>
  </conditionalFormatting>
  <conditionalFormatting sqref="D614:D615">
    <cfRule type="colorScale" priority="543">
      <colorScale>
        <cfvo type="min"/>
        <cfvo type="percentile" val="50"/>
        <cfvo type="max"/>
        <color rgb="FFF8696B"/>
        <color rgb="FFFFEB84"/>
        <color rgb="FF63BE7B"/>
      </colorScale>
    </cfRule>
  </conditionalFormatting>
  <conditionalFormatting sqref="D619:D620">
    <cfRule type="colorScale" priority="548">
      <colorScale>
        <cfvo type="min"/>
        <cfvo type="percentile" val="50"/>
        <cfvo type="max"/>
        <color rgb="FFF8696B"/>
        <color rgb="FFFFEB84"/>
        <color rgb="FF63BE7B"/>
      </colorScale>
    </cfRule>
  </conditionalFormatting>
  <conditionalFormatting sqref="D624:D625">
    <cfRule type="colorScale" priority="553">
      <colorScale>
        <cfvo type="min"/>
        <cfvo type="percentile" val="50"/>
        <cfvo type="max"/>
        <color rgb="FFF8696B"/>
        <color rgb="FFFFEB84"/>
        <color rgb="FF63BE7B"/>
      </colorScale>
    </cfRule>
  </conditionalFormatting>
  <conditionalFormatting sqref="D629:D630">
    <cfRule type="colorScale" priority="558">
      <colorScale>
        <cfvo type="min"/>
        <cfvo type="percentile" val="50"/>
        <cfvo type="max"/>
        <color rgb="FFF8696B"/>
        <color rgb="FFFFEB84"/>
        <color rgb="FF63BE7B"/>
      </colorScale>
    </cfRule>
  </conditionalFormatting>
  <conditionalFormatting sqref="D634:D635">
    <cfRule type="colorScale" priority="563">
      <colorScale>
        <cfvo type="min"/>
        <cfvo type="percentile" val="50"/>
        <cfvo type="max"/>
        <color rgb="FFF8696B"/>
        <color rgb="FFFFEB84"/>
        <color rgb="FF63BE7B"/>
      </colorScale>
    </cfRule>
  </conditionalFormatting>
  <conditionalFormatting sqref="D639:D640">
    <cfRule type="colorScale" priority="568">
      <colorScale>
        <cfvo type="min"/>
        <cfvo type="percentile" val="50"/>
        <cfvo type="max"/>
        <color rgb="FFF8696B"/>
        <color rgb="FFFFEB84"/>
        <color rgb="FF63BE7B"/>
      </colorScale>
    </cfRule>
  </conditionalFormatting>
  <conditionalFormatting sqref="D644:D645">
    <cfRule type="colorScale" priority="573">
      <colorScale>
        <cfvo type="min"/>
        <cfvo type="percentile" val="50"/>
        <cfvo type="max"/>
        <color rgb="FFF8696B"/>
        <color rgb="FFFFEB84"/>
        <color rgb="FF63BE7B"/>
      </colorScale>
    </cfRule>
  </conditionalFormatting>
  <conditionalFormatting sqref="D649">
    <cfRule type="colorScale" priority="578">
      <colorScale>
        <cfvo type="min"/>
        <cfvo type="percentile" val="50"/>
        <cfvo type="max"/>
        <color rgb="FFF8696B"/>
        <color rgb="FFFFEB84"/>
        <color rgb="FF63BE7B"/>
      </colorScale>
    </cfRule>
  </conditionalFormatting>
  <conditionalFormatting sqref="D653:D654">
    <cfRule type="colorScale" priority="583">
      <colorScale>
        <cfvo type="min"/>
        <cfvo type="percentile" val="50"/>
        <cfvo type="max"/>
        <color rgb="FFF8696B"/>
        <color rgb="FFFFEB84"/>
        <color rgb="FF63BE7B"/>
      </colorScale>
    </cfRule>
  </conditionalFormatting>
  <conditionalFormatting sqref="D658:D659">
    <cfRule type="colorScale" priority="588">
      <colorScale>
        <cfvo type="min"/>
        <cfvo type="percentile" val="50"/>
        <cfvo type="max"/>
        <color rgb="FFF8696B"/>
        <color rgb="FFFFEB84"/>
        <color rgb="FF63BE7B"/>
      </colorScale>
    </cfRule>
  </conditionalFormatting>
  <conditionalFormatting sqref="D663:D666">
    <cfRule type="colorScale" priority="593">
      <colorScale>
        <cfvo type="min"/>
        <cfvo type="percentile" val="50"/>
        <cfvo type="max"/>
        <color rgb="FFF8696B"/>
        <color rgb="FFFFEB84"/>
        <color rgb="FF63BE7B"/>
      </colorScale>
    </cfRule>
  </conditionalFormatting>
  <conditionalFormatting sqref="D670">
    <cfRule type="colorScale" priority="599">
      <colorScale>
        <cfvo type="min"/>
        <cfvo type="percentile" val="50"/>
        <cfvo type="max"/>
        <color rgb="FFF8696B"/>
        <color rgb="FFFFEB84"/>
        <color rgb="FF63BE7B"/>
      </colorScale>
    </cfRule>
  </conditionalFormatting>
  <conditionalFormatting sqref="D674:D675">
    <cfRule type="colorScale" priority="603">
      <colorScale>
        <cfvo type="min"/>
        <cfvo type="percentile" val="50"/>
        <cfvo type="max"/>
        <color rgb="FFF8696B"/>
        <color rgb="FFFFEB84"/>
        <color rgb="FF63BE7B"/>
      </colorScale>
    </cfRule>
  </conditionalFormatting>
  <conditionalFormatting sqref="D683:D684">
    <cfRule type="colorScale" priority="613">
      <colorScale>
        <cfvo type="min"/>
        <cfvo type="percentile" val="50"/>
        <cfvo type="max"/>
        <color rgb="FFF8696B"/>
        <color rgb="FFFFEB84"/>
        <color rgb="FF63BE7B"/>
      </colorScale>
    </cfRule>
  </conditionalFormatting>
  <conditionalFormatting sqref="D688:D689">
    <cfRule type="colorScale" priority="618">
      <colorScale>
        <cfvo type="min"/>
        <cfvo type="percentile" val="50"/>
        <cfvo type="max"/>
        <color rgb="FFF8696B"/>
        <color rgb="FFFFEB84"/>
        <color rgb="FF63BE7B"/>
      </colorScale>
    </cfRule>
  </conditionalFormatting>
  <conditionalFormatting sqref="D693:D694">
    <cfRule type="colorScale" priority="623">
      <colorScale>
        <cfvo type="min"/>
        <cfvo type="percentile" val="50"/>
        <cfvo type="max"/>
        <color rgb="FFF8696B"/>
        <color rgb="FFFFEB84"/>
        <color rgb="FF63BE7B"/>
      </colorScale>
    </cfRule>
  </conditionalFormatting>
  <conditionalFormatting sqref="D698:D699">
    <cfRule type="colorScale" priority="628">
      <colorScale>
        <cfvo type="min"/>
        <cfvo type="percentile" val="50"/>
        <cfvo type="max"/>
        <color rgb="FFF8696B"/>
        <color rgb="FFFFEB84"/>
        <color rgb="FF63BE7B"/>
      </colorScale>
    </cfRule>
  </conditionalFormatting>
  <conditionalFormatting sqref="D703:D704">
    <cfRule type="colorScale" priority="633">
      <colorScale>
        <cfvo type="min"/>
        <cfvo type="percentile" val="50"/>
        <cfvo type="max"/>
        <color rgb="FFF8696B"/>
        <color rgb="FFFFEB84"/>
        <color rgb="FF63BE7B"/>
      </colorScale>
    </cfRule>
  </conditionalFormatting>
  <conditionalFormatting sqref="D708:D709">
    <cfRule type="colorScale" priority="638">
      <colorScale>
        <cfvo type="min"/>
        <cfvo type="percentile" val="50"/>
        <cfvo type="max"/>
        <color rgb="FFF8696B"/>
        <color rgb="FFFFEB84"/>
        <color rgb="FF63BE7B"/>
      </colorScale>
    </cfRule>
  </conditionalFormatting>
  <conditionalFormatting sqref="D713:D714">
    <cfRule type="colorScale" priority="643">
      <colorScale>
        <cfvo type="min"/>
        <cfvo type="percentile" val="50"/>
        <cfvo type="max"/>
        <color rgb="FFF8696B"/>
        <color rgb="FFFFEB84"/>
        <color rgb="FF63BE7B"/>
      </colorScale>
    </cfRule>
  </conditionalFormatting>
  <conditionalFormatting sqref="D718:D719">
    <cfRule type="colorScale" priority="648">
      <colorScale>
        <cfvo type="min"/>
        <cfvo type="percentile" val="50"/>
        <cfvo type="max"/>
        <color rgb="FFF8696B"/>
        <color rgb="FFFFEB84"/>
        <color rgb="FF63BE7B"/>
      </colorScale>
    </cfRule>
  </conditionalFormatting>
  <conditionalFormatting sqref="D723">
    <cfRule type="colorScale" priority="653">
      <colorScale>
        <cfvo type="min"/>
        <cfvo type="percentile" val="50"/>
        <cfvo type="max"/>
        <color rgb="FFF8696B"/>
        <color rgb="FFFFEB84"/>
        <color rgb="FF63BE7B"/>
      </colorScale>
    </cfRule>
  </conditionalFormatting>
  <conditionalFormatting sqref="D727:D728">
    <cfRule type="colorScale" priority="658">
      <colorScale>
        <cfvo type="min"/>
        <cfvo type="percentile" val="50"/>
        <cfvo type="max"/>
        <color rgb="FFF8696B"/>
        <color rgb="FFFFEB84"/>
        <color rgb="FF63BE7B"/>
      </colorScale>
    </cfRule>
  </conditionalFormatting>
  <conditionalFormatting sqref="D732:D733">
    <cfRule type="colorScale" priority="663">
      <colorScale>
        <cfvo type="min"/>
        <cfvo type="percentile" val="50"/>
        <cfvo type="max"/>
        <color rgb="FFF8696B"/>
        <color rgb="FFFFEB84"/>
        <color rgb="FF63BE7B"/>
      </colorScale>
    </cfRule>
  </conditionalFormatting>
  <conditionalFormatting sqref="D737:D740">
    <cfRule type="colorScale" priority="668">
      <colorScale>
        <cfvo type="min"/>
        <cfvo type="percentile" val="50"/>
        <cfvo type="max"/>
        <color rgb="FFF8696B"/>
        <color rgb="FFFFEB84"/>
        <color rgb="FF63BE7B"/>
      </colorScale>
    </cfRule>
  </conditionalFormatting>
  <conditionalFormatting sqref="D1484">
    <cfRule type="colorScale" priority="974">
      <colorScale>
        <cfvo type="min"/>
        <cfvo type="percentile" val="50"/>
        <cfvo type="max"/>
        <color rgb="FFF8696B"/>
        <color rgb="FFFFEB84"/>
        <color rgb="FF63BE7B"/>
      </colorScale>
    </cfRule>
  </conditionalFormatting>
  <conditionalFormatting sqref="D1488:D1489">
    <cfRule type="colorScale" priority="978">
      <colorScale>
        <cfvo type="min"/>
        <cfvo type="percentile" val="50"/>
        <cfvo type="max"/>
        <color rgb="FFF8696B"/>
        <color rgb="FFFFEB84"/>
        <color rgb="FF63BE7B"/>
      </colorScale>
    </cfRule>
  </conditionalFormatting>
  <conditionalFormatting sqref="D1497:D1498">
    <cfRule type="colorScale" priority="988">
      <colorScale>
        <cfvo type="min"/>
        <cfvo type="percentile" val="50"/>
        <cfvo type="max"/>
        <color rgb="FFF8696B"/>
        <color rgb="FFFFEB84"/>
        <color rgb="FF63BE7B"/>
      </colorScale>
    </cfRule>
  </conditionalFormatting>
  <conditionalFormatting sqref="D1502:D1503">
    <cfRule type="colorScale" priority="993">
      <colorScale>
        <cfvo type="min"/>
        <cfvo type="percentile" val="50"/>
        <cfvo type="max"/>
        <color rgb="FFF8696B"/>
        <color rgb="FFFFEB84"/>
        <color rgb="FF63BE7B"/>
      </colorScale>
    </cfRule>
  </conditionalFormatting>
  <conditionalFormatting sqref="D1507:D1508">
    <cfRule type="colorScale" priority="998">
      <colorScale>
        <cfvo type="min"/>
        <cfvo type="percentile" val="50"/>
        <cfvo type="max"/>
        <color rgb="FFF8696B"/>
        <color rgb="FFFFEB84"/>
        <color rgb="FF63BE7B"/>
      </colorScale>
    </cfRule>
  </conditionalFormatting>
  <conditionalFormatting sqref="D1512:D1513">
    <cfRule type="colorScale" priority="1003">
      <colorScale>
        <cfvo type="min"/>
        <cfvo type="percentile" val="50"/>
        <cfvo type="max"/>
        <color rgb="FFF8696B"/>
        <color rgb="FFFFEB84"/>
        <color rgb="FF63BE7B"/>
      </colorScale>
    </cfRule>
  </conditionalFormatting>
  <conditionalFormatting sqref="D1517:D1518">
    <cfRule type="colorScale" priority="1008">
      <colorScale>
        <cfvo type="min"/>
        <cfvo type="percentile" val="50"/>
        <cfvo type="max"/>
        <color rgb="FFF8696B"/>
        <color rgb="FFFFEB84"/>
        <color rgb="FF63BE7B"/>
      </colorScale>
    </cfRule>
  </conditionalFormatting>
  <conditionalFormatting sqref="D1522:D1523">
    <cfRule type="colorScale" priority="1013">
      <colorScale>
        <cfvo type="min"/>
        <cfvo type="percentile" val="50"/>
        <cfvo type="max"/>
        <color rgb="FFF8696B"/>
        <color rgb="FFFFEB84"/>
        <color rgb="FF63BE7B"/>
      </colorScale>
    </cfRule>
  </conditionalFormatting>
  <conditionalFormatting sqref="D1527:D1528">
    <cfRule type="colorScale" priority="1018">
      <colorScale>
        <cfvo type="min"/>
        <cfvo type="percentile" val="50"/>
        <cfvo type="max"/>
        <color rgb="FFF8696B"/>
        <color rgb="FFFFEB84"/>
        <color rgb="FF63BE7B"/>
      </colorScale>
    </cfRule>
  </conditionalFormatting>
  <conditionalFormatting sqref="D1532:D1533">
    <cfRule type="colorScale" priority="1023">
      <colorScale>
        <cfvo type="min"/>
        <cfvo type="percentile" val="50"/>
        <cfvo type="max"/>
        <color rgb="FFF8696B"/>
        <color rgb="FFFFEB84"/>
        <color rgb="FF63BE7B"/>
      </colorScale>
    </cfRule>
  </conditionalFormatting>
  <conditionalFormatting sqref="D1537">
    <cfRule type="colorScale" priority="1028">
      <colorScale>
        <cfvo type="min"/>
        <cfvo type="percentile" val="50"/>
        <cfvo type="max"/>
        <color rgb="FFF8696B"/>
        <color rgb="FFFFEB84"/>
        <color rgb="FF63BE7B"/>
      </colorScale>
    </cfRule>
  </conditionalFormatting>
  <conditionalFormatting sqref="D1541:D1542">
    <cfRule type="colorScale" priority="1033">
      <colorScale>
        <cfvo type="min"/>
        <cfvo type="percentile" val="50"/>
        <cfvo type="max"/>
        <color rgb="FFF8696B"/>
        <color rgb="FFFFEB84"/>
        <color rgb="FF63BE7B"/>
      </colorScale>
    </cfRule>
  </conditionalFormatting>
  <conditionalFormatting sqref="D1546:D1547">
    <cfRule type="colorScale" priority="1038">
      <colorScale>
        <cfvo type="min"/>
        <cfvo type="percentile" val="50"/>
        <cfvo type="max"/>
        <color rgb="FFF8696B"/>
        <color rgb="FFFFEB84"/>
        <color rgb="FF63BE7B"/>
      </colorScale>
    </cfRule>
  </conditionalFormatting>
  <conditionalFormatting sqref="D1551:D1554">
    <cfRule type="colorScale" priority="1043">
      <colorScale>
        <cfvo type="min"/>
        <cfvo type="percentile" val="50"/>
        <cfvo type="max"/>
        <color rgb="FFF8696B"/>
        <color rgb="FFFFEB84"/>
        <color rgb="FF63BE7B"/>
      </colorScale>
    </cfRule>
  </conditionalFormatting>
  <conditionalFormatting sqref="D1632">
    <cfRule type="colorScale" priority="1079">
      <colorScale>
        <cfvo type="min"/>
        <cfvo type="percentile" val="50"/>
        <cfvo type="max"/>
        <color rgb="FFF8696B"/>
        <color rgb="FFFFEB84"/>
        <color rgb="FF63BE7B"/>
      </colorScale>
    </cfRule>
  </conditionalFormatting>
  <conditionalFormatting sqref="D1636:D1637">
    <cfRule type="colorScale" priority="1083">
      <colorScale>
        <cfvo type="min"/>
        <cfvo type="percentile" val="50"/>
        <cfvo type="max"/>
        <color rgb="FFF8696B"/>
        <color rgb="FFFFEB84"/>
        <color rgb="FF63BE7B"/>
      </colorScale>
    </cfRule>
  </conditionalFormatting>
  <conditionalFormatting sqref="D1645:D1646">
    <cfRule type="colorScale" priority="1093">
      <colorScale>
        <cfvo type="min"/>
        <cfvo type="percentile" val="50"/>
        <cfvo type="max"/>
        <color rgb="FFF8696B"/>
        <color rgb="FFFFEB84"/>
        <color rgb="FF63BE7B"/>
      </colorScale>
    </cfRule>
  </conditionalFormatting>
  <conditionalFormatting sqref="D1650:D1651">
    <cfRule type="colorScale" priority="1098">
      <colorScale>
        <cfvo type="min"/>
        <cfvo type="percentile" val="50"/>
        <cfvo type="max"/>
        <color rgb="FFF8696B"/>
        <color rgb="FFFFEB84"/>
        <color rgb="FF63BE7B"/>
      </colorScale>
    </cfRule>
  </conditionalFormatting>
  <conditionalFormatting sqref="D1655:D1656">
    <cfRule type="colorScale" priority="1103">
      <colorScale>
        <cfvo type="min"/>
        <cfvo type="percentile" val="50"/>
        <cfvo type="max"/>
        <color rgb="FFF8696B"/>
        <color rgb="FFFFEB84"/>
        <color rgb="FF63BE7B"/>
      </colorScale>
    </cfRule>
  </conditionalFormatting>
  <conditionalFormatting sqref="D1660:D1661">
    <cfRule type="colorScale" priority="1108">
      <colorScale>
        <cfvo type="min"/>
        <cfvo type="percentile" val="50"/>
        <cfvo type="max"/>
        <color rgb="FFF8696B"/>
        <color rgb="FFFFEB84"/>
        <color rgb="FF63BE7B"/>
      </colorScale>
    </cfRule>
  </conditionalFormatting>
  <conditionalFormatting sqref="D1665:D1666">
    <cfRule type="colorScale" priority="1113">
      <colorScale>
        <cfvo type="min"/>
        <cfvo type="percentile" val="50"/>
        <cfvo type="max"/>
        <color rgb="FFF8696B"/>
        <color rgb="FFFFEB84"/>
        <color rgb="FF63BE7B"/>
      </colorScale>
    </cfRule>
  </conditionalFormatting>
  <conditionalFormatting sqref="D1670:D1671">
    <cfRule type="colorScale" priority="1118">
      <colorScale>
        <cfvo type="min"/>
        <cfvo type="percentile" val="50"/>
        <cfvo type="max"/>
        <color rgb="FFF8696B"/>
        <color rgb="FFFFEB84"/>
        <color rgb="FF63BE7B"/>
      </colorScale>
    </cfRule>
  </conditionalFormatting>
  <conditionalFormatting sqref="D1675:D1676">
    <cfRule type="colorScale" priority="1123">
      <colorScale>
        <cfvo type="min"/>
        <cfvo type="percentile" val="50"/>
        <cfvo type="max"/>
        <color rgb="FFF8696B"/>
        <color rgb="FFFFEB84"/>
        <color rgb="FF63BE7B"/>
      </colorScale>
    </cfRule>
  </conditionalFormatting>
  <conditionalFormatting sqref="D1680:D1681">
    <cfRule type="colorScale" priority="1128">
      <colorScale>
        <cfvo type="min"/>
        <cfvo type="percentile" val="50"/>
        <cfvo type="max"/>
        <color rgb="FFF8696B"/>
        <color rgb="FFFFEB84"/>
        <color rgb="FF63BE7B"/>
      </colorScale>
    </cfRule>
  </conditionalFormatting>
  <conditionalFormatting sqref="D1685">
    <cfRule type="colorScale" priority="1133">
      <colorScale>
        <cfvo type="min"/>
        <cfvo type="percentile" val="50"/>
        <cfvo type="max"/>
        <color rgb="FFF8696B"/>
        <color rgb="FFFFEB84"/>
        <color rgb="FF63BE7B"/>
      </colorScale>
    </cfRule>
  </conditionalFormatting>
  <conditionalFormatting sqref="D1689:D1690">
    <cfRule type="colorScale" priority="1138">
      <colorScale>
        <cfvo type="min"/>
        <cfvo type="percentile" val="50"/>
        <cfvo type="max"/>
        <color rgb="FFF8696B"/>
        <color rgb="FFFFEB84"/>
        <color rgb="FF63BE7B"/>
      </colorScale>
    </cfRule>
  </conditionalFormatting>
  <conditionalFormatting sqref="D1694:D1695">
    <cfRule type="colorScale" priority="1143">
      <colorScale>
        <cfvo type="min"/>
        <cfvo type="percentile" val="50"/>
        <cfvo type="max"/>
        <color rgb="FFF8696B"/>
        <color rgb="FFFFEB84"/>
        <color rgb="FF63BE7B"/>
      </colorScale>
    </cfRule>
  </conditionalFormatting>
  <conditionalFormatting sqref="D1699:D1702">
    <cfRule type="colorScale" priority="1148">
      <colorScale>
        <cfvo type="min"/>
        <cfvo type="percentile" val="50"/>
        <cfvo type="max"/>
        <color rgb="FFF8696B"/>
        <color rgb="FFFFEB84"/>
        <color rgb="FF63BE7B"/>
      </colorScale>
    </cfRule>
  </conditionalFormatting>
  <conditionalFormatting sqref="D1792">
    <cfRule type="colorScale" priority="1190">
      <colorScale>
        <cfvo type="min"/>
        <cfvo type="percentile" val="50"/>
        <cfvo type="max"/>
        <color rgb="FFF8696B"/>
        <color rgb="FFFFEB84"/>
        <color rgb="FF63BE7B"/>
      </colorScale>
    </cfRule>
  </conditionalFormatting>
  <conditionalFormatting sqref="D1796:D1797">
    <cfRule type="colorScale" priority="1194">
      <colorScale>
        <cfvo type="min"/>
        <cfvo type="percentile" val="50"/>
        <cfvo type="max"/>
        <color rgb="FFF8696B"/>
        <color rgb="FFFFEB84"/>
        <color rgb="FF63BE7B"/>
      </colorScale>
    </cfRule>
  </conditionalFormatting>
  <conditionalFormatting sqref="D1805:D1806">
    <cfRule type="colorScale" priority="1204">
      <colorScale>
        <cfvo type="min"/>
        <cfvo type="percentile" val="50"/>
        <cfvo type="max"/>
        <color rgb="FFF8696B"/>
        <color rgb="FFFFEB84"/>
        <color rgb="FF63BE7B"/>
      </colorScale>
    </cfRule>
  </conditionalFormatting>
  <conditionalFormatting sqref="D1810:D1811">
    <cfRule type="colorScale" priority="1209">
      <colorScale>
        <cfvo type="min"/>
        <cfvo type="percentile" val="50"/>
        <cfvo type="max"/>
        <color rgb="FFF8696B"/>
        <color rgb="FFFFEB84"/>
        <color rgb="FF63BE7B"/>
      </colorScale>
    </cfRule>
  </conditionalFormatting>
  <conditionalFormatting sqref="D1815:D1816">
    <cfRule type="colorScale" priority="1214">
      <colorScale>
        <cfvo type="min"/>
        <cfvo type="percentile" val="50"/>
        <cfvo type="max"/>
        <color rgb="FFF8696B"/>
        <color rgb="FFFFEB84"/>
        <color rgb="FF63BE7B"/>
      </colorScale>
    </cfRule>
  </conditionalFormatting>
  <conditionalFormatting sqref="D1820:D1821">
    <cfRule type="colorScale" priority="1219">
      <colorScale>
        <cfvo type="min"/>
        <cfvo type="percentile" val="50"/>
        <cfvo type="max"/>
        <color rgb="FFF8696B"/>
        <color rgb="FFFFEB84"/>
        <color rgb="FF63BE7B"/>
      </colorScale>
    </cfRule>
  </conditionalFormatting>
  <conditionalFormatting sqref="D1825:D1826">
    <cfRule type="colorScale" priority="1224">
      <colorScale>
        <cfvo type="min"/>
        <cfvo type="percentile" val="50"/>
        <cfvo type="max"/>
        <color rgb="FFF8696B"/>
        <color rgb="FFFFEB84"/>
        <color rgb="FF63BE7B"/>
      </colorScale>
    </cfRule>
  </conditionalFormatting>
  <conditionalFormatting sqref="D1830:D1831">
    <cfRule type="colorScale" priority="1229">
      <colorScale>
        <cfvo type="min"/>
        <cfvo type="percentile" val="50"/>
        <cfvo type="max"/>
        <color rgb="FFF8696B"/>
        <color rgb="FFFFEB84"/>
        <color rgb="FF63BE7B"/>
      </colorScale>
    </cfRule>
  </conditionalFormatting>
  <conditionalFormatting sqref="D1835:D1836">
    <cfRule type="colorScale" priority="1234">
      <colorScale>
        <cfvo type="min"/>
        <cfvo type="percentile" val="50"/>
        <cfvo type="max"/>
        <color rgb="FFF8696B"/>
        <color rgb="FFFFEB84"/>
        <color rgb="FF63BE7B"/>
      </colorScale>
    </cfRule>
  </conditionalFormatting>
  <conditionalFormatting sqref="D1840:D1841">
    <cfRule type="colorScale" priority="1239">
      <colorScale>
        <cfvo type="min"/>
        <cfvo type="percentile" val="50"/>
        <cfvo type="max"/>
        <color rgb="FFF8696B"/>
        <color rgb="FFFFEB84"/>
        <color rgb="FF63BE7B"/>
      </colorScale>
    </cfRule>
  </conditionalFormatting>
  <conditionalFormatting sqref="D1845">
    <cfRule type="colorScale" priority="1244">
      <colorScale>
        <cfvo type="min"/>
        <cfvo type="percentile" val="50"/>
        <cfvo type="max"/>
        <color rgb="FFF8696B"/>
        <color rgb="FFFFEB84"/>
        <color rgb="FF63BE7B"/>
      </colorScale>
    </cfRule>
  </conditionalFormatting>
  <conditionalFormatting sqref="D1849:D1850">
    <cfRule type="colorScale" priority="1249">
      <colorScale>
        <cfvo type="min"/>
        <cfvo type="percentile" val="50"/>
        <cfvo type="max"/>
        <color rgb="FFF8696B"/>
        <color rgb="FFFFEB84"/>
        <color rgb="FF63BE7B"/>
      </colorScale>
    </cfRule>
  </conditionalFormatting>
  <conditionalFormatting sqref="D1854:D1855">
    <cfRule type="colorScale" priority="1254">
      <colorScale>
        <cfvo type="min"/>
        <cfvo type="percentile" val="50"/>
        <cfvo type="max"/>
        <color rgb="FFF8696B"/>
        <color rgb="FFFFEB84"/>
        <color rgb="FF63BE7B"/>
      </colorScale>
    </cfRule>
  </conditionalFormatting>
  <conditionalFormatting sqref="D1859:D1862">
    <cfRule type="colorScale" priority="1259">
      <colorScale>
        <cfvo type="min"/>
        <cfvo type="percentile" val="50"/>
        <cfvo type="max"/>
        <color rgb="FFF8696B"/>
        <color rgb="FFFFEB84"/>
        <color rgb="FF63BE7B"/>
      </colorScale>
    </cfRule>
  </conditionalFormatting>
  <conditionalFormatting sqref="D1866">
    <cfRule type="colorScale" priority="1265">
      <colorScale>
        <cfvo type="min"/>
        <cfvo type="percentile" val="50"/>
        <cfvo type="max"/>
        <color rgb="FFF8696B"/>
        <color rgb="FFFFEB84"/>
        <color rgb="FF63BE7B"/>
      </colorScale>
    </cfRule>
  </conditionalFormatting>
  <conditionalFormatting sqref="D1870:D1871">
    <cfRule type="colorScale" priority="1269">
      <colorScale>
        <cfvo type="min"/>
        <cfvo type="percentile" val="50"/>
        <cfvo type="max"/>
        <color rgb="FFF8696B"/>
        <color rgb="FFFFEB84"/>
        <color rgb="FF63BE7B"/>
      </colorScale>
    </cfRule>
  </conditionalFormatting>
  <conditionalFormatting sqref="D1879:D1880">
    <cfRule type="colorScale" priority="1279">
      <colorScale>
        <cfvo type="min"/>
        <cfvo type="percentile" val="50"/>
        <cfvo type="max"/>
        <color rgb="FFF8696B"/>
        <color rgb="FFFFEB84"/>
        <color rgb="FF63BE7B"/>
      </colorScale>
    </cfRule>
  </conditionalFormatting>
  <conditionalFormatting sqref="D1884:D1885">
    <cfRule type="colorScale" priority="1284">
      <colorScale>
        <cfvo type="min"/>
        <cfvo type="percentile" val="50"/>
        <cfvo type="max"/>
        <color rgb="FFF8696B"/>
        <color rgb="FFFFEB84"/>
        <color rgb="FF63BE7B"/>
      </colorScale>
    </cfRule>
  </conditionalFormatting>
  <conditionalFormatting sqref="D1889:D1890">
    <cfRule type="colorScale" priority="1289">
      <colorScale>
        <cfvo type="min"/>
        <cfvo type="percentile" val="50"/>
        <cfvo type="max"/>
        <color rgb="FFF8696B"/>
        <color rgb="FFFFEB84"/>
        <color rgb="FF63BE7B"/>
      </colorScale>
    </cfRule>
  </conditionalFormatting>
  <conditionalFormatting sqref="D1894:D1895">
    <cfRule type="colorScale" priority="1294">
      <colorScale>
        <cfvo type="min"/>
        <cfvo type="percentile" val="50"/>
        <cfvo type="max"/>
        <color rgb="FFF8696B"/>
        <color rgb="FFFFEB84"/>
        <color rgb="FF63BE7B"/>
      </colorScale>
    </cfRule>
  </conditionalFormatting>
  <conditionalFormatting sqref="D1899:D1900">
    <cfRule type="colorScale" priority="1299">
      <colorScale>
        <cfvo type="min"/>
        <cfvo type="percentile" val="50"/>
        <cfvo type="max"/>
        <color rgb="FFF8696B"/>
        <color rgb="FFFFEB84"/>
        <color rgb="FF63BE7B"/>
      </colorScale>
    </cfRule>
  </conditionalFormatting>
  <conditionalFormatting sqref="D1904:D1905">
    <cfRule type="colorScale" priority="1304">
      <colorScale>
        <cfvo type="min"/>
        <cfvo type="percentile" val="50"/>
        <cfvo type="max"/>
        <color rgb="FFF8696B"/>
        <color rgb="FFFFEB84"/>
        <color rgb="FF63BE7B"/>
      </colorScale>
    </cfRule>
  </conditionalFormatting>
  <conditionalFormatting sqref="D1909:D1910">
    <cfRule type="colorScale" priority="1309">
      <colorScale>
        <cfvo type="min"/>
        <cfvo type="percentile" val="50"/>
        <cfvo type="max"/>
        <color rgb="FFF8696B"/>
        <color rgb="FFFFEB84"/>
        <color rgb="FF63BE7B"/>
      </colorScale>
    </cfRule>
  </conditionalFormatting>
  <conditionalFormatting sqref="D1914:D1915">
    <cfRule type="colorScale" priority="1314">
      <colorScale>
        <cfvo type="min"/>
        <cfvo type="percentile" val="50"/>
        <cfvo type="max"/>
        <color rgb="FFF8696B"/>
        <color rgb="FFFFEB84"/>
        <color rgb="FF63BE7B"/>
      </colorScale>
    </cfRule>
  </conditionalFormatting>
  <conditionalFormatting sqref="D1919">
    <cfRule type="colorScale" priority="1319">
      <colorScale>
        <cfvo type="min"/>
        <cfvo type="percentile" val="50"/>
        <cfvo type="max"/>
        <color rgb="FFF8696B"/>
        <color rgb="FFFFEB84"/>
        <color rgb="FF63BE7B"/>
      </colorScale>
    </cfRule>
  </conditionalFormatting>
  <conditionalFormatting sqref="D1923:D1924">
    <cfRule type="colorScale" priority="1324">
      <colorScale>
        <cfvo type="min"/>
        <cfvo type="percentile" val="50"/>
        <cfvo type="max"/>
        <color rgb="FFF8696B"/>
        <color rgb="FFFFEB84"/>
        <color rgb="FF63BE7B"/>
      </colorScale>
    </cfRule>
  </conditionalFormatting>
  <conditionalFormatting sqref="D1928:D1929">
    <cfRule type="colorScale" priority="1329">
      <colorScale>
        <cfvo type="min"/>
        <cfvo type="percentile" val="50"/>
        <cfvo type="max"/>
        <color rgb="FFF8696B"/>
        <color rgb="FFFFEB84"/>
        <color rgb="FF63BE7B"/>
      </colorScale>
    </cfRule>
  </conditionalFormatting>
  <conditionalFormatting sqref="D1933:D1936">
    <cfRule type="colorScale" priority="1334">
      <colorScale>
        <cfvo type="min"/>
        <cfvo type="percentile" val="50"/>
        <cfvo type="max"/>
        <color rgb="FFF8696B"/>
        <color rgb="FFFFEB84"/>
        <color rgb="FF63BE7B"/>
      </colorScale>
    </cfRule>
  </conditionalFormatting>
  <conditionalFormatting sqref="D2014">
    <cfRule type="colorScale" priority="1370">
      <colorScale>
        <cfvo type="min"/>
        <cfvo type="percentile" val="50"/>
        <cfvo type="max"/>
        <color rgb="FFF8696B"/>
        <color rgb="FFFFEB84"/>
        <color rgb="FF63BE7B"/>
      </colorScale>
    </cfRule>
  </conditionalFormatting>
  <conditionalFormatting sqref="D2018:D2019">
    <cfRule type="colorScale" priority="1374">
      <colorScale>
        <cfvo type="min"/>
        <cfvo type="percentile" val="50"/>
        <cfvo type="max"/>
        <color rgb="FFF8696B"/>
        <color rgb="FFFFEB84"/>
        <color rgb="FF63BE7B"/>
      </colorScale>
    </cfRule>
  </conditionalFormatting>
  <conditionalFormatting sqref="D2027:D2028">
    <cfRule type="colorScale" priority="1384">
      <colorScale>
        <cfvo type="min"/>
        <cfvo type="percentile" val="50"/>
        <cfvo type="max"/>
        <color rgb="FFF8696B"/>
        <color rgb="FFFFEB84"/>
        <color rgb="FF63BE7B"/>
      </colorScale>
    </cfRule>
  </conditionalFormatting>
  <conditionalFormatting sqref="D2032:D2033">
    <cfRule type="colorScale" priority="1389">
      <colorScale>
        <cfvo type="min"/>
        <cfvo type="percentile" val="50"/>
        <cfvo type="max"/>
        <color rgb="FFF8696B"/>
        <color rgb="FFFFEB84"/>
        <color rgb="FF63BE7B"/>
      </colorScale>
    </cfRule>
  </conditionalFormatting>
  <conditionalFormatting sqref="D2037:D2038">
    <cfRule type="colorScale" priority="1394">
      <colorScale>
        <cfvo type="min"/>
        <cfvo type="percentile" val="50"/>
        <cfvo type="max"/>
        <color rgb="FFF8696B"/>
        <color rgb="FFFFEB84"/>
        <color rgb="FF63BE7B"/>
      </colorScale>
    </cfRule>
  </conditionalFormatting>
  <conditionalFormatting sqref="D2042:D2043">
    <cfRule type="colorScale" priority="1399">
      <colorScale>
        <cfvo type="min"/>
        <cfvo type="percentile" val="50"/>
        <cfvo type="max"/>
        <color rgb="FFF8696B"/>
        <color rgb="FFFFEB84"/>
        <color rgb="FF63BE7B"/>
      </colorScale>
    </cfRule>
  </conditionalFormatting>
  <conditionalFormatting sqref="D2047:D2048">
    <cfRule type="colorScale" priority="1404">
      <colorScale>
        <cfvo type="min"/>
        <cfvo type="percentile" val="50"/>
        <cfvo type="max"/>
        <color rgb="FFF8696B"/>
        <color rgb="FFFFEB84"/>
        <color rgb="FF63BE7B"/>
      </colorScale>
    </cfRule>
  </conditionalFormatting>
  <conditionalFormatting sqref="D2052:D2053">
    <cfRule type="colorScale" priority="1409">
      <colorScale>
        <cfvo type="min"/>
        <cfvo type="percentile" val="50"/>
        <cfvo type="max"/>
        <color rgb="FFF8696B"/>
        <color rgb="FFFFEB84"/>
        <color rgb="FF63BE7B"/>
      </colorScale>
    </cfRule>
  </conditionalFormatting>
  <conditionalFormatting sqref="D2057:D2058">
    <cfRule type="colorScale" priority="1414">
      <colorScale>
        <cfvo type="min"/>
        <cfvo type="percentile" val="50"/>
        <cfvo type="max"/>
        <color rgb="FFF8696B"/>
        <color rgb="FFFFEB84"/>
        <color rgb="FF63BE7B"/>
      </colorScale>
    </cfRule>
  </conditionalFormatting>
  <conditionalFormatting sqref="D2062:D2063">
    <cfRule type="colorScale" priority="1419">
      <colorScale>
        <cfvo type="min"/>
        <cfvo type="percentile" val="50"/>
        <cfvo type="max"/>
        <color rgb="FFF8696B"/>
        <color rgb="FFFFEB84"/>
        <color rgb="FF63BE7B"/>
      </colorScale>
    </cfRule>
  </conditionalFormatting>
  <conditionalFormatting sqref="D2067">
    <cfRule type="colorScale" priority="1424">
      <colorScale>
        <cfvo type="min"/>
        <cfvo type="percentile" val="50"/>
        <cfvo type="max"/>
        <color rgb="FFF8696B"/>
        <color rgb="FFFFEB84"/>
        <color rgb="FF63BE7B"/>
      </colorScale>
    </cfRule>
  </conditionalFormatting>
  <conditionalFormatting sqref="D2071:D2072">
    <cfRule type="colorScale" priority="1429">
      <colorScale>
        <cfvo type="min"/>
        <cfvo type="percentile" val="50"/>
        <cfvo type="max"/>
        <color rgb="FFF8696B"/>
        <color rgb="FFFFEB84"/>
        <color rgb="FF63BE7B"/>
      </colorScale>
    </cfRule>
  </conditionalFormatting>
  <conditionalFormatting sqref="D2076:D2077">
    <cfRule type="colorScale" priority="1434">
      <colorScale>
        <cfvo type="min"/>
        <cfvo type="percentile" val="50"/>
        <cfvo type="max"/>
        <color rgb="FFF8696B"/>
        <color rgb="FFFFEB84"/>
        <color rgb="FF63BE7B"/>
      </colorScale>
    </cfRule>
  </conditionalFormatting>
  <conditionalFormatting sqref="D2081:D2084">
    <cfRule type="colorScale" priority="1439">
      <colorScale>
        <cfvo type="min"/>
        <cfvo type="percentile" val="50"/>
        <cfvo type="max"/>
        <color rgb="FFF8696B"/>
        <color rgb="FFFFEB84"/>
        <color rgb="FF63BE7B"/>
      </colorScale>
    </cfRule>
  </conditionalFormatting>
  <conditionalFormatting sqref="D2656">
    <cfRule type="notContainsBlanks" dxfId="898" priority="1684">
      <formula>LEN(TRIM(D2656))&gt;0</formula>
    </cfRule>
    <cfRule type="colorScale" priority="1683">
      <colorScale>
        <cfvo type="min"/>
        <cfvo type="percentile" val="50"/>
        <cfvo type="max"/>
        <color rgb="FFF8696B"/>
        <color rgb="FFFFEB84"/>
        <color rgb="FF63BE7B"/>
      </colorScale>
    </cfRule>
  </conditionalFormatting>
  <conditionalFormatting sqref="D2790">
    <cfRule type="colorScale" priority="1743">
      <colorScale>
        <cfvo type="min"/>
        <cfvo type="percentile" val="50"/>
        <cfvo type="max"/>
        <color rgb="FFF8696B"/>
        <color rgb="FFFFEB84"/>
        <color rgb="FF63BE7B"/>
      </colorScale>
    </cfRule>
    <cfRule type="notContainsBlanks" dxfId="897" priority="1744">
      <formula>LEN(TRIM(D2790))&gt;0</formula>
    </cfRule>
  </conditionalFormatting>
  <conditionalFormatting sqref="D4175">
    <cfRule type="colorScale" priority="2343">
      <colorScale>
        <cfvo type="min"/>
        <cfvo type="percentile" val="50"/>
        <cfvo type="max"/>
        <color rgb="FFF8696B"/>
        <color rgb="FFFFEB84"/>
        <color rgb="FF63BE7B"/>
      </colorScale>
    </cfRule>
    <cfRule type="notContainsBlanks" dxfId="896" priority="2344">
      <formula>LEN(TRIM(D4175))&gt;0</formula>
    </cfRule>
  </conditionalFormatting>
  <conditionalFormatting sqref="D4868">
    <cfRule type="colorScale" priority="2645">
      <colorScale>
        <cfvo type="min"/>
        <cfvo type="percentile" val="50"/>
        <cfvo type="max"/>
        <color rgb="FFF8696B"/>
        <color rgb="FFFFEB84"/>
        <color rgb="FF63BE7B"/>
      </colorScale>
    </cfRule>
  </conditionalFormatting>
  <conditionalFormatting sqref="D4872:D4873">
    <cfRule type="colorScale" priority="2649">
      <colorScale>
        <cfvo type="min"/>
        <cfvo type="percentile" val="50"/>
        <cfvo type="max"/>
        <color rgb="FFF8696B"/>
        <color rgb="FFFFEB84"/>
        <color rgb="FF63BE7B"/>
      </colorScale>
    </cfRule>
  </conditionalFormatting>
  <conditionalFormatting sqref="D4881">
    <cfRule type="colorScale" priority="2659">
      <colorScale>
        <cfvo type="min"/>
        <cfvo type="percentile" val="50"/>
        <cfvo type="max"/>
        <color rgb="FFF8696B"/>
        <color rgb="FFFFEB84"/>
        <color rgb="FF63BE7B"/>
      </colorScale>
    </cfRule>
  </conditionalFormatting>
  <conditionalFormatting sqref="D4885">
    <cfRule type="colorScale" priority="2664">
      <colorScale>
        <cfvo type="min"/>
        <cfvo type="percentile" val="50"/>
        <cfvo type="max"/>
        <color rgb="FFF8696B"/>
        <color rgb="FFFFEB84"/>
        <color rgb="FF63BE7B"/>
      </colorScale>
    </cfRule>
  </conditionalFormatting>
  <conditionalFormatting sqref="D4889:D4890">
    <cfRule type="colorScale" priority="2669">
      <colorScale>
        <cfvo type="min"/>
        <cfvo type="percentile" val="50"/>
        <cfvo type="max"/>
        <color rgb="FFF8696B"/>
        <color rgb="FFFFEB84"/>
        <color rgb="FF63BE7B"/>
      </colorScale>
    </cfRule>
  </conditionalFormatting>
  <conditionalFormatting sqref="D4894:D4895">
    <cfRule type="colorScale" priority="2674">
      <colorScale>
        <cfvo type="min"/>
        <cfvo type="percentile" val="50"/>
        <cfvo type="max"/>
        <color rgb="FFF8696B"/>
        <color rgb="FFFFEB84"/>
        <color rgb="FF63BE7B"/>
      </colorScale>
    </cfRule>
  </conditionalFormatting>
  <conditionalFormatting sqref="D4899:D4900">
    <cfRule type="colorScale" priority="2679">
      <colorScale>
        <cfvo type="min"/>
        <cfvo type="percentile" val="50"/>
        <cfvo type="max"/>
        <color rgb="FFF8696B"/>
        <color rgb="FFFFEB84"/>
        <color rgb="FF63BE7B"/>
      </colorScale>
    </cfRule>
  </conditionalFormatting>
  <conditionalFormatting sqref="D4904:D4905">
    <cfRule type="colorScale" priority="2684">
      <colorScale>
        <cfvo type="min"/>
        <cfvo type="percentile" val="50"/>
        <cfvo type="max"/>
        <color rgb="FFF8696B"/>
        <color rgb="FFFFEB84"/>
        <color rgb="FF63BE7B"/>
      </colorScale>
    </cfRule>
  </conditionalFormatting>
  <conditionalFormatting sqref="D4909:D4910">
    <cfRule type="colorScale" priority="2689">
      <colorScale>
        <cfvo type="min"/>
        <cfvo type="percentile" val="50"/>
        <cfvo type="max"/>
        <color rgb="FFF8696B"/>
        <color rgb="FFFFEB84"/>
        <color rgb="FF63BE7B"/>
      </colorScale>
    </cfRule>
  </conditionalFormatting>
  <conditionalFormatting sqref="D4914:D4915">
    <cfRule type="colorScale" priority="2694">
      <colorScale>
        <cfvo type="min"/>
        <cfvo type="percentile" val="50"/>
        <cfvo type="max"/>
        <color rgb="FFF8696B"/>
        <color rgb="FFFFEB84"/>
        <color rgb="FF63BE7B"/>
      </colorScale>
    </cfRule>
  </conditionalFormatting>
  <conditionalFormatting sqref="D4919">
    <cfRule type="colorScale" priority="2699">
      <colorScale>
        <cfvo type="min"/>
        <cfvo type="percentile" val="50"/>
        <cfvo type="max"/>
        <color rgb="FFF8696B"/>
        <color rgb="FFFFEB84"/>
        <color rgb="FF63BE7B"/>
      </colorScale>
    </cfRule>
  </conditionalFormatting>
  <conditionalFormatting sqref="D4923:D4924">
    <cfRule type="colorScale" priority="2704">
      <colorScale>
        <cfvo type="min"/>
        <cfvo type="percentile" val="50"/>
        <cfvo type="max"/>
        <color rgb="FFF8696B"/>
        <color rgb="FFFFEB84"/>
        <color rgb="FF63BE7B"/>
      </colorScale>
    </cfRule>
  </conditionalFormatting>
  <conditionalFormatting sqref="D4928:D4929">
    <cfRule type="colorScale" priority="2709">
      <colorScale>
        <cfvo type="min"/>
        <cfvo type="percentile" val="50"/>
        <cfvo type="max"/>
        <color rgb="FFF8696B"/>
        <color rgb="FFFFEB84"/>
        <color rgb="FF63BE7B"/>
      </colorScale>
    </cfRule>
  </conditionalFormatting>
  <conditionalFormatting sqref="D4933:D4936">
    <cfRule type="colorScale" priority="2714">
      <colorScale>
        <cfvo type="min"/>
        <cfvo type="percentile" val="50"/>
        <cfvo type="max"/>
        <color rgb="FFF8696B"/>
        <color rgb="FFFFEB84"/>
        <color rgb="FF63BE7B"/>
      </colorScale>
    </cfRule>
  </conditionalFormatting>
  <conditionalFormatting sqref="D4940">
    <cfRule type="colorScale" priority="2720">
      <colorScale>
        <cfvo type="min"/>
        <cfvo type="percentile" val="50"/>
        <cfvo type="max"/>
        <color rgb="FFF8696B"/>
        <color rgb="FFFFEB84"/>
        <color rgb="FF63BE7B"/>
      </colorScale>
    </cfRule>
  </conditionalFormatting>
  <conditionalFormatting sqref="D4944:D4945">
    <cfRule type="colorScale" priority="2724">
      <colorScale>
        <cfvo type="min"/>
        <cfvo type="percentile" val="50"/>
        <cfvo type="max"/>
        <color rgb="FFF8696B"/>
        <color rgb="FFFFEB84"/>
        <color rgb="FF63BE7B"/>
      </colorScale>
    </cfRule>
  </conditionalFormatting>
  <conditionalFormatting sqref="D4953:D4954">
    <cfRule type="colorScale" priority="2734">
      <colorScale>
        <cfvo type="min"/>
        <cfvo type="percentile" val="50"/>
        <cfvo type="max"/>
        <color rgb="FFF8696B"/>
        <color rgb="FFFFEB84"/>
        <color rgb="FF63BE7B"/>
      </colorScale>
    </cfRule>
  </conditionalFormatting>
  <conditionalFormatting sqref="D4958">
    <cfRule type="colorScale" priority="2739">
      <colorScale>
        <cfvo type="min"/>
        <cfvo type="percentile" val="50"/>
        <cfvo type="max"/>
        <color rgb="FFF8696B"/>
        <color rgb="FFFFEB84"/>
        <color rgb="FF63BE7B"/>
      </colorScale>
    </cfRule>
  </conditionalFormatting>
  <conditionalFormatting sqref="D4962:D4963">
    <cfRule type="colorScale" priority="2744">
      <colorScale>
        <cfvo type="min"/>
        <cfvo type="percentile" val="50"/>
        <cfvo type="max"/>
        <color rgb="FFF8696B"/>
        <color rgb="FFFFEB84"/>
        <color rgb="FF63BE7B"/>
      </colorScale>
    </cfRule>
  </conditionalFormatting>
  <conditionalFormatting sqref="D4967:D4968">
    <cfRule type="colorScale" priority="2749">
      <colorScale>
        <cfvo type="min"/>
        <cfvo type="percentile" val="50"/>
        <cfvo type="max"/>
        <color rgb="FFF8696B"/>
        <color rgb="FFFFEB84"/>
        <color rgb="FF63BE7B"/>
      </colorScale>
    </cfRule>
  </conditionalFormatting>
  <conditionalFormatting sqref="D4972:D4973">
    <cfRule type="colorScale" priority="2754">
      <colorScale>
        <cfvo type="min"/>
        <cfvo type="percentile" val="50"/>
        <cfvo type="max"/>
        <color rgb="FFF8696B"/>
        <color rgb="FFFFEB84"/>
        <color rgb="FF63BE7B"/>
      </colorScale>
    </cfRule>
  </conditionalFormatting>
  <conditionalFormatting sqref="D4977:D4978">
    <cfRule type="colorScale" priority="2759">
      <colorScale>
        <cfvo type="min"/>
        <cfvo type="percentile" val="50"/>
        <cfvo type="max"/>
        <color rgb="FFF8696B"/>
        <color rgb="FFFFEB84"/>
        <color rgb="FF63BE7B"/>
      </colorScale>
    </cfRule>
  </conditionalFormatting>
  <conditionalFormatting sqref="D4982:D4983">
    <cfRule type="colorScale" priority="2764">
      <colorScale>
        <cfvo type="min"/>
        <cfvo type="percentile" val="50"/>
        <cfvo type="max"/>
        <color rgb="FFF8696B"/>
        <color rgb="FFFFEB84"/>
        <color rgb="FF63BE7B"/>
      </colorScale>
    </cfRule>
  </conditionalFormatting>
  <conditionalFormatting sqref="D4987:D4988">
    <cfRule type="colorScale" priority="2769">
      <colorScale>
        <cfvo type="min"/>
        <cfvo type="percentile" val="50"/>
        <cfvo type="max"/>
        <color rgb="FFF8696B"/>
        <color rgb="FFFFEB84"/>
        <color rgb="FF63BE7B"/>
      </colorScale>
    </cfRule>
  </conditionalFormatting>
  <conditionalFormatting sqref="D4992">
    <cfRule type="colorScale" priority="2774">
      <colorScale>
        <cfvo type="min"/>
        <cfvo type="percentile" val="50"/>
        <cfvo type="max"/>
        <color rgb="FFF8696B"/>
        <color rgb="FFFFEB84"/>
        <color rgb="FF63BE7B"/>
      </colorScale>
    </cfRule>
  </conditionalFormatting>
  <conditionalFormatting sqref="D4996:D4997">
    <cfRule type="colorScale" priority="2779">
      <colorScale>
        <cfvo type="min"/>
        <cfvo type="percentile" val="50"/>
        <cfvo type="max"/>
        <color rgb="FFF8696B"/>
        <color rgb="FFFFEB84"/>
        <color rgb="FF63BE7B"/>
      </colorScale>
    </cfRule>
  </conditionalFormatting>
  <conditionalFormatting sqref="D5001:D5002">
    <cfRule type="colorScale" priority="2784">
      <colorScale>
        <cfvo type="min"/>
        <cfvo type="percentile" val="50"/>
        <cfvo type="max"/>
        <color rgb="FFF8696B"/>
        <color rgb="FFFFEB84"/>
        <color rgb="FF63BE7B"/>
      </colorScale>
    </cfRule>
  </conditionalFormatting>
  <conditionalFormatting sqref="D5006:D5009">
    <cfRule type="colorScale" priority="2789">
      <colorScale>
        <cfvo type="min"/>
        <cfvo type="percentile" val="50"/>
        <cfvo type="max"/>
        <color rgb="FFF8696B"/>
        <color rgb="FFFFEB84"/>
        <color rgb="FF63BE7B"/>
      </colorScale>
    </cfRule>
  </conditionalFormatting>
  <conditionalFormatting sqref="D5013">
    <cfRule type="colorScale" priority="2795">
      <colorScale>
        <cfvo type="min"/>
        <cfvo type="percentile" val="50"/>
        <cfvo type="max"/>
        <color rgb="FFF8696B"/>
        <color rgb="FFFFEB84"/>
        <color rgb="FF63BE7B"/>
      </colorScale>
    </cfRule>
  </conditionalFormatting>
  <conditionalFormatting sqref="D5017">
    <cfRule type="colorScale" priority="2799">
      <colorScale>
        <cfvo type="min"/>
        <cfvo type="percentile" val="50"/>
        <cfvo type="max"/>
        <color rgb="FFF8696B"/>
        <color rgb="FFFFEB84"/>
        <color rgb="FF63BE7B"/>
      </colorScale>
    </cfRule>
  </conditionalFormatting>
  <conditionalFormatting sqref="D5025">
    <cfRule type="colorScale" priority="2809">
      <colorScale>
        <cfvo type="min"/>
        <cfvo type="percentile" val="50"/>
        <cfvo type="max"/>
        <color rgb="FFF8696B"/>
        <color rgb="FFFFEB84"/>
        <color rgb="FF63BE7B"/>
      </colorScale>
    </cfRule>
  </conditionalFormatting>
  <conditionalFormatting sqref="D5029">
    <cfRule type="colorScale" priority="2814">
      <colorScale>
        <cfvo type="min"/>
        <cfvo type="percentile" val="50"/>
        <cfvo type="max"/>
        <color rgb="FFF8696B"/>
        <color rgb="FFFFEB84"/>
        <color rgb="FF63BE7B"/>
      </colorScale>
    </cfRule>
  </conditionalFormatting>
  <conditionalFormatting sqref="D5033:D5034">
    <cfRule type="colorScale" priority="2819">
      <colorScale>
        <cfvo type="min"/>
        <cfvo type="percentile" val="50"/>
        <cfvo type="max"/>
        <color rgb="FFF8696B"/>
        <color rgb="FFFFEB84"/>
        <color rgb="FF63BE7B"/>
      </colorScale>
    </cfRule>
  </conditionalFormatting>
  <conditionalFormatting sqref="D5038:D5039">
    <cfRule type="colorScale" priority="2824">
      <colorScale>
        <cfvo type="min"/>
        <cfvo type="percentile" val="50"/>
        <cfvo type="max"/>
        <color rgb="FFF8696B"/>
        <color rgb="FFFFEB84"/>
        <color rgb="FF63BE7B"/>
      </colorScale>
    </cfRule>
  </conditionalFormatting>
  <conditionalFormatting sqref="D5043:D5044">
    <cfRule type="colorScale" priority="2829">
      <colorScale>
        <cfvo type="min"/>
        <cfvo type="percentile" val="50"/>
        <cfvo type="max"/>
        <color rgb="FFF8696B"/>
        <color rgb="FFFFEB84"/>
        <color rgb="FF63BE7B"/>
      </colorScale>
    </cfRule>
  </conditionalFormatting>
  <conditionalFormatting sqref="D5048:D5049">
    <cfRule type="colorScale" priority="2834">
      <colorScale>
        <cfvo type="min"/>
        <cfvo type="percentile" val="50"/>
        <cfvo type="max"/>
        <color rgb="FFF8696B"/>
        <color rgb="FFFFEB84"/>
        <color rgb="FF63BE7B"/>
      </colorScale>
    </cfRule>
  </conditionalFormatting>
  <conditionalFormatting sqref="D5053:D5054">
    <cfRule type="colorScale" priority="2839">
      <colorScale>
        <cfvo type="min"/>
        <cfvo type="percentile" val="50"/>
        <cfvo type="max"/>
        <color rgb="FFF8696B"/>
        <color rgb="FFFFEB84"/>
        <color rgb="FF63BE7B"/>
      </colorScale>
    </cfRule>
  </conditionalFormatting>
  <conditionalFormatting sqref="D5058:D5059">
    <cfRule type="colorScale" priority="2844">
      <colorScale>
        <cfvo type="min"/>
        <cfvo type="percentile" val="50"/>
        <cfvo type="max"/>
        <color rgb="FFF8696B"/>
        <color rgb="FFFFEB84"/>
        <color rgb="FF63BE7B"/>
      </colorScale>
    </cfRule>
  </conditionalFormatting>
  <conditionalFormatting sqref="D5063">
    <cfRule type="colorScale" priority="2849">
      <colorScale>
        <cfvo type="min"/>
        <cfvo type="percentile" val="50"/>
        <cfvo type="max"/>
        <color rgb="FFF8696B"/>
        <color rgb="FFFFEB84"/>
        <color rgb="FF63BE7B"/>
      </colorScale>
    </cfRule>
  </conditionalFormatting>
  <conditionalFormatting sqref="D5067:D5068">
    <cfRule type="colorScale" priority="2854">
      <colorScale>
        <cfvo type="min"/>
        <cfvo type="percentile" val="50"/>
        <cfvo type="max"/>
        <color rgb="FFF8696B"/>
        <color rgb="FFFFEB84"/>
        <color rgb="FF63BE7B"/>
      </colorScale>
    </cfRule>
  </conditionalFormatting>
  <conditionalFormatting sqref="D5072:D5073">
    <cfRule type="colorScale" priority="2859">
      <colorScale>
        <cfvo type="min"/>
        <cfvo type="percentile" val="50"/>
        <cfvo type="max"/>
        <color rgb="FFF8696B"/>
        <color rgb="FFFFEB84"/>
        <color rgb="FF63BE7B"/>
      </colorScale>
    </cfRule>
  </conditionalFormatting>
  <conditionalFormatting sqref="D5077:D5080">
    <cfRule type="colorScale" priority="2864">
      <colorScale>
        <cfvo type="min"/>
        <cfvo type="percentile" val="50"/>
        <cfvo type="max"/>
        <color rgb="FFF8696B"/>
        <color rgb="FFFFEB84"/>
        <color rgb="FF63BE7B"/>
      </colorScale>
    </cfRule>
  </conditionalFormatting>
  <conditionalFormatting sqref="D5084">
    <cfRule type="colorScale" priority="2870">
      <colorScale>
        <cfvo type="min"/>
        <cfvo type="percentile" val="50"/>
        <cfvo type="max"/>
        <color rgb="FFF8696B"/>
        <color rgb="FFFFEB84"/>
        <color rgb="FF63BE7B"/>
      </colorScale>
    </cfRule>
  </conditionalFormatting>
  <conditionalFormatting sqref="D5088:D5089">
    <cfRule type="colorScale" priority="2874">
      <colorScale>
        <cfvo type="min"/>
        <cfvo type="percentile" val="50"/>
        <cfvo type="max"/>
        <color rgb="FFF8696B"/>
        <color rgb="FFFFEB84"/>
        <color rgb="FF63BE7B"/>
      </colorScale>
    </cfRule>
  </conditionalFormatting>
  <conditionalFormatting sqref="D5097">
    <cfRule type="colorScale" priority="2884">
      <colorScale>
        <cfvo type="min"/>
        <cfvo type="percentile" val="50"/>
        <cfvo type="max"/>
        <color rgb="FFF8696B"/>
        <color rgb="FFFFEB84"/>
        <color rgb="FF63BE7B"/>
      </colorScale>
    </cfRule>
  </conditionalFormatting>
  <conditionalFormatting sqref="D5101">
    <cfRule type="colorScale" priority="2889">
      <colorScale>
        <cfvo type="min"/>
        <cfvo type="percentile" val="50"/>
        <cfvo type="max"/>
        <color rgb="FFF8696B"/>
        <color rgb="FFFFEB84"/>
        <color rgb="FF63BE7B"/>
      </colorScale>
    </cfRule>
  </conditionalFormatting>
  <conditionalFormatting sqref="D5105:D5106">
    <cfRule type="colorScale" priority="2894">
      <colorScale>
        <cfvo type="min"/>
        <cfvo type="percentile" val="50"/>
        <cfvo type="max"/>
        <color rgb="FFF8696B"/>
        <color rgb="FFFFEB84"/>
        <color rgb="FF63BE7B"/>
      </colorScale>
    </cfRule>
  </conditionalFormatting>
  <conditionalFormatting sqref="D5110:D5111">
    <cfRule type="colorScale" priority="2899">
      <colorScale>
        <cfvo type="min"/>
        <cfvo type="percentile" val="50"/>
        <cfvo type="max"/>
        <color rgb="FFF8696B"/>
        <color rgb="FFFFEB84"/>
        <color rgb="FF63BE7B"/>
      </colorScale>
    </cfRule>
  </conditionalFormatting>
  <conditionalFormatting sqref="D5115:D5116">
    <cfRule type="colorScale" priority="2904">
      <colorScale>
        <cfvo type="min"/>
        <cfvo type="percentile" val="50"/>
        <cfvo type="max"/>
        <color rgb="FFF8696B"/>
        <color rgb="FFFFEB84"/>
        <color rgb="FF63BE7B"/>
      </colorScale>
    </cfRule>
  </conditionalFormatting>
  <conditionalFormatting sqref="D5120:D5121">
    <cfRule type="colorScale" priority="2909">
      <colorScale>
        <cfvo type="min"/>
        <cfvo type="percentile" val="50"/>
        <cfvo type="max"/>
        <color rgb="FFF8696B"/>
        <color rgb="FFFFEB84"/>
        <color rgb="FF63BE7B"/>
      </colorScale>
    </cfRule>
  </conditionalFormatting>
  <conditionalFormatting sqref="D5125:D5126">
    <cfRule type="colorScale" priority="2914">
      <colorScale>
        <cfvo type="min"/>
        <cfvo type="percentile" val="50"/>
        <cfvo type="max"/>
        <color rgb="FFF8696B"/>
        <color rgb="FFFFEB84"/>
        <color rgb="FF63BE7B"/>
      </colorScale>
    </cfRule>
  </conditionalFormatting>
  <conditionalFormatting sqref="D5130:D5131">
    <cfRule type="colorScale" priority="2919">
      <colorScale>
        <cfvo type="min"/>
        <cfvo type="percentile" val="50"/>
        <cfvo type="max"/>
        <color rgb="FFF8696B"/>
        <color rgb="FFFFEB84"/>
        <color rgb="FF63BE7B"/>
      </colorScale>
    </cfRule>
  </conditionalFormatting>
  <conditionalFormatting sqref="D5135">
    <cfRule type="colorScale" priority="2924">
      <colorScale>
        <cfvo type="min"/>
        <cfvo type="percentile" val="50"/>
        <cfvo type="max"/>
        <color rgb="FFF8696B"/>
        <color rgb="FFFFEB84"/>
        <color rgb="FF63BE7B"/>
      </colorScale>
    </cfRule>
  </conditionalFormatting>
  <conditionalFormatting sqref="D5139:D5140">
    <cfRule type="colorScale" priority="2929">
      <colorScale>
        <cfvo type="min"/>
        <cfvo type="percentile" val="50"/>
        <cfvo type="max"/>
        <color rgb="FFF8696B"/>
        <color rgb="FFFFEB84"/>
        <color rgb="FF63BE7B"/>
      </colorScale>
    </cfRule>
  </conditionalFormatting>
  <conditionalFormatting sqref="D5144:D5145">
    <cfRule type="colorScale" priority="2934">
      <colorScale>
        <cfvo type="min"/>
        <cfvo type="percentile" val="50"/>
        <cfvo type="max"/>
        <color rgb="FFF8696B"/>
        <color rgb="FFFFEB84"/>
        <color rgb="FF63BE7B"/>
      </colorScale>
    </cfRule>
  </conditionalFormatting>
  <conditionalFormatting sqref="D5149:D5152">
    <cfRule type="colorScale" priority="2939">
      <colorScale>
        <cfvo type="min"/>
        <cfvo type="percentile" val="50"/>
        <cfvo type="max"/>
        <color rgb="FFF8696B"/>
        <color rgb="FFFFEB84"/>
        <color rgb="FF63BE7B"/>
      </colorScale>
    </cfRule>
  </conditionalFormatting>
  <conditionalFormatting sqref="D5156">
    <cfRule type="colorScale" priority="2945">
      <colorScale>
        <cfvo type="min"/>
        <cfvo type="percentile" val="50"/>
        <cfvo type="max"/>
        <color rgb="FFF8696B"/>
        <color rgb="FFFFEB84"/>
        <color rgb="FF63BE7B"/>
      </colorScale>
    </cfRule>
  </conditionalFormatting>
  <conditionalFormatting sqref="D5160">
    <cfRule type="colorScale" priority="2949">
      <colorScale>
        <cfvo type="min"/>
        <cfvo type="percentile" val="50"/>
        <cfvo type="max"/>
        <color rgb="FFF8696B"/>
        <color rgb="FFFFEB84"/>
        <color rgb="FF63BE7B"/>
      </colorScale>
    </cfRule>
  </conditionalFormatting>
  <conditionalFormatting sqref="D5168:D5169">
    <cfRule type="colorScale" priority="2959">
      <colorScale>
        <cfvo type="min"/>
        <cfvo type="percentile" val="50"/>
        <cfvo type="max"/>
        <color rgb="FFF8696B"/>
        <color rgb="FFFFEB84"/>
        <color rgb="FF63BE7B"/>
      </colorScale>
    </cfRule>
  </conditionalFormatting>
  <conditionalFormatting sqref="D5173">
    <cfRule type="colorScale" priority="2964">
      <colorScale>
        <cfvo type="min"/>
        <cfvo type="percentile" val="50"/>
        <cfvo type="max"/>
        <color rgb="FFF8696B"/>
        <color rgb="FFFFEB84"/>
        <color rgb="FF63BE7B"/>
      </colorScale>
    </cfRule>
  </conditionalFormatting>
  <conditionalFormatting sqref="D5177:D5178">
    <cfRule type="colorScale" priority="2969">
      <colorScale>
        <cfvo type="min"/>
        <cfvo type="percentile" val="50"/>
        <cfvo type="max"/>
        <color rgb="FFF8696B"/>
        <color rgb="FFFFEB84"/>
        <color rgb="FF63BE7B"/>
      </colorScale>
    </cfRule>
  </conditionalFormatting>
  <conditionalFormatting sqref="D5182">
    <cfRule type="colorScale" priority="2974">
      <colorScale>
        <cfvo type="min"/>
        <cfvo type="percentile" val="50"/>
        <cfvo type="max"/>
        <color rgb="FFF8696B"/>
        <color rgb="FFFFEB84"/>
        <color rgb="FF63BE7B"/>
      </colorScale>
    </cfRule>
  </conditionalFormatting>
  <conditionalFormatting sqref="D5186:D5187">
    <cfRule type="colorScale" priority="2979">
      <colorScale>
        <cfvo type="min"/>
        <cfvo type="percentile" val="50"/>
        <cfvo type="max"/>
        <color rgb="FFF8696B"/>
        <color rgb="FFFFEB84"/>
        <color rgb="FF63BE7B"/>
      </colorScale>
    </cfRule>
  </conditionalFormatting>
  <conditionalFormatting sqref="D5191:D5192">
    <cfRule type="colorScale" priority="2984">
      <colorScale>
        <cfvo type="min"/>
        <cfvo type="percentile" val="50"/>
        <cfvo type="max"/>
        <color rgb="FFF8696B"/>
        <color rgb="FFFFEB84"/>
        <color rgb="FF63BE7B"/>
      </colorScale>
    </cfRule>
  </conditionalFormatting>
  <conditionalFormatting sqref="D5196:D5197">
    <cfRule type="colorScale" priority="2989">
      <colorScale>
        <cfvo type="min"/>
        <cfvo type="percentile" val="50"/>
        <cfvo type="max"/>
        <color rgb="FFF8696B"/>
        <color rgb="FFFFEB84"/>
        <color rgb="FF63BE7B"/>
      </colorScale>
    </cfRule>
  </conditionalFormatting>
  <conditionalFormatting sqref="D5201:D5202">
    <cfRule type="colorScale" priority="2994">
      <colorScale>
        <cfvo type="min"/>
        <cfvo type="percentile" val="50"/>
        <cfvo type="max"/>
        <color rgb="FFF8696B"/>
        <color rgb="FFFFEB84"/>
        <color rgb="FF63BE7B"/>
      </colorScale>
    </cfRule>
  </conditionalFormatting>
  <conditionalFormatting sqref="D5206">
    <cfRule type="colorScale" priority="2999">
      <colorScale>
        <cfvo type="min"/>
        <cfvo type="percentile" val="50"/>
        <cfvo type="max"/>
        <color rgb="FFF8696B"/>
        <color rgb="FFFFEB84"/>
        <color rgb="FF63BE7B"/>
      </colorScale>
    </cfRule>
  </conditionalFormatting>
  <conditionalFormatting sqref="D5210:D5211">
    <cfRule type="colorScale" priority="3004">
      <colorScale>
        <cfvo type="min"/>
        <cfvo type="percentile" val="50"/>
        <cfvo type="max"/>
        <color rgb="FFF8696B"/>
        <color rgb="FFFFEB84"/>
        <color rgb="FF63BE7B"/>
      </colorScale>
    </cfRule>
  </conditionalFormatting>
  <conditionalFormatting sqref="D5215:D5216">
    <cfRule type="colorScale" priority="3009">
      <colorScale>
        <cfvo type="min"/>
        <cfvo type="percentile" val="50"/>
        <cfvo type="max"/>
        <color rgb="FFF8696B"/>
        <color rgb="FFFFEB84"/>
        <color rgb="FF63BE7B"/>
      </colorScale>
    </cfRule>
  </conditionalFormatting>
  <conditionalFormatting sqref="D5220:D5223">
    <cfRule type="colorScale" priority="3014">
      <colorScale>
        <cfvo type="min"/>
        <cfvo type="percentile" val="50"/>
        <cfvo type="max"/>
        <color rgb="FFF8696B"/>
        <color rgb="FFFFEB84"/>
        <color rgb="FF63BE7B"/>
      </colorScale>
    </cfRule>
  </conditionalFormatting>
  <conditionalFormatting sqref="D5227">
    <cfRule type="colorScale" priority="3020">
      <colorScale>
        <cfvo type="min"/>
        <cfvo type="percentile" val="50"/>
        <cfvo type="max"/>
        <color rgb="FFF8696B"/>
        <color rgb="FFFFEB84"/>
        <color rgb="FF63BE7B"/>
      </colorScale>
    </cfRule>
  </conditionalFormatting>
  <conditionalFormatting sqref="D5231:D5232">
    <cfRule type="colorScale" priority="3024">
      <colorScale>
        <cfvo type="min"/>
        <cfvo type="percentile" val="50"/>
        <cfvo type="max"/>
        <color rgb="FFF8696B"/>
        <color rgb="FFFFEB84"/>
        <color rgb="FF63BE7B"/>
      </colorScale>
    </cfRule>
  </conditionalFormatting>
  <conditionalFormatting sqref="D5240:D5241">
    <cfRule type="colorScale" priority="3034">
      <colorScale>
        <cfvo type="min"/>
        <cfvo type="percentile" val="50"/>
        <cfvo type="max"/>
        <color rgb="FFF8696B"/>
        <color rgb="FFFFEB84"/>
        <color rgb="FF63BE7B"/>
      </colorScale>
    </cfRule>
  </conditionalFormatting>
  <conditionalFormatting sqref="D5245">
    <cfRule type="colorScale" priority="3039">
      <colorScale>
        <cfvo type="min"/>
        <cfvo type="percentile" val="50"/>
        <cfvo type="max"/>
        <color rgb="FFF8696B"/>
        <color rgb="FFFFEB84"/>
        <color rgb="FF63BE7B"/>
      </colorScale>
    </cfRule>
  </conditionalFormatting>
  <conditionalFormatting sqref="D5249:D5250">
    <cfRule type="colorScale" priority="3044">
      <colorScale>
        <cfvo type="min"/>
        <cfvo type="percentile" val="50"/>
        <cfvo type="max"/>
        <color rgb="FFF8696B"/>
        <color rgb="FFFFEB84"/>
        <color rgb="FF63BE7B"/>
      </colorScale>
    </cfRule>
  </conditionalFormatting>
  <conditionalFormatting sqref="D5254:D5255">
    <cfRule type="colorScale" priority="3049">
      <colorScale>
        <cfvo type="min"/>
        <cfvo type="percentile" val="50"/>
        <cfvo type="max"/>
        <color rgb="FFF8696B"/>
        <color rgb="FFFFEB84"/>
        <color rgb="FF63BE7B"/>
      </colorScale>
    </cfRule>
  </conditionalFormatting>
  <conditionalFormatting sqref="D5259:D5260">
    <cfRule type="colorScale" priority="3054">
      <colorScale>
        <cfvo type="min"/>
        <cfvo type="percentile" val="50"/>
        <cfvo type="max"/>
        <color rgb="FFF8696B"/>
        <color rgb="FFFFEB84"/>
        <color rgb="FF63BE7B"/>
      </colorScale>
    </cfRule>
  </conditionalFormatting>
  <conditionalFormatting sqref="D5264:D5265">
    <cfRule type="colorScale" priority="3059">
      <colorScale>
        <cfvo type="min"/>
        <cfvo type="percentile" val="50"/>
        <cfvo type="max"/>
        <color rgb="FFF8696B"/>
        <color rgb="FFFFEB84"/>
        <color rgb="FF63BE7B"/>
      </colorScale>
    </cfRule>
  </conditionalFormatting>
  <conditionalFormatting sqref="D5269:D5270">
    <cfRule type="colorScale" priority="3064">
      <colorScale>
        <cfvo type="min"/>
        <cfvo type="percentile" val="50"/>
        <cfvo type="max"/>
        <color rgb="FFF8696B"/>
        <color rgb="FFFFEB84"/>
        <color rgb="FF63BE7B"/>
      </colorScale>
    </cfRule>
  </conditionalFormatting>
  <conditionalFormatting sqref="D5274:D5275">
    <cfRule type="colorScale" priority="3069">
      <colorScale>
        <cfvo type="min"/>
        <cfvo type="percentile" val="50"/>
        <cfvo type="max"/>
        <color rgb="FFF8696B"/>
        <color rgb="FFFFEB84"/>
        <color rgb="FF63BE7B"/>
      </colorScale>
    </cfRule>
  </conditionalFormatting>
  <conditionalFormatting sqref="D5279">
    <cfRule type="colorScale" priority="3074">
      <colorScale>
        <cfvo type="min"/>
        <cfvo type="percentile" val="50"/>
        <cfvo type="max"/>
        <color rgb="FFF8696B"/>
        <color rgb="FFFFEB84"/>
        <color rgb="FF63BE7B"/>
      </colorScale>
    </cfRule>
  </conditionalFormatting>
  <conditionalFormatting sqref="D5283:D5284">
    <cfRule type="colorScale" priority="3079">
      <colorScale>
        <cfvo type="min"/>
        <cfvo type="percentile" val="50"/>
        <cfvo type="max"/>
        <color rgb="FFF8696B"/>
        <color rgb="FFFFEB84"/>
        <color rgb="FF63BE7B"/>
      </colorScale>
    </cfRule>
  </conditionalFormatting>
  <conditionalFormatting sqref="D5288:D5289">
    <cfRule type="colorScale" priority="3084">
      <colorScale>
        <cfvo type="min"/>
        <cfvo type="percentile" val="50"/>
        <cfvo type="max"/>
        <color rgb="FFF8696B"/>
        <color rgb="FFFFEB84"/>
        <color rgb="FF63BE7B"/>
      </colorScale>
    </cfRule>
  </conditionalFormatting>
  <conditionalFormatting sqref="D5293:D5296">
    <cfRule type="colorScale" priority="3089">
      <colorScale>
        <cfvo type="min"/>
        <cfvo type="percentile" val="50"/>
        <cfvo type="max"/>
        <color rgb="FFF8696B"/>
        <color rgb="FFFFEB84"/>
        <color rgb="FF63BE7B"/>
      </colorScale>
    </cfRule>
  </conditionalFormatting>
  <conditionalFormatting sqref="D5300">
    <cfRule type="colorScale" priority="3095">
      <colorScale>
        <cfvo type="min"/>
        <cfvo type="percentile" val="50"/>
        <cfvo type="max"/>
        <color rgb="FFF8696B"/>
        <color rgb="FFFFEB84"/>
        <color rgb="FF63BE7B"/>
      </colorScale>
    </cfRule>
  </conditionalFormatting>
  <conditionalFormatting sqref="D5304:D5305">
    <cfRule type="colorScale" priority="3099">
      <colorScale>
        <cfvo type="min"/>
        <cfvo type="percentile" val="50"/>
        <cfvo type="max"/>
        <color rgb="FFF8696B"/>
        <color rgb="FFFFEB84"/>
        <color rgb="FF63BE7B"/>
      </colorScale>
    </cfRule>
  </conditionalFormatting>
  <conditionalFormatting sqref="D5313:D5314">
    <cfRule type="colorScale" priority="3109">
      <colorScale>
        <cfvo type="min"/>
        <cfvo type="percentile" val="50"/>
        <cfvo type="max"/>
        <color rgb="FFF8696B"/>
        <color rgb="FFFFEB84"/>
        <color rgb="FF63BE7B"/>
      </colorScale>
    </cfRule>
  </conditionalFormatting>
  <conditionalFormatting sqref="D5318:D5319">
    <cfRule type="colorScale" priority="3114">
      <colorScale>
        <cfvo type="min"/>
        <cfvo type="percentile" val="50"/>
        <cfvo type="max"/>
        <color rgb="FFF8696B"/>
        <color rgb="FFFFEB84"/>
        <color rgb="FF63BE7B"/>
      </colorScale>
    </cfRule>
  </conditionalFormatting>
  <conditionalFormatting sqref="D5323:D5324">
    <cfRule type="colorScale" priority="3119">
      <colorScale>
        <cfvo type="min"/>
        <cfvo type="percentile" val="50"/>
        <cfvo type="max"/>
        <color rgb="FFF8696B"/>
        <color rgb="FFFFEB84"/>
        <color rgb="FF63BE7B"/>
      </colorScale>
    </cfRule>
  </conditionalFormatting>
  <conditionalFormatting sqref="D5328:D5329">
    <cfRule type="colorScale" priority="3124">
      <colorScale>
        <cfvo type="min"/>
        <cfvo type="percentile" val="50"/>
        <cfvo type="max"/>
        <color rgb="FFF8696B"/>
        <color rgb="FFFFEB84"/>
        <color rgb="FF63BE7B"/>
      </colorScale>
    </cfRule>
  </conditionalFormatting>
  <conditionalFormatting sqref="D5333:D5334">
    <cfRule type="colorScale" priority="3129">
      <colorScale>
        <cfvo type="min"/>
        <cfvo type="percentile" val="50"/>
        <cfvo type="max"/>
        <color rgb="FFF8696B"/>
        <color rgb="FFFFEB84"/>
        <color rgb="FF63BE7B"/>
      </colorScale>
    </cfRule>
  </conditionalFormatting>
  <conditionalFormatting sqref="D5338:D5339">
    <cfRule type="colorScale" priority="3134">
      <colorScale>
        <cfvo type="min"/>
        <cfvo type="percentile" val="50"/>
        <cfvo type="max"/>
        <color rgb="FFF8696B"/>
        <color rgb="FFFFEB84"/>
        <color rgb="FF63BE7B"/>
      </colorScale>
    </cfRule>
  </conditionalFormatting>
  <conditionalFormatting sqref="D5343:D5344">
    <cfRule type="colorScale" priority="3139">
      <colorScale>
        <cfvo type="min"/>
        <cfvo type="percentile" val="50"/>
        <cfvo type="max"/>
        <color rgb="FFF8696B"/>
        <color rgb="FFFFEB84"/>
        <color rgb="FF63BE7B"/>
      </colorScale>
    </cfRule>
  </conditionalFormatting>
  <conditionalFormatting sqref="D5348:D5349">
    <cfRule type="colorScale" priority="3144">
      <colorScale>
        <cfvo type="min"/>
        <cfvo type="percentile" val="50"/>
        <cfvo type="max"/>
        <color rgb="FFF8696B"/>
        <color rgb="FFFFEB84"/>
        <color rgb="FF63BE7B"/>
      </colorScale>
    </cfRule>
  </conditionalFormatting>
  <conditionalFormatting sqref="D5353">
    <cfRule type="colorScale" priority="3149">
      <colorScale>
        <cfvo type="min"/>
        <cfvo type="percentile" val="50"/>
        <cfvo type="max"/>
        <color rgb="FFF8696B"/>
        <color rgb="FFFFEB84"/>
        <color rgb="FF63BE7B"/>
      </colorScale>
    </cfRule>
  </conditionalFormatting>
  <conditionalFormatting sqref="D5357:D5358">
    <cfRule type="colorScale" priority="3154">
      <colorScale>
        <cfvo type="min"/>
        <cfvo type="percentile" val="50"/>
        <cfvo type="max"/>
        <color rgb="FFF8696B"/>
        <color rgb="FFFFEB84"/>
        <color rgb="FF63BE7B"/>
      </colorScale>
    </cfRule>
  </conditionalFormatting>
  <conditionalFormatting sqref="D5362:D5363">
    <cfRule type="colorScale" priority="3159">
      <colorScale>
        <cfvo type="min"/>
        <cfvo type="percentile" val="50"/>
        <cfvo type="max"/>
        <color rgb="FFF8696B"/>
        <color rgb="FFFFEB84"/>
        <color rgb="FF63BE7B"/>
      </colorScale>
    </cfRule>
  </conditionalFormatting>
  <conditionalFormatting sqref="D5367:D5370">
    <cfRule type="colorScale" priority="3164">
      <colorScale>
        <cfvo type="min"/>
        <cfvo type="percentile" val="50"/>
        <cfvo type="max"/>
        <color rgb="FFF8696B"/>
        <color rgb="FFFFEB84"/>
        <color rgb="FF63BE7B"/>
      </colorScale>
    </cfRule>
  </conditionalFormatting>
  <conditionalFormatting sqref="D5374">
    <cfRule type="colorScale" priority="3170">
      <colorScale>
        <cfvo type="min"/>
        <cfvo type="percentile" val="50"/>
        <cfvo type="max"/>
        <color rgb="FFF8696B"/>
        <color rgb="FFFFEB84"/>
        <color rgb="FF63BE7B"/>
      </colorScale>
    </cfRule>
  </conditionalFormatting>
  <conditionalFormatting sqref="D5378">
    <cfRule type="colorScale" priority="3174">
      <colorScale>
        <cfvo type="min"/>
        <cfvo type="percentile" val="50"/>
        <cfvo type="max"/>
        <color rgb="FFF8696B"/>
        <color rgb="FFFFEB84"/>
        <color rgb="FF63BE7B"/>
      </colorScale>
    </cfRule>
  </conditionalFormatting>
  <conditionalFormatting sqref="D5386">
    <cfRule type="colorScale" priority="3184">
      <colorScale>
        <cfvo type="min"/>
        <cfvo type="percentile" val="50"/>
        <cfvo type="max"/>
        <color rgb="FFF8696B"/>
        <color rgb="FFFFEB84"/>
        <color rgb="FF63BE7B"/>
      </colorScale>
    </cfRule>
  </conditionalFormatting>
  <conditionalFormatting sqref="D5390">
    <cfRule type="colorScale" priority="3189">
      <colorScale>
        <cfvo type="min"/>
        <cfvo type="percentile" val="50"/>
        <cfvo type="max"/>
        <color rgb="FFF8696B"/>
        <color rgb="FFFFEB84"/>
        <color rgb="FF63BE7B"/>
      </colorScale>
    </cfRule>
  </conditionalFormatting>
  <conditionalFormatting sqref="D5394">
    <cfRule type="colorScale" priority="3194">
      <colorScale>
        <cfvo type="min"/>
        <cfvo type="percentile" val="50"/>
        <cfvo type="max"/>
        <color rgb="FFF8696B"/>
        <color rgb="FFFFEB84"/>
        <color rgb="FF63BE7B"/>
      </colorScale>
    </cfRule>
  </conditionalFormatting>
  <conditionalFormatting sqref="D5398">
    <cfRule type="colorScale" priority="3199">
      <colorScale>
        <cfvo type="min"/>
        <cfvo type="percentile" val="50"/>
        <cfvo type="max"/>
        <color rgb="FFF8696B"/>
        <color rgb="FFFFEB84"/>
        <color rgb="FF63BE7B"/>
      </colorScale>
    </cfRule>
  </conditionalFormatting>
  <conditionalFormatting sqref="D5402">
    <cfRule type="colorScale" priority="3204">
      <colorScale>
        <cfvo type="min"/>
        <cfvo type="percentile" val="50"/>
        <cfvo type="max"/>
        <color rgb="FFF8696B"/>
        <color rgb="FFFFEB84"/>
        <color rgb="FF63BE7B"/>
      </colorScale>
    </cfRule>
  </conditionalFormatting>
  <conditionalFormatting sqref="D5406:D5407">
    <cfRule type="colorScale" priority="3209">
      <colorScale>
        <cfvo type="min"/>
        <cfvo type="percentile" val="50"/>
        <cfvo type="max"/>
        <color rgb="FFF8696B"/>
        <color rgb="FFFFEB84"/>
        <color rgb="FF63BE7B"/>
      </colorScale>
    </cfRule>
  </conditionalFormatting>
  <conditionalFormatting sqref="D5411">
    <cfRule type="colorScale" priority="3214">
      <colorScale>
        <cfvo type="min"/>
        <cfvo type="percentile" val="50"/>
        <cfvo type="max"/>
        <color rgb="FFF8696B"/>
        <color rgb="FFFFEB84"/>
        <color rgb="FF63BE7B"/>
      </colorScale>
    </cfRule>
  </conditionalFormatting>
  <conditionalFormatting sqref="D5415">
    <cfRule type="colorScale" priority="3219">
      <colorScale>
        <cfvo type="min"/>
        <cfvo type="percentile" val="50"/>
        <cfvo type="max"/>
        <color rgb="FFF8696B"/>
        <color rgb="FFFFEB84"/>
        <color rgb="FF63BE7B"/>
      </colorScale>
    </cfRule>
  </conditionalFormatting>
  <conditionalFormatting sqref="D5419">
    <cfRule type="colorScale" priority="3224">
      <colorScale>
        <cfvo type="min"/>
        <cfvo type="percentile" val="50"/>
        <cfvo type="max"/>
        <color rgb="FFF8696B"/>
        <color rgb="FFFFEB84"/>
        <color rgb="FF63BE7B"/>
      </colorScale>
    </cfRule>
  </conditionalFormatting>
  <conditionalFormatting sqref="D5423:D5424">
    <cfRule type="colorScale" priority="3229">
      <colorScale>
        <cfvo type="min"/>
        <cfvo type="percentile" val="50"/>
        <cfvo type="max"/>
        <color rgb="FFF8696B"/>
        <color rgb="FFFFEB84"/>
        <color rgb="FF63BE7B"/>
      </colorScale>
    </cfRule>
  </conditionalFormatting>
  <conditionalFormatting sqref="D5428">
    <cfRule type="colorScale" priority="3234">
      <colorScale>
        <cfvo type="min"/>
        <cfvo type="percentile" val="50"/>
        <cfvo type="max"/>
        <color rgb="FFF8696B"/>
        <color rgb="FFFFEB84"/>
        <color rgb="FF63BE7B"/>
      </colorScale>
    </cfRule>
  </conditionalFormatting>
  <conditionalFormatting sqref="D5432:D5433">
    <cfRule type="colorScale" priority="3239">
      <colorScale>
        <cfvo type="min"/>
        <cfvo type="percentile" val="50"/>
        <cfvo type="max"/>
        <color rgb="FFF8696B"/>
        <color rgb="FFFFEB84"/>
        <color rgb="FF63BE7B"/>
      </colorScale>
    </cfRule>
  </conditionalFormatting>
  <conditionalFormatting sqref="D5437">
    <cfRule type="colorScale" priority="3245">
      <colorScale>
        <cfvo type="min"/>
        <cfvo type="percentile" val="50"/>
        <cfvo type="max"/>
        <color rgb="FFF8696B"/>
        <color rgb="FFFFEB84"/>
        <color rgb="FF63BE7B"/>
      </colorScale>
    </cfRule>
  </conditionalFormatting>
  <conditionalFormatting sqref="D5441:D5442">
    <cfRule type="colorScale" priority="3249">
      <colorScale>
        <cfvo type="min"/>
        <cfvo type="percentile" val="50"/>
        <cfvo type="max"/>
        <color rgb="FFF8696B"/>
        <color rgb="FFFFEB84"/>
        <color rgb="FF63BE7B"/>
      </colorScale>
    </cfRule>
  </conditionalFormatting>
  <conditionalFormatting sqref="D5450:D5451">
    <cfRule type="colorScale" priority="3259">
      <colorScale>
        <cfvo type="min"/>
        <cfvo type="percentile" val="50"/>
        <cfvo type="max"/>
        <color rgb="FFF8696B"/>
        <color rgb="FFFFEB84"/>
        <color rgb="FF63BE7B"/>
      </colorScale>
    </cfRule>
  </conditionalFormatting>
  <conditionalFormatting sqref="D5455:D5456">
    <cfRule type="colorScale" priority="3264">
      <colorScale>
        <cfvo type="min"/>
        <cfvo type="percentile" val="50"/>
        <cfvo type="max"/>
        <color rgb="FFF8696B"/>
        <color rgb="FFFFEB84"/>
        <color rgb="FF63BE7B"/>
      </colorScale>
    </cfRule>
  </conditionalFormatting>
  <conditionalFormatting sqref="D5460:D5461">
    <cfRule type="colorScale" priority="3269">
      <colorScale>
        <cfvo type="min"/>
        <cfvo type="percentile" val="50"/>
        <cfvo type="max"/>
        <color rgb="FFF8696B"/>
        <color rgb="FFFFEB84"/>
        <color rgb="FF63BE7B"/>
      </colorScale>
    </cfRule>
  </conditionalFormatting>
  <conditionalFormatting sqref="D5465:D5466">
    <cfRule type="colorScale" priority="3274">
      <colorScale>
        <cfvo type="min"/>
        <cfvo type="percentile" val="50"/>
        <cfvo type="max"/>
        <color rgb="FFF8696B"/>
        <color rgb="FFFFEB84"/>
        <color rgb="FF63BE7B"/>
      </colorScale>
    </cfRule>
  </conditionalFormatting>
  <conditionalFormatting sqref="D5470:D5471">
    <cfRule type="colorScale" priority="3279">
      <colorScale>
        <cfvo type="min"/>
        <cfvo type="percentile" val="50"/>
        <cfvo type="max"/>
        <color rgb="FFF8696B"/>
        <color rgb="FFFFEB84"/>
        <color rgb="FF63BE7B"/>
      </colorScale>
    </cfRule>
  </conditionalFormatting>
  <conditionalFormatting sqref="D5475:D5476">
    <cfRule type="colorScale" priority="3284">
      <colorScale>
        <cfvo type="min"/>
        <cfvo type="percentile" val="50"/>
        <cfvo type="max"/>
        <color rgb="FFF8696B"/>
        <color rgb="FFFFEB84"/>
        <color rgb="FF63BE7B"/>
      </colorScale>
    </cfRule>
  </conditionalFormatting>
  <conditionalFormatting sqref="D5480:D5481">
    <cfRule type="colorScale" priority="3289">
      <colorScale>
        <cfvo type="min"/>
        <cfvo type="percentile" val="50"/>
        <cfvo type="max"/>
        <color rgb="FFF8696B"/>
        <color rgb="FFFFEB84"/>
        <color rgb="FF63BE7B"/>
      </colorScale>
    </cfRule>
  </conditionalFormatting>
  <conditionalFormatting sqref="D5485:D5486">
    <cfRule type="colorScale" priority="3294">
      <colorScale>
        <cfvo type="min"/>
        <cfvo type="percentile" val="50"/>
        <cfvo type="max"/>
        <color rgb="FFF8696B"/>
        <color rgb="FFFFEB84"/>
        <color rgb="FF63BE7B"/>
      </colorScale>
    </cfRule>
  </conditionalFormatting>
  <conditionalFormatting sqref="D5490">
    <cfRule type="colorScale" priority="3299">
      <colorScale>
        <cfvo type="min"/>
        <cfvo type="percentile" val="50"/>
        <cfvo type="max"/>
        <color rgb="FFF8696B"/>
        <color rgb="FFFFEB84"/>
        <color rgb="FF63BE7B"/>
      </colorScale>
    </cfRule>
  </conditionalFormatting>
  <conditionalFormatting sqref="D5494:D5495">
    <cfRule type="colorScale" priority="3304">
      <colorScale>
        <cfvo type="min"/>
        <cfvo type="percentile" val="50"/>
        <cfvo type="max"/>
        <color rgb="FFF8696B"/>
        <color rgb="FFFFEB84"/>
        <color rgb="FF63BE7B"/>
      </colorScale>
    </cfRule>
  </conditionalFormatting>
  <conditionalFormatting sqref="D5499:D5500">
    <cfRule type="colorScale" priority="3309">
      <colorScale>
        <cfvo type="min"/>
        <cfvo type="percentile" val="50"/>
        <cfvo type="max"/>
        <color rgb="FFF8696B"/>
        <color rgb="FFFFEB84"/>
        <color rgb="FF63BE7B"/>
      </colorScale>
    </cfRule>
  </conditionalFormatting>
  <conditionalFormatting sqref="D5504:D5507">
    <cfRule type="colorScale" priority="3314">
      <colorScale>
        <cfvo type="min"/>
        <cfvo type="percentile" val="50"/>
        <cfvo type="max"/>
        <color rgb="FFF8696B"/>
        <color rgb="FFFFEB84"/>
        <color rgb="FF63BE7B"/>
      </colorScale>
    </cfRule>
  </conditionalFormatting>
  <conditionalFormatting sqref="D5511">
    <cfRule type="colorScale" priority="3320">
      <colorScale>
        <cfvo type="min"/>
        <cfvo type="percentile" val="50"/>
        <cfvo type="max"/>
        <color rgb="FFF8696B"/>
        <color rgb="FFFFEB84"/>
        <color rgb="FF63BE7B"/>
      </colorScale>
    </cfRule>
  </conditionalFormatting>
  <conditionalFormatting sqref="D5515">
    <cfRule type="colorScale" priority="3324">
      <colorScale>
        <cfvo type="min"/>
        <cfvo type="percentile" val="50"/>
        <cfvo type="max"/>
        <color rgb="FFF8696B"/>
        <color rgb="FFFFEB84"/>
        <color rgb="FF63BE7B"/>
      </colorScale>
    </cfRule>
  </conditionalFormatting>
  <conditionalFormatting sqref="D5523">
    <cfRule type="colorScale" priority="3334">
      <colorScale>
        <cfvo type="min"/>
        <cfvo type="percentile" val="50"/>
        <cfvo type="max"/>
        <color rgb="FFF8696B"/>
        <color rgb="FFFFEB84"/>
        <color rgb="FF63BE7B"/>
      </colorScale>
    </cfRule>
  </conditionalFormatting>
  <conditionalFormatting sqref="D5527">
    <cfRule type="colorScale" priority="3339">
      <colorScale>
        <cfvo type="min"/>
        <cfvo type="percentile" val="50"/>
        <cfvo type="max"/>
        <color rgb="FFF8696B"/>
        <color rgb="FFFFEB84"/>
        <color rgb="FF63BE7B"/>
      </colorScale>
    </cfRule>
  </conditionalFormatting>
  <conditionalFormatting sqref="D5531">
    <cfRule type="colorScale" priority="3344">
      <colorScale>
        <cfvo type="min"/>
        <cfvo type="percentile" val="50"/>
        <cfvo type="max"/>
        <color rgb="FFF8696B"/>
        <color rgb="FFFFEB84"/>
        <color rgb="FF63BE7B"/>
      </colorScale>
    </cfRule>
  </conditionalFormatting>
  <conditionalFormatting sqref="D5535">
    <cfRule type="colorScale" priority="3349">
      <colorScale>
        <cfvo type="min"/>
        <cfvo type="percentile" val="50"/>
        <cfvo type="max"/>
        <color rgb="FFF8696B"/>
        <color rgb="FFFFEB84"/>
        <color rgb="FF63BE7B"/>
      </colorScale>
    </cfRule>
  </conditionalFormatting>
  <conditionalFormatting sqref="D5539:D5540">
    <cfRule type="colorScale" priority="3354">
      <colorScale>
        <cfvo type="min"/>
        <cfvo type="percentile" val="50"/>
        <cfvo type="max"/>
        <color rgb="FFF8696B"/>
        <color rgb="FFFFEB84"/>
        <color rgb="FF63BE7B"/>
      </colorScale>
    </cfRule>
  </conditionalFormatting>
  <conditionalFormatting sqref="D5544:D5545">
    <cfRule type="colorScale" priority="3359">
      <colorScale>
        <cfvo type="min"/>
        <cfvo type="percentile" val="50"/>
        <cfvo type="max"/>
        <color rgb="FFF8696B"/>
        <color rgb="FFFFEB84"/>
        <color rgb="FF63BE7B"/>
      </colorScale>
    </cfRule>
  </conditionalFormatting>
  <conditionalFormatting sqref="D5549:D5550">
    <cfRule type="colorScale" priority="3364">
      <colorScale>
        <cfvo type="min"/>
        <cfvo type="percentile" val="50"/>
        <cfvo type="max"/>
        <color rgb="FFF8696B"/>
        <color rgb="FFFFEB84"/>
        <color rgb="FF63BE7B"/>
      </colorScale>
    </cfRule>
  </conditionalFormatting>
  <conditionalFormatting sqref="D5554:D5555">
    <cfRule type="colorScale" priority="3369">
      <colorScale>
        <cfvo type="min"/>
        <cfvo type="percentile" val="50"/>
        <cfvo type="max"/>
        <color rgb="FFF8696B"/>
        <color rgb="FFFFEB84"/>
        <color rgb="FF63BE7B"/>
      </colorScale>
    </cfRule>
  </conditionalFormatting>
  <conditionalFormatting sqref="D5559">
    <cfRule type="colorScale" priority="3374">
      <colorScale>
        <cfvo type="min"/>
        <cfvo type="percentile" val="50"/>
        <cfvo type="max"/>
        <color rgb="FFF8696B"/>
        <color rgb="FFFFEB84"/>
        <color rgb="FF63BE7B"/>
      </colorScale>
    </cfRule>
  </conditionalFormatting>
  <conditionalFormatting sqref="D5563:D5564">
    <cfRule type="colorScale" priority="3379">
      <colorScale>
        <cfvo type="min"/>
        <cfvo type="percentile" val="50"/>
        <cfvo type="max"/>
        <color rgb="FFF8696B"/>
        <color rgb="FFFFEB84"/>
        <color rgb="FF63BE7B"/>
      </colorScale>
    </cfRule>
  </conditionalFormatting>
  <conditionalFormatting sqref="D5568:D5569">
    <cfRule type="colorScale" priority="3384">
      <colorScale>
        <cfvo type="min"/>
        <cfvo type="percentile" val="50"/>
        <cfvo type="max"/>
        <color rgb="FFF8696B"/>
        <color rgb="FFFFEB84"/>
        <color rgb="FF63BE7B"/>
      </colorScale>
    </cfRule>
  </conditionalFormatting>
  <conditionalFormatting sqref="D5573:D5574">
    <cfRule type="colorScale" priority="3389">
      <colorScale>
        <cfvo type="min"/>
        <cfvo type="percentile" val="50"/>
        <cfvo type="max"/>
        <color rgb="FFF8696B"/>
        <color rgb="FFFFEB84"/>
        <color rgb="FF63BE7B"/>
      </colorScale>
    </cfRule>
  </conditionalFormatting>
  <conditionalFormatting sqref="D5578">
    <cfRule type="colorScale" priority="3395">
      <colorScale>
        <cfvo type="min"/>
        <cfvo type="percentile" val="50"/>
        <cfvo type="max"/>
        <color rgb="FFF8696B"/>
        <color rgb="FFFFEB84"/>
        <color rgb="FF63BE7B"/>
      </colorScale>
    </cfRule>
  </conditionalFormatting>
  <conditionalFormatting sqref="D5582:D5583">
    <cfRule type="colorScale" priority="3399">
      <colorScale>
        <cfvo type="min"/>
        <cfvo type="percentile" val="50"/>
        <cfvo type="max"/>
        <color rgb="FFF8696B"/>
        <color rgb="FFFFEB84"/>
        <color rgb="FF63BE7B"/>
      </colorScale>
    </cfRule>
  </conditionalFormatting>
  <conditionalFormatting sqref="D5591:D5592">
    <cfRule type="colorScale" priority="3409">
      <colorScale>
        <cfvo type="min"/>
        <cfvo type="percentile" val="50"/>
        <cfvo type="max"/>
        <color rgb="FFF8696B"/>
        <color rgb="FFFFEB84"/>
        <color rgb="FF63BE7B"/>
      </colorScale>
    </cfRule>
  </conditionalFormatting>
  <conditionalFormatting sqref="D5596">
    <cfRule type="colorScale" priority="3414">
      <colorScale>
        <cfvo type="min"/>
        <cfvo type="percentile" val="50"/>
        <cfvo type="max"/>
        <color rgb="FFF8696B"/>
        <color rgb="FFFFEB84"/>
        <color rgb="FF63BE7B"/>
      </colorScale>
    </cfRule>
  </conditionalFormatting>
  <conditionalFormatting sqref="D5600:D5601">
    <cfRule type="colorScale" priority="3419">
      <colorScale>
        <cfvo type="min"/>
        <cfvo type="percentile" val="50"/>
        <cfvo type="max"/>
        <color rgb="FFF8696B"/>
        <color rgb="FFFFEB84"/>
        <color rgb="FF63BE7B"/>
      </colorScale>
    </cfRule>
  </conditionalFormatting>
  <conditionalFormatting sqref="D5605:D5606">
    <cfRule type="colorScale" priority="3424">
      <colorScale>
        <cfvo type="min"/>
        <cfvo type="percentile" val="50"/>
        <cfvo type="max"/>
        <color rgb="FFF8696B"/>
        <color rgb="FFFFEB84"/>
        <color rgb="FF63BE7B"/>
      </colorScale>
    </cfRule>
  </conditionalFormatting>
  <conditionalFormatting sqref="D5610:D5611">
    <cfRule type="colorScale" priority="3429">
      <colorScale>
        <cfvo type="min"/>
        <cfvo type="percentile" val="50"/>
        <cfvo type="max"/>
        <color rgb="FFF8696B"/>
        <color rgb="FFFFEB84"/>
        <color rgb="FF63BE7B"/>
      </colorScale>
    </cfRule>
  </conditionalFormatting>
  <conditionalFormatting sqref="D5615:D5616">
    <cfRule type="colorScale" priority="3434">
      <colorScale>
        <cfvo type="min"/>
        <cfvo type="percentile" val="50"/>
        <cfvo type="max"/>
        <color rgb="FFF8696B"/>
        <color rgb="FFFFEB84"/>
        <color rgb="FF63BE7B"/>
      </colorScale>
    </cfRule>
  </conditionalFormatting>
  <conditionalFormatting sqref="D5620">
    <cfRule type="colorScale" priority="3439">
      <colorScale>
        <cfvo type="min"/>
        <cfvo type="percentile" val="50"/>
        <cfvo type="max"/>
        <color rgb="FFF8696B"/>
        <color rgb="FFFFEB84"/>
        <color rgb="FF63BE7B"/>
      </colorScale>
    </cfRule>
  </conditionalFormatting>
  <conditionalFormatting sqref="D5624:D5625">
    <cfRule type="colorScale" priority="3444">
      <colorScale>
        <cfvo type="min"/>
        <cfvo type="percentile" val="50"/>
        <cfvo type="max"/>
        <color rgb="FFF8696B"/>
        <color rgb="FFFFEB84"/>
        <color rgb="FF63BE7B"/>
      </colorScale>
    </cfRule>
  </conditionalFormatting>
  <conditionalFormatting sqref="D5629">
    <cfRule type="colorScale" priority="3449">
      <colorScale>
        <cfvo type="min"/>
        <cfvo type="percentile" val="50"/>
        <cfvo type="max"/>
        <color rgb="FFF8696B"/>
        <color rgb="FFFFEB84"/>
        <color rgb="FF63BE7B"/>
      </colorScale>
    </cfRule>
  </conditionalFormatting>
  <conditionalFormatting sqref="D5633:D5634">
    <cfRule type="colorScale" priority="3454">
      <colorScale>
        <cfvo type="min"/>
        <cfvo type="percentile" val="50"/>
        <cfvo type="max"/>
        <color rgb="FFF8696B"/>
        <color rgb="FFFFEB84"/>
        <color rgb="FF63BE7B"/>
      </colorScale>
    </cfRule>
  </conditionalFormatting>
  <conditionalFormatting sqref="D5638">
    <cfRule type="colorScale" priority="3459">
      <colorScale>
        <cfvo type="min"/>
        <cfvo type="percentile" val="50"/>
        <cfvo type="max"/>
        <color rgb="FFF8696B"/>
        <color rgb="FFFFEB84"/>
        <color rgb="FF63BE7B"/>
      </colorScale>
    </cfRule>
  </conditionalFormatting>
  <conditionalFormatting sqref="D5642:D5645">
    <cfRule type="colorScale" priority="3464">
      <colorScale>
        <cfvo type="min"/>
        <cfvo type="percentile" val="50"/>
        <cfvo type="max"/>
        <color rgb="FFF8696B"/>
        <color rgb="FFFFEB84"/>
        <color rgb="FF63BE7B"/>
      </colorScale>
    </cfRule>
  </conditionalFormatting>
  <conditionalFormatting sqref="D5649">
    <cfRule type="colorScale" priority="3470">
      <colorScale>
        <cfvo type="min"/>
        <cfvo type="percentile" val="50"/>
        <cfvo type="max"/>
        <color rgb="FFF8696B"/>
        <color rgb="FFFFEB84"/>
        <color rgb="FF63BE7B"/>
      </colorScale>
    </cfRule>
  </conditionalFormatting>
  <conditionalFormatting sqref="D5653">
    <cfRule type="colorScale" priority="3474">
      <colorScale>
        <cfvo type="min"/>
        <cfvo type="percentile" val="50"/>
        <cfvo type="max"/>
        <color rgb="FFF8696B"/>
        <color rgb="FFFFEB84"/>
        <color rgb="FF63BE7B"/>
      </colorScale>
    </cfRule>
  </conditionalFormatting>
  <conditionalFormatting sqref="D5661">
    <cfRule type="colorScale" priority="3484">
      <colorScale>
        <cfvo type="min"/>
        <cfvo type="percentile" val="50"/>
        <cfvo type="max"/>
        <color rgb="FFF8696B"/>
        <color rgb="FFFFEB84"/>
        <color rgb="FF63BE7B"/>
      </colorScale>
    </cfRule>
  </conditionalFormatting>
  <conditionalFormatting sqref="D5665">
    <cfRule type="colorScale" priority="3489">
      <colorScale>
        <cfvo type="min"/>
        <cfvo type="percentile" val="50"/>
        <cfvo type="max"/>
        <color rgb="FFF8696B"/>
        <color rgb="FFFFEB84"/>
        <color rgb="FF63BE7B"/>
      </colorScale>
    </cfRule>
  </conditionalFormatting>
  <conditionalFormatting sqref="D5669">
    <cfRule type="colorScale" priority="3494">
      <colorScale>
        <cfvo type="min"/>
        <cfvo type="percentile" val="50"/>
        <cfvo type="max"/>
        <color rgb="FFF8696B"/>
        <color rgb="FFFFEB84"/>
        <color rgb="FF63BE7B"/>
      </colorScale>
    </cfRule>
  </conditionalFormatting>
  <conditionalFormatting sqref="D5673">
    <cfRule type="colorScale" priority="3499">
      <colorScale>
        <cfvo type="min"/>
        <cfvo type="percentile" val="50"/>
        <cfvo type="max"/>
        <color rgb="FFF8696B"/>
        <color rgb="FFFFEB84"/>
        <color rgb="FF63BE7B"/>
      </colorScale>
    </cfRule>
  </conditionalFormatting>
  <conditionalFormatting sqref="D5677">
    <cfRule type="colorScale" priority="3504">
      <colorScale>
        <cfvo type="min"/>
        <cfvo type="percentile" val="50"/>
        <cfvo type="max"/>
        <color rgb="FFF8696B"/>
        <color rgb="FFFFEB84"/>
        <color rgb="FF63BE7B"/>
      </colorScale>
    </cfRule>
  </conditionalFormatting>
  <conditionalFormatting sqref="D5681">
    <cfRule type="colorScale" priority="3509">
      <colorScale>
        <cfvo type="min"/>
        <cfvo type="percentile" val="50"/>
        <cfvo type="max"/>
        <color rgb="FFF8696B"/>
        <color rgb="FFFFEB84"/>
        <color rgb="FF63BE7B"/>
      </colorScale>
    </cfRule>
  </conditionalFormatting>
  <conditionalFormatting sqref="D5685">
    <cfRule type="colorScale" priority="3514">
      <colorScale>
        <cfvo type="min"/>
        <cfvo type="percentile" val="50"/>
        <cfvo type="max"/>
        <color rgb="FFF8696B"/>
        <color rgb="FFFFEB84"/>
        <color rgb="FF63BE7B"/>
      </colorScale>
    </cfRule>
  </conditionalFormatting>
  <conditionalFormatting sqref="D5689">
    <cfRule type="colorScale" priority="3519">
      <colorScale>
        <cfvo type="min"/>
        <cfvo type="percentile" val="50"/>
        <cfvo type="max"/>
        <color rgb="FFF8696B"/>
        <color rgb="FFFFEB84"/>
        <color rgb="FF63BE7B"/>
      </colorScale>
    </cfRule>
  </conditionalFormatting>
  <conditionalFormatting sqref="D5693">
    <cfRule type="colorScale" priority="3524">
      <colorScale>
        <cfvo type="min"/>
        <cfvo type="percentile" val="50"/>
        <cfvo type="max"/>
        <color rgb="FFF8696B"/>
        <color rgb="FFFFEB84"/>
        <color rgb="FF63BE7B"/>
      </colorScale>
    </cfRule>
  </conditionalFormatting>
  <conditionalFormatting sqref="D5697">
    <cfRule type="colorScale" priority="3529">
      <colorScale>
        <cfvo type="min"/>
        <cfvo type="percentile" val="50"/>
        <cfvo type="max"/>
        <color rgb="FFF8696B"/>
        <color rgb="FFFFEB84"/>
        <color rgb="FF63BE7B"/>
      </colorScale>
    </cfRule>
  </conditionalFormatting>
  <conditionalFormatting sqref="D5701">
    <cfRule type="colorScale" priority="3534">
      <colorScale>
        <cfvo type="min"/>
        <cfvo type="percentile" val="50"/>
        <cfvo type="max"/>
        <color rgb="FFF8696B"/>
        <color rgb="FFFFEB84"/>
        <color rgb="FF63BE7B"/>
      </colorScale>
    </cfRule>
  </conditionalFormatting>
  <conditionalFormatting sqref="D5705">
    <cfRule type="colorScale" priority="3539">
      <colorScale>
        <cfvo type="min"/>
        <cfvo type="percentile" val="50"/>
        <cfvo type="max"/>
        <color rgb="FFF8696B"/>
        <color rgb="FFFFEB84"/>
        <color rgb="FF63BE7B"/>
      </colorScale>
    </cfRule>
  </conditionalFormatting>
  <conditionalFormatting sqref="D5709">
    <cfRule type="colorScale" priority="3545">
      <colorScale>
        <cfvo type="min"/>
        <cfvo type="percentile" val="50"/>
        <cfvo type="max"/>
        <color rgb="FFF8696B"/>
        <color rgb="FFFFEB84"/>
        <color rgb="FF63BE7B"/>
      </colorScale>
    </cfRule>
  </conditionalFormatting>
  <conditionalFormatting sqref="D5713:D5714">
    <cfRule type="colorScale" priority="3549">
      <colorScale>
        <cfvo type="min"/>
        <cfvo type="percentile" val="50"/>
        <cfvo type="max"/>
        <color rgb="FFF8696B"/>
        <color rgb="FFFFEB84"/>
        <color rgb="FF63BE7B"/>
      </colorScale>
    </cfRule>
  </conditionalFormatting>
  <conditionalFormatting sqref="D5722:D5723">
    <cfRule type="colorScale" priority="3559">
      <colorScale>
        <cfvo type="min"/>
        <cfvo type="percentile" val="50"/>
        <cfvo type="max"/>
        <color rgb="FFF8696B"/>
        <color rgb="FFFFEB84"/>
        <color rgb="FF63BE7B"/>
      </colorScale>
    </cfRule>
  </conditionalFormatting>
  <conditionalFormatting sqref="D5727:D5728">
    <cfRule type="colorScale" priority="3564">
      <colorScale>
        <cfvo type="min"/>
        <cfvo type="percentile" val="50"/>
        <cfvo type="max"/>
        <color rgb="FFF8696B"/>
        <color rgb="FFFFEB84"/>
        <color rgb="FF63BE7B"/>
      </colorScale>
    </cfRule>
  </conditionalFormatting>
  <conditionalFormatting sqref="D5732:D5733">
    <cfRule type="colorScale" priority="3569">
      <colorScale>
        <cfvo type="min"/>
        <cfvo type="percentile" val="50"/>
        <cfvo type="max"/>
        <color rgb="FFF8696B"/>
        <color rgb="FFFFEB84"/>
        <color rgb="FF63BE7B"/>
      </colorScale>
    </cfRule>
  </conditionalFormatting>
  <conditionalFormatting sqref="D5737:D5738">
    <cfRule type="colorScale" priority="3574">
      <colorScale>
        <cfvo type="min"/>
        <cfvo type="percentile" val="50"/>
        <cfvo type="max"/>
        <color rgb="FFF8696B"/>
        <color rgb="FFFFEB84"/>
        <color rgb="FF63BE7B"/>
      </colorScale>
    </cfRule>
  </conditionalFormatting>
  <conditionalFormatting sqref="D5742:D5743">
    <cfRule type="colorScale" priority="3579">
      <colorScale>
        <cfvo type="min"/>
        <cfvo type="percentile" val="50"/>
        <cfvo type="max"/>
        <color rgb="FFF8696B"/>
        <color rgb="FFFFEB84"/>
        <color rgb="FF63BE7B"/>
      </colorScale>
    </cfRule>
  </conditionalFormatting>
  <conditionalFormatting sqref="D5747:D5748">
    <cfRule type="colorScale" priority="3584">
      <colorScale>
        <cfvo type="min"/>
        <cfvo type="percentile" val="50"/>
        <cfvo type="max"/>
        <color rgb="FFF8696B"/>
        <color rgb="FFFFEB84"/>
        <color rgb="FF63BE7B"/>
      </colorScale>
    </cfRule>
  </conditionalFormatting>
  <conditionalFormatting sqref="D5752:D5753">
    <cfRule type="colorScale" priority="3589">
      <colorScale>
        <cfvo type="min"/>
        <cfvo type="percentile" val="50"/>
        <cfvo type="max"/>
        <color rgb="FFF8696B"/>
        <color rgb="FFFFEB84"/>
        <color rgb="FF63BE7B"/>
      </colorScale>
    </cfRule>
  </conditionalFormatting>
  <conditionalFormatting sqref="D5757:D5758">
    <cfRule type="colorScale" priority="3594">
      <colorScale>
        <cfvo type="min"/>
        <cfvo type="percentile" val="50"/>
        <cfvo type="max"/>
        <color rgb="FFF8696B"/>
        <color rgb="FFFFEB84"/>
        <color rgb="FF63BE7B"/>
      </colorScale>
    </cfRule>
  </conditionalFormatting>
  <conditionalFormatting sqref="D5762">
    <cfRule type="colorScale" priority="3599">
      <colorScale>
        <cfvo type="min"/>
        <cfvo type="percentile" val="50"/>
        <cfvo type="max"/>
        <color rgb="FFF8696B"/>
        <color rgb="FFFFEB84"/>
        <color rgb="FF63BE7B"/>
      </colorScale>
    </cfRule>
  </conditionalFormatting>
  <conditionalFormatting sqref="D5766:D5767">
    <cfRule type="colorScale" priority="3604">
      <colorScale>
        <cfvo type="min"/>
        <cfvo type="percentile" val="50"/>
        <cfvo type="max"/>
        <color rgb="FFF8696B"/>
        <color rgb="FFFFEB84"/>
        <color rgb="FF63BE7B"/>
      </colorScale>
    </cfRule>
  </conditionalFormatting>
  <conditionalFormatting sqref="D5771:D5772">
    <cfRule type="colorScale" priority="3609">
      <colorScale>
        <cfvo type="min"/>
        <cfvo type="percentile" val="50"/>
        <cfvo type="max"/>
        <color rgb="FFF8696B"/>
        <color rgb="FFFFEB84"/>
        <color rgb="FF63BE7B"/>
      </colorScale>
    </cfRule>
  </conditionalFormatting>
  <conditionalFormatting sqref="D5776:D5779">
    <cfRule type="colorScale" priority="3614">
      <colorScale>
        <cfvo type="min"/>
        <cfvo type="percentile" val="50"/>
        <cfvo type="max"/>
        <color rgb="FFF8696B"/>
        <color rgb="FFFFEB84"/>
        <color rgb="FF63BE7B"/>
      </colorScale>
    </cfRule>
  </conditionalFormatting>
  <conditionalFormatting sqref="D5783">
    <cfRule type="colorScale" priority="3620">
      <colorScale>
        <cfvo type="min"/>
        <cfvo type="percentile" val="50"/>
        <cfvo type="max"/>
        <color rgb="FFF8696B"/>
        <color rgb="FFFFEB84"/>
        <color rgb="FF63BE7B"/>
      </colorScale>
    </cfRule>
  </conditionalFormatting>
  <conditionalFormatting sqref="D5787:D5788">
    <cfRule type="colorScale" priority="3624">
      <colorScale>
        <cfvo type="min"/>
        <cfvo type="percentile" val="50"/>
        <cfvo type="max"/>
        <color rgb="FFF8696B"/>
        <color rgb="FFFFEB84"/>
        <color rgb="FF63BE7B"/>
      </colorScale>
    </cfRule>
  </conditionalFormatting>
  <conditionalFormatting sqref="D5796">
    <cfRule type="colorScale" priority="3634">
      <colorScale>
        <cfvo type="min"/>
        <cfvo type="percentile" val="50"/>
        <cfvo type="max"/>
        <color rgb="FFF8696B"/>
        <color rgb="FFFFEB84"/>
        <color rgb="FF63BE7B"/>
      </colorScale>
    </cfRule>
  </conditionalFormatting>
  <conditionalFormatting sqref="D5800">
    <cfRule type="colorScale" priority="3639">
      <colorScale>
        <cfvo type="min"/>
        <cfvo type="percentile" val="50"/>
        <cfvo type="max"/>
        <color rgb="FFF8696B"/>
        <color rgb="FFFFEB84"/>
        <color rgb="FF63BE7B"/>
      </colorScale>
    </cfRule>
  </conditionalFormatting>
  <conditionalFormatting sqref="D5804:D5805">
    <cfRule type="colorScale" priority="3644">
      <colorScale>
        <cfvo type="min"/>
        <cfvo type="percentile" val="50"/>
        <cfvo type="max"/>
        <color rgb="FFF8696B"/>
        <color rgb="FFFFEB84"/>
        <color rgb="FF63BE7B"/>
      </colorScale>
    </cfRule>
  </conditionalFormatting>
  <conditionalFormatting sqref="D5809">
    <cfRule type="colorScale" priority="3649">
      <colorScale>
        <cfvo type="min"/>
        <cfvo type="percentile" val="50"/>
        <cfvo type="max"/>
        <color rgb="FFF8696B"/>
        <color rgb="FFFFEB84"/>
        <color rgb="FF63BE7B"/>
      </colorScale>
    </cfRule>
  </conditionalFormatting>
  <conditionalFormatting sqref="D5813:D5814">
    <cfRule type="colorScale" priority="3654">
      <colorScale>
        <cfvo type="min"/>
        <cfvo type="percentile" val="50"/>
        <cfvo type="max"/>
        <color rgb="FFF8696B"/>
        <color rgb="FFFFEB84"/>
        <color rgb="FF63BE7B"/>
      </colorScale>
    </cfRule>
  </conditionalFormatting>
  <conditionalFormatting sqref="D5818">
    <cfRule type="colorScale" priority="3659">
      <colorScale>
        <cfvo type="min"/>
        <cfvo type="percentile" val="50"/>
        <cfvo type="max"/>
        <color rgb="FFF8696B"/>
        <color rgb="FFFFEB84"/>
        <color rgb="FF63BE7B"/>
      </colorScale>
    </cfRule>
  </conditionalFormatting>
  <conditionalFormatting sqref="D5822:D5823">
    <cfRule type="colorScale" priority="3664">
      <colorScale>
        <cfvo type="min"/>
        <cfvo type="percentile" val="50"/>
        <cfvo type="max"/>
        <color rgb="FFF8696B"/>
        <color rgb="FFFFEB84"/>
        <color rgb="FF63BE7B"/>
      </colorScale>
    </cfRule>
  </conditionalFormatting>
  <conditionalFormatting sqref="D5827">
    <cfRule type="colorScale" priority="3669">
      <colorScale>
        <cfvo type="min"/>
        <cfvo type="percentile" val="50"/>
        <cfvo type="max"/>
        <color rgb="FFF8696B"/>
        <color rgb="FFFFEB84"/>
        <color rgb="FF63BE7B"/>
      </colorScale>
    </cfRule>
  </conditionalFormatting>
  <conditionalFormatting sqref="D5831">
    <cfRule type="colorScale" priority="3674">
      <colorScale>
        <cfvo type="min"/>
        <cfvo type="percentile" val="50"/>
        <cfvo type="max"/>
        <color rgb="FFF8696B"/>
        <color rgb="FFFFEB84"/>
        <color rgb="FF63BE7B"/>
      </colorScale>
    </cfRule>
  </conditionalFormatting>
  <conditionalFormatting sqref="D5835:D5836">
    <cfRule type="colorScale" priority="3679">
      <colorScale>
        <cfvo type="min"/>
        <cfvo type="percentile" val="50"/>
        <cfvo type="max"/>
        <color rgb="FFF8696B"/>
        <color rgb="FFFFEB84"/>
        <color rgb="FF63BE7B"/>
      </colorScale>
    </cfRule>
  </conditionalFormatting>
  <conditionalFormatting sqref="D5840:D5841">
    <cfRule type="colorScale" priority="3684">
      <colorScale>
        <cfvo type="min"/>
        <cfvo type="percentile" val="50"/>
        <cfvo type="max"/>
        <color rgb="FFF8696B"/>
        <color rgb="FFFFEB84"/>
        <color rgb="FF63BE7B"/>
      </colorScale>
    </cfRule>
  </conditionalFormatting>
  <conditionalFormatting sqref="D5845:D5847">
    <cfRule type="colorScale" priority="3689">
      <colorScale>
        <cfvo type="min"/>
        <cfvo type="percentile" val="50"/>
        <cfvo type="max"/>
        <color rgb="FFF8696B"/>
        <color rgb="FFFFEB84"/>
        <color rgb="FF63BE7B"/>
      </colorScale>
    </cfRule>
  </conditionalFormatting>
  <conditionalFormatting sqref="D5851">
    <cfRule type="colorScale" priority="3695">
      <colorScale>
        <cfvo type="min"/>
        <cfvo type="percentile" val="50"/>
        <cfvo type="max"/>
        <color rgb="FFF8696B"/>
        <color rgb="FFFFEB84"/>
        <color rgb="FF63BE7B"/>
      </colorScale>
    </cfRule>
  </conditionalFormatting>
  <conditionalFormatting sqref="D5855:D5856">
    <cfRule type="colorScale" priority="3699">
      <colorScale>
        <cfvo type="min"/>
        <cfvo type="percentile" val="50"/>
        <cfvo type="max"/>
        <color rgb="FFF8696B"/>
        <color rgb="FFFFEB84"/>
        <color rgb="FF63BE7B"/>
      </colorScale>
    </cfRule>
  </conditionalFormatting>
  <conditionalFormatting sqref="D5864:D5865">
    <cfRule type="colorScale" priority="3709">
      <colorScale>
        <cfvo type="min"/>
        <cfvo type="percentile" val="50"/>
        <cfvo type="max"/>
        <color rgb="FFF8696B"/>
        <color rgb="FFFFEB84"/>
        <color rgb="FF63BE7B"/>
      </colorScale>
    </cfRule>
  </conditionalFormatting>
  <conditionalFormatting sqref="D5869">
    <cfRule type="colorScale" priority="3714">
      <colorScale>
        <cfvo type="min"/>
        <cfvo type="percentile" val="50"/>
        <cfvo type="max"/>
        <color rgb="FFF8696B"/>
        <color rgb="FFFFEB84"/>
        <color rgb="FF63BE7B"/>
      </colorScale>
    </cfRule>
  </conditionalFormatting>
  <conditionalFormatting sqref="D5873:D5874">
    <cfRule type="colorScale" priority="3719">
      <colorScale>
        <cfvo type="min"/>
        <cfvo type="percentile" val="50"/>
        <cfvo type="max"/>
        <color rgb="FFF8696B"/>
        <color rgb="FFFFEB84"/>
        <color rgb="FF63BE7B"/>
      </colorScale>
    </cfRule>
  </conditionalFormatting>
  <conditionalFormatting sqref="D5878:D5879">
    <cfRule type="colorScale" priority="3724">
      <colorScale>
        <cfvo type="min"/>
        <cfvo type="percentile" val="50"/>
        <cfvo type="max"/>
        <color rgb="FFF8696B"/>
        <color rgb="FFFFEB84"/>
        <color rgb="FF63BE7B"/>
      </colorScale>
    </cfRule>
  </conditionalFormatting>
  <conditionalFormatting sqref="D5883:D5884">
    <cfRule type="colorScale" priority="3729">
      <colorScale>
        <cfvo type="min"/>
        <cfvo type="percentile" val="50"/>
        <cfvo type="max"/>
        <color rgb="FFF8696B"/>
        <color rgb="FFFFEB84"/>
        <color rgb="FF63BE7B"/>
      </colorScale>
    </cfRule>
  </conditionalFormatting>
  <conditionalFormatting sqref="D5888:D5889">
    <cfRule type="colorScale" priority="3734">
      <colorScale>
        <cfvo type="min"/>
        <cfvo type="percentile" val="50"/>
        <cfvo type="max"/>
        <color rgb="FFF8696B"/>
        <color rgb="FFFFEB84"/>
        <color rgb="FF63BE7B"/>
      </colorScale>
    </cfRule>
  </conditionalFormatting>
  <conditionalFormatting sqref="D5893:D5894">
    <cfRule type="colorScale" priority="3739">
      <colorScale>
        <cfvo type="min"/>
        <cfvo type="percentile" val="50"/>
        <cfvo type="max"/>
        <color rgb="FFF8696B"/>
        <color rgb="FFFFEB84"/>
        <color rgb="FF63BE7B"/>
      </colorScale>
    </cfRule>
  </conditionalFormatting>
  <conditionalFormatting sqref="D5898:D5899">
    <cfRule type="colorScale" priority="3744">
      <colorScale>
        <cfvo type="min"/>
        <cfvo type="percentile" val="50"/>
        <cfvo type="max"/>
        <color rgb="FFF8696B"/>
        <color rgb="FFFFEB84"/>
        <color rgb="FF63BE7B"/>
      </colorScale>
    </cfRule>
  </conditionalFormatting>
  <conditionalFormatting sqref="D5903">
    <cfRule type="colorScale" priority="3749">
      <colorScale>
        <cfvo type="min"/>
        <cfvo type="percentile" val="50"/>
        <cfvo type="max"/>
        <color rgb="FFF8696B"/>
        <color rgb="FFFFEB84"/>
        <color rgb="FF63BE7B"/>
      </colorScale>
    </cfRule>
  </conditionalFormatting>
  <conditionalFormatting sqref="D5907:D5908">
    <cfRule type="colorScale" priority="3754">
      <colorScale>
        <cfvo type="min"/>
        <cfvo type="percentile" val="50"/>
        <cfvo type="max"/>
        <color rgb="FFF8696B"/>
        <color rgb="FFFFEB84"/>
        <color rgb="FF63BE7B"/>
      </colorScale>
    </cfRule>
  </conditionalFormatting>
  <conditionalFormatting sqref="D5912:D5913">
    <cfRule type="colorScale" priority="3759">
      <colorScale>
        <cfvo type="min"/>
        <cfvo type="percentile" val="50"/>
        <cfvo type="max"/>
        <color rgb="FFF8696B"/>
        <color rgb="FFFFEB84"/>
        <color rgb="FF63BE7B"/>
      </colorScale>
    </cfRule>
  </conditionalFormatting>
  <conditionalFormatting sqref="D5917:D5920">
    <cfRule type="colorScale" priority="3764">
      <colorScale>
        <cfvo type="min"/>
        <cfvo type="percentile" val="50"/>
        <cfvo type="max"/>
        <color rgb="FFF8696B"/>
        <color rgb="FFFFEB84"/>
        <color rgb="FF63BE7B"/>
      </colorScale>
    </cfRule>
  </conditionalFormatting>
  <conditionalFormatting sqref="D5924">
    <cfRule type="colorScale" priority="3770">
      <colorScale>
        <cfvo type="min"/>
        <cfvo type="percentile" val="50"/>
        <cfvo type="max"/>
        <color rgb="FFF8696B"/>
        <color rgb="FFFFEB84"/>
        <color rgb="FF63BE7B"/>
      </colorScale>
    </cfRule>
  </conditionalFormatting>
  <conditionalFormatting sqref="D5928">
    <cfRule type="colorScale" priority="3774">
      <colorScale>
        <cfvo type="min"/>
        <cfvo type="percentile" val="50"/>
        <cfvo type="max"/>
        <color rgb="FFF8696B"/>
        <color rgb="FFFFEB84"/>
        <color rgb="FF63BE7B"/>
      </colorScale>
    </cfRule>
  </conditionalFormatting>
  <conditionalFormatting sqref="D5936">
    <cfRule type="colorScale" priority="3784">
      <colorScale>
        <cfvo type="min"/>
        <cfvo type="percentile" val="50"/>
        <cfvo type="max"/>
        <color rgb="FFF8696B"/>
        <color rgb="FFFFEB84"/>
        <color rgb="FF63BE7B"/>
      </colorScale>
    </cfRule>
  </conditionalFormatting>
  <conditionalFormatting sqref="D5940">
    <cfRule type="colorScale" priority="3789">
      <colorScale>
        <cfvo type="min"/>
        <cfvo type="percentile" val="50"/>
        <cfvo type="max"/>
        <color rgb="FFF8696B"/>
        <color rgb="FFFFEB84"/>
        <color rgb="FF63BE7B"/>
      </colorScale>
    </cfRule>
  </conditionalFormatting>
  <conditionalFormatting sqref="D5944">
    <cfRule type="colorScale" priority="3794">
      <colorScale>
        <cfvo type="min"/>
        <cfvo type="percentile" val="50"/>
        <cfvo type="max"/>
        <color rgb="FFF8696B"/>
        <color rgb="FFFFEB84"/>
        <color rgb="FF63BE7B"/>
      </colorScale>
    </cfRule>
  </conditionalFormatting>
  <conditionalFormatting sqref="D5948:D5949">
    <cfRule type="colorScale" priority="3799">
      <colorScale>
        <cfvo type="min"/>
        <cfvo type="percentile" val="50"/>
        <cfvo type="max"/>
        <color rgb="FFF8696B"/>
        <color rgb="FFFFEB84"/>
        <color rgb="FF63BE7B"/>
      </colorScale>
    </cfRule>
  </conditionalFormatting>
  <conditionalFormatting sqref="D5953:D5954">
    <cfRule type="colorScale" priority="3804">
      <colorScale>
        <cfvo type="min"/>
        <cfvo type="percentile" val="50"/>
        <cfvo type="max"/>
        <color rgb="FFF8696B"/>
        <color rgb="FFFFEB84"/>
        <color rgb="FF63BE7B"/>
      </colorScale>
    </cfRule>
  </conditionalFormatting>
  <conditionalFormatting sqref="D5958:D5959">
    <cfRule type="colorScale" priority="3809">
      <colorScale>
        <cfvo type="min"/>
        <cfvo type="percentile" val="50"/>
        <cfvo type="max"/>
        <color rgb="FFF8696B"/>
        <color rgb="FFFFEB84"/>
        <color rgb="FF63BE7B"/>
      </colorScale>
    </cfRule>
  </conditionalFormatting>
  <conditionalFormatting sqref="D5963:D5964">
    <cfRule type="colorScale" priority="3814">
      <colorScale>
        <cfvo type="min"/>
        <cfvo type="percentile" val="50"/>
        <cfvo type="max"/>
        <color rgb="FFF8696B"/>
        <color rgb="FFFFEB84"/>
        <color rgb="FF63BE7B"/>
      </colorScale>
    </cfRule>
  </conditionalFormatting>
  <conditionalFormatting sqref="D5968:D5969">
    <cfRule type="colorScale" priority="3819">
      <colorScale>
        <cfvo type="min"/>
        <cfvo type="percentile" val="50"/>
        <cfvo type="max"/>
        <color rgb="FFF8696B"/>
        <color rgb="FFFFEB84"/>
        <color rgb="FF63BE7B"/>
      </colorScale>
    </cfRule>
  </conditionalFormatting>
  <conditionalFormatting sqref="D5973">
    <cfRule type="colorScale" priority="3824">
      <colorScale>
        <cfvo type="min"/>
        <cfvo type="percentile" val="50"/>
        <cfvo type="max"/>
        <color rgb="FFF8696B"/>
        <color rgb="FFFFEB84"/>
        <color rgb="FF63BE7B"/>
      </colorScale>
    </cfRule>
  </conditionalFormatting>
  <conditionalFormatting sqref="D5977:D5978">
    <cfRule type="colorScale" priority="3829">
      <colorScale>
        <cfvo type="min"/>
        <cfvo type="percentile" val="50"/>
        <cfvo type="max"/>
        <color rgb="FFF8696B"/>
        <color rgb="FFFFEB84"/>
        <color rgb="FF63BE7B"/>
      </colorScale>
    </cfRule>
  </conditionalFormatting>
  <conditionalFormatting sqref="D5982:D5983">
    <cfRule type="colorScale" priority="3834">
      <colorScale>
        <cfvo type="min"/>
        <cfvo type="percentile" val="50"/>
        <cfvo type="max"/>
        <color rgb="FFF8696B"/>
        <color rgb="FFFFEB84"/>
        <color rgb="FF63BE7B"/>
      </colorScale>
    </cfRule>
  </conditionalFormatting>
  <conditionalFormatting sqref="D5987:D5990">
    <cfRule type="colorScale" priority="3839">
      <colorScale>
        <cfvo type="min"/>
        <cfvo type="percentile" val="50"/>
        <cfvo type="max"/>
        <color rgb="FFF8696B"/>
        <color rgb="FFFFEB84"/>
        <color rgb="FF63BE7B"/>
      </colorScale>
    </cfRule>
  </conditionalFormatting>
  <conditionalFormatting sqref="D5994">
    <cfRule type="colorScale" priority="3845">
      <colorScale>
        <cfvo type="min"/>
        <cfvo type="percentile" val="50"/>
        <cfvo type="max"/>
        <color rgb="FFF8696B"/>
        <color rgb="FFFFEB84"/>
        <color rgb="FF63BE7B"/>
      </colorScale>
    </cfRule>
  </conditionalFormatting>
  <conditionalFormatting sqref="D5998">
    <cfRule type="colorScale" priority="3849">
      <colorScale>
        <cfvo type="min"/>
        <cfvo type="percentile" val="50"/>
        <cfvo type="max"/>
        <color rgb="FFF8696B"/>
        <color rgb="FFFFEB84"/>
        <color rgb="FF63BE7B"/>
      </colorScale>
    </cfRule>
  </conditionalFormatting>
  <conditionalFormatting sqref="D6006">
    <cfRule type="colorScale" priority="3859">
      <colorScale>
        <cfvo type="min"/>
        <cfvo type="percentile" val="50"/>
        <cfvo type="max"/>
        <color rgb="FFF8696B"/>
        <color rgb="FFFFEB84"/>
        <color rgb="FF63BE7B"/>
      </colorScale>
    </cfRule>
  </conditionalFormatting>
  <conditionalFormatting sqref="D6010">
    <cfRule type="colorScale" priority="3864">
      <colorScale>
        <cfvo type="min"/>
        <cfvo type="percentile" val="50"/>
        <cfvo type="max"/>
        <color rgb="FFF8696B"/>
        <color rgb="FFFFEB84"/>
        <color rgb="FF63BE7B"/>
      </colorScale>
    </cfRule>
  </conditionalFormatting>
  <conditionalFormatting sqref="D6014">
    <cfRule type="colorScale" priority="3869">
      <colorScale>
        <cfvo type="min"/>
        <cfvo type="percentile" val="50"/>
        <cfvo type="max"/>
        <color rgb="FFF8696B"/>
        <color rgb="FFFFEB84"/>
        <color rgb="FF63BE7B"/>
      </colorScale>
    </cfRule>
  </conditionalFormatting>
  <conditionalFormatting sqref="D6018">
    <cfRule type="colorScale" priority="3874">
      <colorScale>
        <cfvo type="min"/>
        <cfvo type="percentile" val="50"/>
        <cfvo type="max"/>
        <color rgb="FFF8696B"/>
        <color rgb="FFFFEB84"/>
        <color rgb="FF63BE7B"/>
      </colorScale>
    </cfRule>
  </conditionalFormatting>
  <conditionalFormatting sqref="D6022:D6023">
    <cfRule type="colorScale" priority="3879">
      <colorScale>
        <cfvo type="min"/>
        <cfvo type="percentile" val="50"/>
        <cfvo type="max"/>
        <color rgb="FFF8696B"/>
        <color rgb="FFFFEB84"/>
        <color rgb="FF63BE7B"/>
      </colorScale>
    </cfRule>
  </conditionalFormatting>
  <conditionalFormatting sqref="D6027">
    <cfRule type="colorScale" priority="3884">
      <colorScale>
        <cfvo type="min"/>
        <cfvo type="percentile" val="50"/>
        <cfvo type="max"/>
        <color rgb="FFF8696B"/>
        <color rgb="FFFFEB84"/>
        <color rgb="FF63BE7B"/>
      </colorScale>
    </cfRule>
  </conditionalFormatting>
  <conditionalFormatting sqref="D6031:D6032">
    <cfRule type="colorScale" priority="3889">
      <colorScale>
        <cfvo type="min"/>
        <cfvo type="percentile" val="50"/>
        <cfvo type="max"/>
        <color rgb="FFF8696B"/>
        <color rgb="FFFFEB84"/>
        <color rgb="FF63BE7B"/>
      </colorScale>
    </cfRule>
  </conditionalFormatting>
  <conditionalFormatting sqref="D6036">
    <cfRule type="colorScale" priority="3894">
      <colorScale>
        <cfvo type="min"/>
        <cfvo type="percentile" val="50"/>
        <cfvo type="max"/>
        <color rgb="FFF8696B"/>
        <color rgb="FFFFEB84"/>
        <color rgb="FF63BE7B"/>
      </colorScale>
    </cfRule>
  </conditionalFormatting>
  <conditionalFormatting sqref="D6040">
    <cfRule type="colorScale" priority="3899">
      <colorScale>
        <cfvo type="min"/>
        <cfvo type="percentile" val="50"/>
        <cfvo type="max"/>
        <color rgb="FFF8696B"/>
        <color rgb="FFFFEB84"/>
        <color rgb="FF63BE7B"/>
      </colorScale>
    </cfRule>
  </conditionalFormatting>
  <conditionalFormatting sqref="D6044:D6045">
    <cfRule type="colorScale" priority="3904">
      <colorScale>
        <cfvo type="min"/>
        <cfvo type="percentile" val="50"/>
        <cfvo type="max"/>
        <color rgb="FFF8696B"/>
        <color rgb="FFFFEB84"/>
        <color rgb="FF63BE7B"/>
      </colorScale>
    </cfRule>
  </conditionalFormatting>
  <conditionalFormatting sqref="D6049:D6050">
    <cfRule type="colorScale" priority="3909">
      <colorScale>
        <cfvo type="min"/>
        <cfvo type="percentile" val="50"/>
        <cfvo type="max"/>
        <color rgb="FFF8696B"/>
        <color rgb="FFFFEB84"/>
        <color rgb="FF63BE7B"/>
      </colorScale>
    </cfRule>
  </conditionalFormatting>
  <conditionalFormatting sqref="D6054:D6056">
    <cfRule type="colorScale" priority="3914">
      <colorScale>
        <cfvo type="min"/>
        <cfvo type="percentile" val="50"/>
        <cfvo type="max"/>
        <color rgb="FFF8696B"/>
        <color rgb="FFFFEB84"/>
        <color rgb="FF63BE7B"/>
      </colorScale>
    </cfRule>
  </conditionalFormatting>
  <conditionalFormatting sqref="D6060">
    <cfRule type="colorScale" priority="3920">
      <colorScale>
        <cfvo type="min"/>
        <cfvo type="percentile" val="50"/>
        <cfvo type="max"/>
        <color rgb="FFF8696B"/>
        <color rgb="FFFFEB84"/>
        <color rgb="FF63BE7B"/>
      </colorScale>
    </cfRule>
  </conditionalFormatting>
  <conditionalFormatting sqref="D6064:D6065">
    <cfRule type="colorScale" priority="3924">
      <colorScale>
        <cfvo type="min"/>
        <cfvo type="percentile" val="50"/>
        <cfvo type="max"/>
        <color rgb="FFF8696B"/>
        <color rgb="FFFFEB84"/>
        <color rgb="FF63BE7B"/>
      </colorScale>
    </cfRule>
  </conditionalFormatting>
  <conditionalFormatting sqref="D6073:D6074">
    <cfRule type="colorScale" priority="3934">
      <colorScale>
        <cfvo type="min"/>
        <cfvo type="percentile" val="50"/>
        <cfvo type="max"/>
        <color rgb="FFF8696B"/>
        <color rgb="FFFFEB84"/>
        <color rgb="FF63BE7B"/>
      </colorScale>
    </cfRule>
  </conditionalFormatting>
  <conditionalFormatting sqref="D6078">
    <cfRule type="colorScale" priority="3939">
      <colorScale>
        <cfvo type="min"/>
        <cfvo type="percentile" val="50"/>
        <cfvo type="max"/>
        <color rgb="FFF8696B"/>
        <color rgb="FFFFEB84"/>
        <color rgb="FF63BE7B"/>
      </colorScale>
    </cfRule>
  </conditionalFormatting>
  <conditionalFormatting sqref="D6082:D6083">
    <cfRule type="colorScale" priority="3944">
      <colorScale>
        <cfvo type="min"/>
        <cfvo type="percentile" val="50"/>
        <cfvo type="max"/>
        <color rgb="FFF8696B"/>
        <color rgb="FFFFEB84"/>
        <color rgb="FF63BE7B"/>
      </colorScale>
    </cfRule>
  </conditionalFormatting>
  <conditionalFormatting sqref="D6087">
    <cfRule type="colorScale" priority="3949">
      <colorScale>
        <cfvo type="min"/>
        <cfvo type="percentile" val="50"/>
        <cfvo type="max"/>
        <color rgb="FFF8696B"/>
        <color rgb="FFFFEB84"/>
        <color rgb="FF63BE7B"/>
      </colorScale>
    </cfRule>
  </conditionalFormatting>
  <conditionalFormatting sqref="D6091:D6092">
    <cfRule type="colorScale" priority="3954">
      <colorScale>
        <cfvo type="min"/>
        <cfvo type="percentile" val="50"/>
        <cfvo type="max"/>
        <color rgb="FFF8696B"/>
        <color rgb="FFFFEB84"/>
        <color rgb="FF63BE7B"/>
      </colorScale>
    </cfRule>
  </conditionalFormatting>
  <conditionalFormatting sqref="D6096:D6097">
    <cfRule type="colorScale" priority="3959">
      <colorScale>
        <cfvo type="min"/>
        <cfvo type="percentile" val="50"/>
        <cfvo type="max"/>
        <color rgb="FFF8696B"/>
        <color rgb="FFFFEB84"/>
        <color rgb="FF63BE7B"/>
      </colorScale>
    </cfRule>
  </conditionalFormatting>
  <conditionalFormatting sqref="D6101:D6102">
    <cfRule type="colorScale" priority="3964">
      <colorScale>
        <cfvo type="min"/>
        <cfvo type="percentile" val="50"/>
        <cfvo type="max"/>
        <color rgb="FFF8696B"/>
        <color rgb="FFFFEB84"/>
        <color rgb="FF63BE7B"/>
      </colorScale>
    </cfRule>
  </conditionalFormatting>
  <conditionalFormatting sqref="D6106">
    <cfRule type="colorScale" priority="3969">
      <colorScale>
        <cfvo type="min"/>
        <cfvo type="percentile" val="50"/>
        <cfvo type="max"/>
        <color rgb="FFF8696B"/>
        <color rgb="FFFFEB84"/>
        <color rgb="FF63BE7B"/>
      </colorScale>
    </cfRule>
  </conditionalFormatting>
  <conditionalFormatting sqref="D6110">
    <cfRule type="colorScale" priority="3974">
      <colorScale>
        <cfvo type="min"/>
        <cfvo type="percentile" val="50"/>
        <cfvo type="max"/>
        <color rgb="FFF8696B"/>
        <color rgb="FFFFEB84"/>
        <color rgb="FF63BE7B"/>
      </colorScale>
    </cfRule>
  </conditionalFormatting>
  <conditionalFormatting sqref="D6114:D6115">
    <cfRule type="colorScale" priority="3979">
      <colorScale>
        <cfvo type="min"/>
        <cfvo type="percentile" val="50"/>
        <cfvo type="max"/>
        <color rgb="FFF8696B"/>
        <color rgb="FFFFEB84"/>
        <color rgb="FF63BE7B"/>
      </colorScale>
    </cfRule>
  </conditionalFormatting>
  <conditionalFormatting sqref="D6119:D6120">
    <cfRule type="colorScale" priority="3984">
      <colorScale>
        <cfvo type="min"/>
        <cfvo type="percentile" val="50"/>
        <cfvo type="max"/>
        <color rgb="FFF8696B"/>
        <color rgb="FFFFEB84"/>
        <color rgb="FF63BE7B"/>
      </colorScale>
    </cfRule>
  </conditionalFormatting>
  <conditionalFormatting sqref="D6124:D6127">
    <cfRule type="colorScale" priority="3989">
      <colorScale>
        <cfvo type="min"/>
        <cfvo type="percentile" val="50"/>
        <cfvo type="max"/>
        <color rgb="FFF8696B"/>
        <color rgb="FFFFEB84"/>
        <color rgb="FF63BE7B"/>
      </colorScale>
    </cfRule>
  </conditionalFormatting>
  <conditionalFormatting sqref="D6131">
    <cfRule type="colorScale" priority="3995">
      <colorScale>
        <cfvo type="min"/>
        <cfvo type="percentile" val="50"/>
        <cfvo type="max"/>
        <color rgb="FFF8696B"/>
        <color rgb="FFFFEB84"/>
        <color rgb="FF63BE7B"/>
      </colorScale>
    </cfRule>
  </conditionalFormatting>
  <conditionalFormatting sqref="D6135:D6136">
    <cfRule type="colorScale" priority="3999">
      <colorScale>
        <cfvo type="min"/>
        <cfvo type="percentile" val="50"/>
        <cfvo type="max"/>
        <color rgb="FFF8696B"/>
        <color rgb="FFFFEB84"/>
        <color rgb="FF63BE7B"/>
      </colorScale>
    </cfRule>
  </conditionalFormatting>
  <conditionalFormatting sqref="D6144:D6145">
    <cfRule type="colorScale" priority="4009">
      <colorScale>
        <cfvo type="min"/>
        <cfvo type="percentile" val="50"/>
        <cfvo type="max"/>
        <color rgb="FFF8696B"/>
        <color rgb="FFFFEB84"/>
        <color rgb="FF63BE7B"/>
      </colorScale>
    </cfRule>
  </conditionalFormatting>
  <conditionalFormatting sqref="D6149">
    <cfRule type="colorScale" priority="4014">
      <colorScale>
        <cfvo type="min"/>
        <cfvo type="percentile" val="50"/>
        <cfvo type="max"/>
        <color rgb="FFF8696B"/>
        <color rgb="FFFFEB84"/>
        <color rgb="FF63BE7B"/>
      </colorScale>
    </cfRule>
  </conditionalFormatting>
  <conditionalFormatting sqref="D6153:D6154">
    <cfRule type="colorScale" priority="4019">
      <colorScale>
        <cfvo type="min"/>
        <cfvo type="percentile" val="50"/>
        <cfvo type="max"/>
        <color rgb="FFF8696B"/>
        <color rgb="FFFFEB84"/>
        <color rgb="FF63BE7B"/>
      </colorScale>
    </cfRule>
  </conditionalFormatting>
  <conditionalFormatting sqref="D6158:D6159">
    <cfRule type="colorScale" priority="4024">
      <colorScale>
        <cfvo type="min"/>
        <cfvo type="percentile" val="50"/>
        <cfvo type="max"/>
        <color rgb="FFF8696B"/>
        <color rgb="FFFFEB84"/>
        <color rgb="FF63BE7B"/>
      </colorScale>
    </cfRule>
  </conditionalFormatting>
  <conditionalFormatting sqref="D6163:D6164">
    <cfRule type="colorScale" priority="4029">
      <colorScale>
        <cfvo type="min"/>
        <cfvo type="percentile" val="50"/>
        <cfvo type="max"/>
        <color rgb="FFF8696B"/>
        <color rgb="FFFFEB84"/>
        <color rgb="FF63BE7B"/>
      </colorScale>
    </cfRule>
  </conditionalFormatting>
  <conditionalFormatting sqref="D6168:D6169">
    <cfRule type="colorScale" priority="4034">
      <colorScale>
        <cfvo type="min"/>
        <cfvo type="percentile" val="50"/>
        <cfvo type="max"/>
        <color rgb="FFF8696B"/>
        <color rgb="FFFFEB84"/>
        <color rgb="FF63BE7B"/>
      </colorScale>
    </cfRule>
  </conditionalFormatting>
  <conditionalFormatting sqref="D6173:D6174">
    <cfRule type="colorScale" priority="4039">
      <colorScale>
        <cfvo type="min"/>
        <cfvo type="percentile" val="50"/>
        <cfvo type="max"/>
        <color rgb="FFF8696B"/>
        <color rgb="FFFFEB84"/>
        <color rgb="FF63BE7B"/>
      </colorScale>
    </cfRule>
  </conditionalFormatting>
  <conditionalFormatting sqref="D6178:D6179">
    <cfRule type="colorScale" priority="4044">
      <colorScale>
        <cfvo type="min"/>
        <cfvo type="percentile" val="50"/>
        <cfvo type="max"/>
        <color rgb="FFF8696B"/>
        <color rgb="FFFFEB84"/>
        <color rgb="FF63BE7B"/>
      </colorScale>
    </cfRule>
  </conditionalFormatting>
  <conditionalFormatting sqref="D6183">
    <cfRule type="colorScale" priority="4049">
      <colorScale>
        <cfvo type="min"/>
        <cfvo type="percentile" val="50"/>
        <cfvo type="max"/>
        <color rgb="FFF8696B"/>
        <color rgb="FFFFEB84"/>
        <color rgb="FF63BE7B"/>
      </colorScale>
    </cfRule>
  </conditionalFormatting>
  <conditionalFormatting sqref="D6187:D6188">
    <cfRule type="colorScale" priority="4054">
      <colorScale>
        <cfvo type="min"/>
        <cfvo type="percentile" val="50"/>
        <cfvo type="max"/>
        <color rgb="FFF8696B"/>
        <color rgb="FFFFEB84"/>
        <color rgb="FF63BE7B"/>
      </colorScale>
    </cfRule>
  </conditionalFormatting>
  <conditionalFormatting sqref="D6192:D6193">
    <cfRule type="colorScale" priority="4059">
      <colorScale>
        <cfvo type="min"/>
        <cfvo type="percentile" val="50"/>
        <cfvo type="max"/>
        <color rgb="FFF8696B"/>
        <color rgb="FFFFEB84"/>
        <color rgb="FF63BE7B"/>
      </colorScale>
    </cfRule>
  </conditionalFormatting>
  <conditionalFormatting sqref="D6197:D6200">
    <cfRule type="colorScale" priority="4064">
      <colorScale>
        <cfvo type="min"/>
        <cfvo type="percentile" val="50"/>
        <cfvo type="max"/>
        <color rgb="FFF8696B"/>
        <color rgb="FFFFEB84"/>
        <color rgb="FF63BE7B"/>
      </colorScale>
    </cfRule>
  </conditionalFormatting>
  <conditionalFormatting sqref="D6204">
    <cfRule type="colorScale" priority="4070">
      <colorScale>
        <cfvo type="min"/>
        <cfvo type="percentile" val="50"/>
        <cfvo type="max"/>
        <color rgb="FFF8696B"/>
        <color rgb="FFFFEB84"/>
        <color rgb="FF63BE7B"/>
      </colorScale>
    </cfRule>
  </conditionalFormatting>
  <conditionalFormatting sqref="D6208">
    <cfRule type="colorScale" priority="4074">
      <colorScale>
        <cfvo type="min"/>
        <cfvo type="percentile" val="50"/>
        <cfvo type="max"/>
        <color rgb="FFF8696B"/>
        <color rgb="FFFFEB84"/>
        <color rgb="FF63BE7B"/>
      </colorScale>
    </cfRule>
  </conditionalFormatting>
  <conditionalFormatting sqref="D6216">
    <cfRule type="colorScale" priority="4084">
      <colorScale>
        <cfvo type="min"/>
        <cfvo type="percentile" val="50"/>
        <cfvo type="max"/>
        <color rgb="FFF8696B"/>
        <color rgb="FFFFEB84"/>
        <color rgb="FF63BE7B"/>
      </colorScale>
    </cfRule>
  </conditionalFormatting>
  <conditionalFormatting sqref="D6220">
    <cfRule type="colorScale" priority="4089">
      <colorScale>
        <cfvo type="min"/>
        <cfvo type="percentile" val="50"/>
        <cfvo type="max"/>
        <color rgb="FFF8696B"/>
        <color rgb="FFFFEB84"/>
        <color rgb="FF63BE7B"/>
      </colorScale>
    </cfRule>
  </conditionalFormatting>
  <conditionalFormatting sqref="D6224:D6225">
    <cfRule type="colorScale" priority="4094">
      <colorScale>
        <cfvo type="min"/>
        <cfvo type="percentile" val="50"/>
        <cfvo type="max"/>
        <color rgb="FFF8696B"/>
        <color rgb="FFFFEB84"/>
        <color rgb="FF63BE7B"/>
      </colorScale>
    </cfRule>
  </conditionalFormatting>
  <conditionalFormatting sqref="D6229">
    <cfRule type="colorScale" priority="4099">
      <colorScale>
        <cfvo type="min"/>
        <cfvo type="percentile" val="50"/>
        <cfvo type="max"/>
        <color rgb="FFF8696B"/>
        <color rgb="FFFFEB84"/>
        <color rgb="FF63BE7B"/>
      </colorScale>
    </cfRule>
  </conditionalFormatting>
  <conditionalFormatting sqref="D6233:D6234">
    <cfRule type="colorScale" priority="4104">
      <colorScale>
        <cfvo type="min"/>
        <cfvo type="percentile" val="50"/>
        <cfvo type="max"/>
        <color rgb="FFF8696B"/>
        <color rgb="FFFFEB84"/>
        <color rgb="FF63BE7B"/>
      </colorScale>
    </cfRule>
  </conditionalFormatting>
  <conditionalFormatting sqref="D6238:D6239">
    <cfRule type="colorScale" priority="4109">
      <colorScale>
        <cfvo type="min"/>
        <cfvo type="percentile" val="50"/>
        <cfvo type="max"/>
        <color rgb="FFF8696B"/>
        <color rgb="FFFFEB84"/>
        <color rgb="FF63BE7B"/>
      </colorScale>
    </cfRule>
  </conditionalFormatting>
  <conditionalFormatting sqref="D6243:D6244">
    <cfRule type="colorScale" priority="4114">
      <colorScale>
        <cfvo type="min"/>
        <cfvo type="percentile" val="50"/>
        <cfvo type="max"/>
        <color rgb="FFF8696B"/>
        <color rgb="FFFFEB84"/>
        <color rgb="FF63BE7B"/>
      </colorScale>
    </cfRule>
  </conditionalFormatting>
  <conditionalFormatting sqref="D6248:D6249">
    <cfRule type="colorScale" priority="4119">
      <colorScale>
        <cfvo type="min"/>
        <cfvo type="percentile" val="50"/>
        <cfvo type="max"/>
        <color rgb="FFF8696B"/>
        <color rgb="FFFFEB84"/>
        <color rgb="FF63BE7B"/>
      </colorScale>
    </cfRule>
  </conditionalFormatting>
  <conditionalFormatting sqref="D6253">
    <cfRule type="colorScale" priority="4124">
      <colorScale>
        <cfvo type="min"/>
        <cfvo type="percentile" val="50"/>
        <cfvo type="max"/>
        <color rgb="FFF8696B"/>
        <color rgb="FFFFEB84"/>
        <color rgb="FF63BE7B"/>
      </colorScale>
    </cfRule>
  </conditionalFormatting>
  <conditionalFormatting sqref="D6257:D6258">
    <cfRule type="colorScale" priority="4129">
      <colorScale>
        <cfvo type="min"/>
        <cfvo type="percentile" val="50"/>
        <cfvo type="max"/>
        <color rgb="FFF8696B"/>
        <color rgb="FFFFEB84"/>
        <color rgb="FF63BE7B"/>
      </colorScale>
    </cfRule>
  </conditionalFormatting>
  <conditionalFormatting sqref="D6262:D6263">
    <cfRule type="colorScale" priority="4134">
      <colorScale>
        <cfvo type="min"/>
        <cfvo type="percentile" val="50"/>
        <cfvo type="max"/>
        <color rgb="FFF8696B"/>
        <color rgb="FFFFEB84"/>
        <color rgb="FF63BE7B"/>
      </colorScale>
    </cfRule>
  </conditionalFormatting>
  <conditionalFormatting sqref="D6267:D6270">
    <cfRule type="colorScale" priority="4139">
      <colorScale>
        <cfvo type="min"/>
        <cfvo type="percentile" val="50"/>
        <cfvo type="max"/>
        <color rgb="FFF8696B"/>
        <color rgb="FFFFEB84"/>
        <color rgb="FF63BE7B"/>
      </colorScale>
    </cfRule>
  </conditionalFormatting>
  <conditionalFormatting sqref="D6866">
    <cfRule type="colorScale" priority="4385">
      <colorScale>
        <cfvo type="min"/>
        <cfvo type="percentile" val="50"/>
        <cfvo type="max"/>
        <color rgb="FFF8696B"/>
        <color rgb="FFFFEB84"/>
        <color rgb="FF63BE7B"/>
      </colorScale>
    </cfRule>
  </conditionalFormatting>
  <conditionalFormatting sqref="D6870:D6871">
    <cfRule type="colorScale" priority="4389">
      <colorScale>
        <cfvo type="min"/>
        <cfvo type="percentile" val="50"/>
        <cfvo type="max"/>
        <color rgb="FFF8696B"/>
        <color rgb="FFFFEB84"/>
        <color rgb="FF63BE7B"/>
      </colorScale>
    </cfRule>
  </conditionalFormatting>
  <conditionalFormatting sqref="D6879:D6880">
    <cfRule type="colorScale" priority="4399">
      <colorScale>
        <cfvo type="min"/>
        <cfvo type="percentile" val="50"/>
        <cfvo type="max"/>
        <color rgb="FFF8696B"/>
        <color rgb="FFFFEB84"/>
        <color rgb="FF63BE7B"/>
      </colorScale>
    </cfRule>
  </conditionalFormatting>
  <conditionalFormatting sqref="D6884:D6885">
    <cfRule type="colorScale" priority="4404">
      <colorScale>
        <cfvo type="min"/>
        <cfvo type="percentile" val="50"/>
        <cfvo type="max"/>
        <color rgb="FFF8696B"/>
        <color rgb="FFFFEB84"/>
        <color rgb="FF63BE7B"/>
      </colorScale>
    </cfRule>
  </conditionalFormatting>
  <conditionalFormatting sqref="D6889:D6890">
    <cfRule type="colorScale" priority="4409">
      <colorScale>
        <cfvo type="min"/>
        <cfvo type="percentile" val="50"/>
        <cfvo type="max"/>
        <color rgb="FFF8696B"/>
        <color rgb="FFFFEB84"/>
        <color rgb="FF63BE7B"/>
      </colorScale>
    </cfRule>
  </conditionalFormatting>
  <conditionalFormatting sqref="D6894:D6895">
    <cfRule type="colorScale" priority="4414">
      <colorScale>
        <cfvo type="min"/>
        <cfvo type="percentile" val="50"/>
        <cfvo type="max"/>
        <color rgb="FFF8696B"/>
        <color rgb="FFFFEB84"/>
        <color rgb="FF63BE7B"/>
      </colorScale>
    </cfRule>
  </conditionalFormatting>
  <conditionalFormatting sqref="D6899:D6900">
    <cfRule type="colorScale" priority="4419">
      <colorScale>
        <cfvo type="min"/>
        <cfvo type="percentile" val="50"/>
        <cfvo type="max"/>
        <color rgb="FFF8696B"/>
        <color rgb="FFFFEB84"/>
        <color rgb="FF63BE7B"/>
      </colorScale>
    </cfRule>
  </conditionalFormatting>
  <conditionalFormatting sqref="D6904:D6905">
    <cfRule type="colorScale" priority="4424">
      <colorScale>
        <cfvo type="min"/>
        <cfvo type="percentile" val="50"/>
        <cfvo type="max"/>
        <color rgb="FFF8696B"/>
        <color rgb="FFFFEB84"/>
        <color rgb="FF63BE7B"/>
      </colorScale>
    </cfRule>
  </conditionalFormatting>
  <conditionalFormatting sqref="D6909:D6910">
    <cfRule type="colorScale" priority="4429">
      <colorScale>
        <cfvo type="min"/>
        <cfvo type="percentile" val="50"/>
        <cfvo type="max"/>
        <color rgb="FFF8696B"/>
        <color rgb="FFFFEB84"/>
        <color rgb="FF63BE7B"/>
      </colorScale>
    </cfRule>
  </conditionalFormatting>
  <conditionalFormatting sqref="D6914:D6915">
    <cfRule type="colorScale" priority="4434">
      <colorScale>
        <cfvo type="min"/>
        <cfvo type="percentile" val="50"/>
        <cfvo type="max"/>
        <color rgb="FFF8696B"/>
        <color rgb="FFFFEB84"/>
        <color rgb="FF63BE7B"/>
      </colorScale>
    </cfRule>
  </conditionalFormatting>
  <conditionalFormatting sqref="D6919">
    <cfRule type="colorScale" priority="4439">
      <colorScale>
        <cfvo type="min"/>
        <cfvo type="percentile" val="50"/>
        <cfvo type="max"/>
        <color rgb="FFF8696B"/>
        <color rgb="FFFFEB84"/>
        <color rgb="FF63BE7B"/>
      </colorScale>
    </cfRule>
  </conditionalFormatting>
  <conditionalFormatting sqref="D6923:D6924">
    <cfRule type="colorScale" priority="4444">
      <colorScale>
        <cfvo type="min"/>
        <cfvo type="percentile" val="50"/>
        <cfvo type="max"/>
        <color rgb="FFF8696B"/>
        <color rgb="FFFFEB84"/>
        <color rgb="FF63BE7B"/>
      </colorScale>
    </cfRule>
  </conditionalFormatting>
  <conditionalFormatting sqref="D6928:D6929">
    <cfRule type="colorScale" priority="4449">
      <colorScale>
        <cfvo type="min"/>
        <cfvo type="percentile" val="50"/>
        <cfvo type="max"/>
        <color rgb="FFF8696B"/>
        <color rgb="FFFFEB84"/>
        <color rgb="FF63BE7B"/>
      </colorScale>
    </cfRule>
  </conditionalFormatting>
  <conditionalFormatting sqref="D6933:D6936">
    <cfRule type="colorScale" priority="4454">
      <colorScale>
        <cfvo type="min"/>
        <cfvo type="percentile" val="50"/>
        <cfvo type="max"/>
        <color rgb="FFF8696B"/>
        <color rgb="FFFFEB84"/>
        <color rgb="FF63BE7B"/>
      </colorScale>
    </cfRule>
  </conditionalFormatting>
  <conditionalFormatting sqref="D6940">
    <cfRule type="colorScale" priority="4460">
      <colorScale>
        <cfvo type="min"/>
        <cfvo type="percentile" val="50"/>
        <cfvo type="max"/>
        <color rgb="FFF8696B"/>
        <color rgb="FFFFEB84"/>
        <color rgb="FF63BE7B"/>
      </colorScale>
    </cfRule>
  </conditionalFormatting>
  <conditionalFormatting sqref="D6944:D6945">
    <cfRule type="colorScale" priority="4464">
      <colorScale>
        <cfvo type="min"/>
        <cfvo type="percentile" val="50"/>
        <cfvo type="max"/>
        <color rgb="FFF8696B"/>
        <color rgb="FFFFEB84"/>
        <color rgb="FF63BE7B"/>
      </colorScale>
    </cfRule>
  </conditionalFormatting>
  <conditionalFormatting sqref="D6953:D6954">
    <cfRule type="colorScale" priority="4474">
      <colorScale>
        <cfvo type="min"/>
        <cfvo type="percentile" val="50"/>
        <cfvo type="max"/>
        <color rgb="FFF8696B"/>
        <color rgb="FFFFEB84"/>
        <color rgb="FF63BE7B"/>
      </colorScale>
    </cfRule>
  </conditionalFormatting>
  <conditionalFormatting sqref="D6958:D6959">
    <cfRule type="colorScale" priority="4479">
      <colorScale>
        <cfvo type="min"/>
        <cfvo type="percentile" val="50"/>
        <cfvo type="max"/>
        <color rgb="FFF8696B"/>
        <color rgb="FFFFEB84"/>
        <color rgb="FF63BE7B"/>
      </colorScale>
    </cfRule>
  </conditionalFormatting>
  <conditionalFormatting sqref="D6963:D6964">
    <cfRule type="colorScale" priority="4484">
      <colorScale>
        <cfvo type="min"/>
        <cfvo type="percentile" val="50"/>
        <cfvo type="max"/>
        <color rgb="FFF8696B"/>
        <color rgb="FFFFEB84"/>
        <color rgb="FF63BE7B"/>
      </colorScale>
    </cfRule>
  </conditionalFormatting>
  <conditionalFormatting sqref="D6968:D6969">
    <cfRule type="colorScale" priority="4489">
      <colorScale>
        <cfvo type="min"/>
        <cfvo type="percentile" val="50"/>
        <cfvo type="max"/>
        <color rgb="FFF8696B"/>
        <color rgb="FFFFEB84"/>
        <color rgb="FF63BE7B"/>
      </colorScale>
    </cfRule>
  </conditionalFormatting>
  <conditionalFormatting sqref="D6973:D6974">
    <cfRule type="colorScale" priority="4494">
      <colorScale>
        <cfvo type="min"/>
        <cfvo type="percentile" val="50"/>
        <cfvo type="max"/>
        <color rgb="FFF8696B"/>
        <color rgb="FFFFEB84"/>
        <color rgb="FF63BE7B"/>
      </colorScale>
    </cfRule>
  </conditionalFormatting>
  <conditionalFormatting sqref="D6978:D6979">
    <cfRule type="colorScale" priority="4499">
      <colorScale>
        <cfvo type="min"/>
        <cfvo type="percentile" val="50"/>
        <cfvo type="max"/>
        <color rgb="FFF8696B"/>
        <color rgb="FFFFEB84"/>
        <color rgb="FF63BE7B"/>
      </colorScale>
    </cfRule>
  </conditionalFormatting>
  <conditionalFormatting sqref="D6983:D6984">
    <cfRule type="colorScale" priority="4504">
      <colorScale>
        <cfvo type="min"/>
        <cfvo type="percentile" val="50"/>
        <cfvo type="max"/>
        <color rgb="FFF8696B"/>
        <color rgb="FFFFEB84"/>
        <color rgb="FF63BE7B"/>
      </colorScale>
    </cfRule>
  </conditionalFormatting>
  <conditionalFormatting sqref="D6988:D6989">
    <cfRule type="colorScale" priority="4509">
      <colorScale>
        <cfvo type="min"/>
        <cfvo type="percentile" val="50"/>
        <cfvo type="max"/>
        <color rgb="FFF8696B"/>
        <color rgb="FFFFEB84"/>
        <color rgb="FF63BE7B"/>
      </colorScale>
    </cfRule>
  </conditionalFormatting>
  <conditionalFormatting sqref="D6993">
    <cfRule type="colorScale" priority="4514">
      <colorScale>
        <cfvo type="min"/>
        <cfvo type="percentile" val="50"/>
        <cfvo type="max"/>
        <color rgb="FFF8696B"/>
        <color rgb="FFFFEB84"/>
        <color rgb="FF63BE7B"/>
      </colorScale>
    </cfRule>
  </conditionalFormatting>
  <conditionalFormatting sqref="D6997:D6998">
    <cfRule type="colorScale" priority="4519">
      <colorScale>
        <cfvo type="min"/>
        <cfvo type="percentile" val="50"/>
        <cfvo type="max"/>
        <color rgb="FFF8696B"/>
        <color rgb="FFFFEB84"/>
        <color rgb="FF63BE7B"/>
      </colorScale>
    </cfRule>
  </conditionalFormatting>
  <conditionalFormatting sqref="D7002:D7003">
    <cfRule type="colorScale" priority="4524">
      <colorScale>
        <cfvo type="min"/>
        <cfvo type="percentile" val="50"/>
        <cfvo type="max"/>
        <color rgb="FFF8696B"/>
        <color rgb="FFFFEB84"/>
        <color rgb="FF63BE7B"/>
      </colorScale>
    </cfRule>
  </conditionalFormatting>
  <conditionalFormatting sqref="D7007:D7010">
    <cfRule type="colorScale" priority="4529">
      <colorScale>
        <cfvo type="min"/>
        <cfvo type="percentile" val="50"/>
        <cfvo type="max"/>
        <color rgb="FFF8696B"/>
        <color rgb="FFFFEB84"/>
        <color rgb="FF63BE7B"/>
      </colorScale>
    </cfRule>
  </conditionalFormatting>
  <conditionalFormatting sqref="D7088">
    <cfRule type="colorScale" priority="4565">
      <colorScale>
        <cfvo type="min"/>
        <cfvo type="percentile" val="50"/>
        <cfvo type="max"/>
        <color rgb="FFF8696B"/>
        <color rgb="FFFFEB84"/>
        <color rgb="FF63BE7B"/>
      </colorScale>
    </cfRule>
  </conditionalFormatting>
  <conditionalFormatting sqref="D7092">
    <cfRule type="colorScale" priority="4569">
      <colorScale>
        <cfvo type="min"/>
        <cfvo type="percentile" val="50"/>
        <cfvo type="max"/>
        <color rgb="FFF8696B"/>
        <color rgb="FFFFEB84"/>
        <color rgb="FF63BE7B"/>
      </colorScale>
    </cfRule>
  </conditionalFormatting>
  <conditionalFormatting sqref="D7100">
    <cfRule type="colorScale" priority="4579">
      <colorScale>
        <cfvo type="min"/>
        <cfvo type="percentile" val="50"/>
        <cfvo type="max"/>
        <color rgb="FFF8696B"/>
        <color rgb="FFFFEB84"/>
        <color rgb="FF63BE7B"/>
      </colorScale>
    </cfRule>
  </conditionalFormatting>
  <conditionalFormatting sqref="D7104">
    <cfRule type="colorScale" priority="4584">
      <colorScale>
        <cfvo type="min"/>
        <cfvo type="percentile" val="50"/>
        <cfvo type="max"/>
        <color rgb="FFF8696B"/>
        <color rgb="FFFFEB84"/>
        <color rgb="FF63BE7B"/>
      </colorScale>
    </cfRule>
  </conditionalFormatting>
  <conditionalFormatting sqref="D7108">
    <cfRule type="colorScale" priority="4589">
      <colorScale>
        <cfvo type="min"/>
        <cfvo type="percentile" val="50"/>
        <cfvo type="max"/>
        <color rgb="FFF8696B"/>
        <color rgb="FFFFEB84"/>
        <color rgb="FF63BE7B"/>
      </colorScale>
    </cfRule>
  </conditionalFormatting>
  <conditionalFormatting sqref="D7112">
    <cfRule type="colorScale" priority="4594">
      <colorScale>
        <cfvo type="min"/>
        <cfvo type="percentile" val="50"/>
        <cfvo type="max"/>
        <color rgb="FFF8696B"/>
        <color rgb="FFFFEB84"/>
        <color rgb="FF63BE7B"/>
      </colorScale>
    </cfRule>
  </conditionalFormatting>
  <conditionalFormatting sqref="D7116:D7117">
    <cfRule type="colorScale" priority="4599">
      <colorScale>
        <cfvo type="min"/>
        <cfvo type="percentile" val="50"/>
        <cfvo type="max"/>
        <color rgb="FFF8696B"/>
        <color rgb="FFFFEB84"/>
        <color rgb="FF63BE7B"/>
      </colorScale>
    </cfRule>
  </conditionalFormatting>
  <conditionalFormatting sqref="D7121:D7122">
    <cfRule type="colorScale" priority="4604">
      <colorScale>
        <cfvo type="min"/>
        <cfvo type="percentile" val="50"/>
        <cfvo type="max"/>
        <color rgb="FFF8696B"/>
        <color rgb="FFFFEB84"/>
        <color rgb="FF63BE7B"/>
      </colorScale>
    </cfRule>
  </conditionalFormatting>
  <conditionalFormatting sqref="D7126">
    <cfRule type="colorScale" priority="4609">
      <colorScale>
        <cfvo type="min"/>
        <cfvo type="percentile" val="50"/>
        <cfvo type="max"/>
        <color rgb="FFF8696B"/>
        <color rgb="FFFFEB84"/>
        <color rgb="FF63BE7B"/>
      </colorScale>
    </cfRule>
  </conditionalFormatting>
  <conditionalFormatting sqref="D7130">
    <cfRule type="colorScale" priority="4614">
      <colorScale>
        <cfvo type="min"/>
        <cfvo type="percentile" val="50"/>
        <cfvo type="max"/>
        <color rgb="FFF8696B"/>
        <color rgb="FFFFEB84"/>
        <color rgb="FF63BE7B"/>
      </colorScale>
    </cfRule>
  </conditionalFormatting>
  <conditionalFormatting sqref="D7134">
    <cfRule type="colorScale" priority="4619">
      <colorScale>
        <cfvo type="min"/>
        <cfvo type="percentile" val="50"/>
        <cfvo type="max"/>
        <color rgb="FFF8696B"/>
        <color rgb="FFFFEB84"/>
        <color rgb="FF63BE7B"/>
      </colorScale>
    </cfRule>
  </conditionalFormatting>
  <conditionalFormatting sqref="D7138:D7139">
    <cfRule type="colorScale" priority="4624">
      <colorScale>
        <cfvo type="min"/>
        <cfvo type="percentile" val="50"/>
        <cfvo type="max"/>
        <color rgb="FFF8696B"/>
        <color rgb="FFFFEB84"/>
        <color rgb="FF63BE7B"/>
      </colorScale>
    </cfRule>
  </conditionalFormatting>
  <conditionalFormatting sqref="D7143:D7144">
    <cfRule type="colorScale" priority="4629">
      <colorScale>
        <cfvo type="min"/>
        <cfvo type="percentile" val="50"/>
        <cfvo type="max"/>
        <color rgb="FFF8696B"/>
        <color rgb="FFFFEB84"/>
        <color rgb="FF63BE7B"/>
      </colorScale>
    </cfRule>
  </conditionalFormatting>
  <conditionalFormatting sqref="D7148:D7150">
    <cfRule type="colorScale" priority="4634">
      <colorScale>
        <cfvo type="min"/>
        <cfvo type="percentile" val="50"/>
        <cfvo type="max"/>
        <color rgb="FFF8696B"/>
        <color rgb="FFFFEB84"/>
        <color rgb="FF63BE7B"/>
      </colorScale>
    </cfRule>
  </conditionalFormatting>
  <conditionalFormatting sqref="D7154">
    <cfRule type="colorScale" priority="4640">
      <colorScale>
        <cfvo type="min"/>
        <cfvo type="percentile" val="50"/>
        <cfvo type="max"/>
        <color rgb="FFF8696B"/>
        <color rgb="FFFFEB84"/>
        <color rgb="FF63BE7B"/>
      </colorScale>
    </cfRule>
  </conditionalFormatting>
  <conditionalFormatting sqref="D7158:D7159">
    <cfRule type="colorScale" priority="4644">
      <colorScale>
        <cfvo type="min"/>
        <cfvo type="percentile" val="50"/>
        <cfvo type="max"/>
        <color rgb="FFF8696B"/>
        <color rgb="FFFFEB84"/>
        <color rgb="FF63BE7B"/>
      </colorScale>
    </cfRule>
  </conditionalFormatting>
  <conditionalFormatting sqref="D7167:D7168">
    <cfRule type="colorScale" priority="4654">
      <colorScale>
        <cfvo type="min"/>
        <cfvo type="percentile" val="50"/>
        <cfvo type="max"/>
        <color rgb="FFF8696B"/>
        <color rgb="FFFFEB84"/>
        <color rgb="FF63BE7B"/>
      </colorScale>
    </cfRule>
  </conditionalFormatting>
  <conditionalFormatting sqref="D7172:D7173">
    <cfRule type="colorScale" priority="4659">
      <colorScale>
        <cfvo type="min"/>
        <cfvo type="percentile" val="50"/>
        <cfvo type="max"/>
        <color rgb="FFF8696B"/>
        <color rgb="FFFFEB84"/>
        <color rgb="FF63BE7B"/>
      </colorScale>
    </cfRule>
  </conditionalFormatting>
  <conditionalFormatting sqref="D7177:D7178">
    <cfRule type="colorScale" priority="4664">
      <colorScale>
        <cfvo type="min"/>
        <cfvo type="percentile" val="50"/>
        <cfvo type="max"/>
        <color rgb="FFF8696B"/>
        <color rgb="FFFFEB84"/>
        <color rgb="FF63BE7B"/>
      </colorScale>
    </cfRule>
  </conditionalFormatting>
  <conditionalFormatting sqref="D7182:D7183">
    <cfRule type="colorScale" priority="4669">
      <colorScale>
        <cfvo type="min"/>
        <cfvo type="percentile" val="50"/>
        <cfvo type="max"/>
        <color rgb="FFF8696B"/>
        <color rgb="FFFFEB84"/>
        <color rgb="FF63BE7B"/>
      </colorScale>
    </cfRule>
  </conditionalFormatting>
  <conditionalFormatting sqref="D7187:D7188">
    <cfRule type="colorScale" priority="4674">
      <colorScale>
        <cfvo type="min"/>
        <cfvo type="percentile" val="50"/>
        <cfvo type="max"/>
        <color rgb="FFF8696B"/>
        <color rgb="FFFFEB84"/>
        <color rgb="FF63BE7B"/>
      </colorScale>
    </cfRule>
  </conditionalFormatting>
  <conditionalFormatting sqref="D7192:D7193">
    <cfRule type="colorScale" priority="4679">
      <colorScale>
        <cfvo type="min"/>
        <cfvo type="percentile" val="50"/>
        <cfvo type="max"/>
        <color rgb="FFF8696B"/>
        <color rgb="FFFFEB84"/>
        <color rgb="FF63BE7B"/>
      </colorScale>
    </cfRule>
  </conditionalFormatting>
  <conditionalFormatting sqref="D7197:D7198">
    <cfRule type="colorScale" priority="4684">
      <colorScale>
        <cfvo type="min"/>
        <cfvo type="percentile" val="50"/>
        <cfvo type="max"/>
        <color rgb="FFF8696B"/>
        <color rgb="FFFFEB84"/>
        <color rgb="FF63BE7B"/>
      </colorScale>
    </cfRule>
  </conditionalFormatting>
  <conditionalFormatting sqref="D7202:D7203">
    <cfRule type="colorScale" priority="4689">
      <colorScale>
        <cfvo type="min"/>
        <cfvo type="percentile" val="50"/>
        <cfvo type="max"/>
        <color rgb="FFF8696B"/>
        <color rgb="FFFFEB84"/>
        <color rgb="FF63BE7B"/>
      </colorScale>
    </cfRule>
  </conditionalFormatting>
  <conditionalFormatting sqref="D7207">
    <cfRule type="colorScale" priority="4694">
      <colorScale>
        <cfvo type="min"/>
        <cfvo type="percentile" val="50"/>
        <cfvo type="max"/>
        <color rgb="FFF8696B"/>
        <color rgb="FFFFEB84"/>
        <color rgb="FF63BE7B"/>
      </colorScale>
    </cfRule>
  </conditionalFormatting>
  <conditionalFormatting sqref="D7211:D7212">
    <cfRule type="colorScale" priority="4699">
      <colorScale>
        <cfvo type="min"/>
        <cfvo type="percentile" val="50"/>
        <cfvo type="max"/>
        <color rgb="FFF8696B"/>
        <color rgb="FFFFEB84"/>
        <color rgb="FF63BE7B"/>
      </colorScale>
    </cfRule>
  </conditionalFormatting>
  <conditionalFormatting sqref="D7216:D7217">
    <cfRule type="colorScale" priority="4704">
      <colorScale>
        <cfvo type="min"/>
        <cfvo type="percentile" val="50"/>
        <cfvo type="max"/>
        <color rgb="FFF8696B"/>
        <color rgb="FFFFEB84"/>
        <color rgb="FF63BE7B"/>
      </colorScale>
    </cfRule>
  </conditionalFormatting>
  <conditionalFormatting sqref="D7221:D7224">
    <cfRule type="colorScale" priority="4709">
      <colorScale>
        <cfvo type="min"/>
        <cfvo type="percentile" val="50"/>
        <cfvo type="max"/>
        <color rgb="FFF8696B"/>
        <color rgb="FFFFEB84"/>
        <color rgb="FF63BE7B"/>
      </colorScale>
    </cfRule>
  </conditionalFormatting>
  <conditionalFormatting sqref="D7228">
    <cfRule type="colorScale" priority="4715">
      <colorScale>
        <cfvo type="min"/>
        <cfvo type="percentile" val="50"/>
        <cfvo type="max"/>
        <color rgb="FFF8696B"/>
        <color rgb="FFFFEB84"/>
        <color rgb="FF63BE7B"/>
      </colorScale>
    </cfRule>
  </conditionalFormatting>
  <conditionalFormatting sqref="D7232:D7233">
    <cfRule type="colorScale" priority="4719">
      <colorScale>
        <cfvo type="min"/>
        <cfvo type="percentile" val="50"/>
        <cfvo type="max"/>
        <color rgb="FFF8696B"/>
        <color rgb="FFFFEB84"/>
        <color rgb="FF63BE7B"/>
      </colorScale>
    </cfRule>
  </conditionalFormatting>
  <conditionalFormatting sqref="D7241:D7242">
    <cfRule type="colorScale" priority="4729">
      <colorScale>
        <cfvo type="min"/>
        <cfvo type="percentile" val="50"/>
        <cfvo type="max"/>
        <color rgb="FFF8696B"/>
        <color rgb="FFFFEB84"/>
        <color rgb="FF63BE7B"/>
      </colorScale>
    </cfRule>
  </conditionalFormatting>
  <conditionalFormatting sqref="D7246">
    <cfRule type="colorScale" priority="4734">
      <colorScale>
        <cfvo type="min"/>
        <cfvo type="percentile" val="50"/>
        <cfvo type="max"/>
        <color rgb="FFF8696B"/>
        <color rgb="FFFFEB84"/>
        <color rgb="FF63BE7B"/>
      </colorScale>
    </cfRule>
  </conditionalFormatting>
  <conditionalFormatting sqref="D7250:D7251">
    <cfRule type="colorScale" priority="4739">
      <colorScale>
        <cfvo type="min"/>
        <cfvo type="percentile" val="50"/>
        <cfvo type="max"/>
        <color rgb="FFF8696B"/>
        <color rgb="FFFFEB84"/>
        <color rgb="FF63BE7B"/>
      </colorScale>
    </cfRule>
  </conditionalFormatting>
  <conditionalFormatting sqref="D7255:D7256">
    <cfRule type="colorScale" priority="4744">
      <colorScale>
        <cfvo type="min"/>
        <cfvo type="percentile" val="50"/>
        <cfvo type="max"/>
        <color rgb="FFF8696B"/>
        <color rgb="FFFFEB84"/>
        <color rgb="FF63BE7B"/>
      </colorScale>
    </cfRule>
  </conditionalFormatting>
  <conditionalFormatting sqref="D7260:D7261">
    <cfRule type="colorScale" priority="4749">
      <colorScale>
        <cfvo type="min"/>
        <cfvo type="percentile" val="50"/>
        <cfvo type="max"/>
        <color rgb="FFF8696B"/>
        <color rgb="FFFFEB84"/>
        <color rgb="FF63BE7B"/>
      </colorScale>
    </cfRule>
  </conditionalFormatting>
  <conditionalFormatting sqref="D7265:D7266">
    <cfRule type="colorScale" priority="4754">
      <colorScale>
        <cfvo type="min"/>
        <cfvo type="percentile" val="50"/>
        <cfvo type="max"/>
        <color rgb="FFF8696B"/>
        <color rgb="FFFFEB84"/>
        <color rgb="FF63BE7B"/>
      </colorScale>
    </cfRule>
  </conditionalFormatting>
  <conditionalFormatting sqref="D7270:D7271">
    <cfRule type="colorScale" priority="4759">
      <colorScale>
        <cfvo type="min"/>
        <cfvo type="percentile" val="50"/>
        <cfvo type="max"/>
        <color rgb="FFF8696B"/>
        <color rgb="FFFFEB84"/>
        <color rgb="FF63BE7B"/>
      </colorScale>
    </cfRule>
  </conditionalFormatting>
  <conditionalFormatting sqref="D7275:D7276">
    <cfRule type="colorScale" priority="4764">
      <colorScale>
        <cfvo type="min"/>
        <cfvo type="percentile" val="50"/>
        <cfvo type="max"/>
        <color rgb="FFF8696B"/>
        <color rgb="FFFFEB84"/>
        <color rgb="FF63BE7B"/>
      </colorScale>
    </cfRule>
  </conditionalFormatting>
  <conditionalFormatting sqref="D7280">
    <cfRule type="colorScale" priority="4769">
      <colorScale>
        <cfvo type="min"/>
        <cfvo type="percentile" val="50"/>
        <cfvo type="max"/>
        <color rgb="FFF8696B"/>
        <color rgb="FFFFEB84"/>
        <color rgb="FF63BE7B"/>
      </colorScale>
    </cfRule>
  </conditionalFormatting>
  <conditionalFormatting sqref="D7284:D7285">
    <cfRule type="colorScale" priority="4774">
      <colorScale>
        <cfvo type="min"/>
        <cfvo type="percentile" val="50"/>
        <cfvo type="max"/>
        <color rgb="FFF8696B"/>
        <color rgb="FFFFEB84"/>
        <color rgb="FF63BE7B"/>
      </colorScale>
    </cfRule>
  </conditionalFormatting>
  <conditionalFormatting sqref="D7289:D7290">
    <cfRule type="colorScale" priority="4779">
      <colorScale>
        <cfvo type="min"/>
        <cfvo type="percentile" val="50"/>
        <cfvo type="max"/>
        <color rgb="FFF8696B"/>
        <color rgb="FFFFEB84"/>
        <color rgb="FF63BE7B"/>
      </colorScale>
    </cfRule>
  </conditionalFormatting>
  <conditionalFormatting sqref="D7294:D7297">
    <cfRule type="colorScale" priority="4784">
      <colorScale>
        <cfvo type="min"/>
        <cfvo type="percentile" val="50"/>
        <cfvo type="max"/>
        <color rgb="FFF8696B"/>
        <color rgb="FFFFEB84"/>
        <color rgb="FF63BE7B"/>
      </colorScale>
    </cfRule>
  </conditionalFormatting>
  <conditionalFormatting sqref="D7301">
    <cfRule type="colorScale" priority="4790">
      <colorScale>
        <cfvo type="min"/>
        <cfvo type="percentile" val="50"/>
        <cfvo type="max"/>
        <color rgb="FFF8696B"/>
        <color rgb="FFFFEB84"/>
        <color rgb="FF63BE7B"/>
      </colorScale>
    </cfRule>
  </conditionalFormatting>
  <conditionalFormatting sqref="D7305:D7306">
    <cfRule type="colorScale" priority="4794">
      <colorScale>
        <cfvo type="min"/>
        <cfvo type="percentile" val="50"/>
        <cfvo type="max"/>
        <color rgb="FFF8696B"/>
        <color rgb="FFFFEB84"/>
        <color rgb="FF63BE7B"/>
      </colorScale>
    </cfRule>
  </conditionalFormatting>
  <conditionalFormatting sqref="D7314:D7315">
    <cfRule type="colorScale" priority="4804">
      <colorScale>
        <cfvo type="min"/>
        <cfvo type="percentile" val="50"/>
        <cfvo type="max"/>
        <color rgb="FFF8696B"/>
        <color rgb="FFFFEB84"/>
        <color rgb="FF63BE7B"/>
      </colorScale>
    </cfRule>
  </conditionalFormatting>
  <conditionalFormatting sqref="D7319">
    <cfRule type="colorScale" priority="4809">
      <colorScale>
        <cfvo type="min"/>
        <cfvo type="percentile" val="50"/>
        <cfvo type="max"/>
        <color rgb="FFF8696B"/>
        <color rgb="FFFFEB84"/>
        <color rgb="FF63BE7B"/>
      </colorScale>
    </cfRule>
  </conditionalFormatting>
  <conditionalFormatting sqref="D7323:D7324">
    <cfRule type="colorScale" priority="4814">
      <colorScale>
        <cfvo type="min"/>
        <cfvo type="percentile" val="50"/>
        <cfvo type="max"/>
        <color rgb="FFF8696B"/>
        <color rgb="FFFFEB84"/>
        <color rgb="FF63BE7B"/>
      </colorScale>
    </cfRule>
  </conditionalFormatting>
  <conditionalFormatting sqref="D7328:D7329">
    <cfRule type="colorScale" priority="4819">
      <colorScale>
        <cfvo type="min"/>
        <cfvo type="percentile" val="50"/>
        <cfvo type="max"/>
        <color rgb="FFF8696B"/>
        <color rgb="FFFFEB84"/>
        <color rgb="FF63BE7B"/>
      </colorScale>
    </cfRule>
  </conditionalFormatting>
  <conditionalFormatting sqref="D7333:D7334">
    <cfRule type="colorScale" priority="4824">
      <colorScale>
        <cfvo type="min"/>
        <cfvo type="percentile" val="50"/>
        <cfvo type="max"/>
        <color rgb="FFF8696B"/>
        <color rgb="FFFFEB84"/>
        <color rgb="FF63BE7B"/>
      </colorScale>
    </cfRule>
  </conditionalFormatting>
  <conditionalFormatting sqref="D7338:D7339">
    <cfRule type="colorScale" priority="4829">
      <colorScale>
        <cfvo type="min"/>
        <cfvo type="percentile" val="50"/>
        <cfvo type="max"/>
        <color rgb="FFF8696B"/>
        <color rgb="FFFFEB84"/>
        <color rgb="FF63BE7B"/>
      </colorScale>
    </cfRule>
  </conditionalFormatting>
  <conditionalFormatting sqref="D7343:D7344">
    <cfRule type="colorScale" priority="4834">
      <colorScale>
        <cfvo type="min"/>
        <cfvo type="percentile" val="50"/>
        <cfvo type="max"/>
        <color rgb="FFF8696B"/>
        <color rgb="FFFFEB84"/>
        <color rgb="FF63BE7B"/>
      </colorScale>
    </cfRule>
  </conditionalFormatting>
  <conditionalFormatting sqref="D7348:D7349">
    <cfRule type="colorScale" priority="4839">
      <colorScale>
        <cfvo type="min"/>
        <cfvo type="percentile" val="50"/>
        <cfvo type="max"/>
        <color rgb="FFF8696B"/>
        <color rgb="FFFFEB84"/>
        <color rgb="FF63BE7B"/>
      </colorScale>
    </cfRule>
  </conditionalFormatting>
  <conditionalFormatting sqref="D7353">
    <cfRule type="colorScale" priority="4844">
      <colorScale>
        <cfvo type="min"/>
        <cfvo type="percentile" val="50"/>
        <cfvo type="max"/>
        <color rgb="FFF8696B"/>
        <color rgb="FFFFEB84"/>
        <color rgb="FF63BE7B"/>
      </colorScale>
    </cfRule>
  </conditionalFormatting>
  <conditionalFormatting sqref="D7357:D7358">
    <cfRule type="colorScale" priority="4849">
      <colorScale>
        <cfvo type="min"/>
        <cfvo type="percentile" val="50"/>
        <cfvo type="max"/>
        <color rgb="FFF8696B"/>
        <color rgb="FFFFEB84"/>
        <color rgb="FF63BE7B"/>
      </colorScale>
    </cfRule>
  </conditionalFormatting>
  <conditionalFormatting sqref="D7362:D7363">
    <cfRule type="colorScale" priority="4854">
      <colorScale>
        <cfvo type="min"/>
        <cfvo type="percentile" val="50"/>
        <cfvo type="max"/>
        <color rgb="FFF8696B"/>
        <color rgb="FFFFEB84"/>
        <color rgb="FF63BE7B"/>
      </colorScale>
    </cfRule>
  </conditionalFormatting>
  <conditionalFormatting sqref="D7367:D7370">
    <cfRule type="colorScale" priority="4859">
      <colorScale>
        <cfvo type="min"/>
        <cfvo type="percentile" val="50"/>
        <cfvo type="max"/>
        <color rgb="FFF8696B"/>
        <color rgb="FFFFEB84"/>
        <color rgb="FF63BE7B"/>
      </colorScale>
    </cfRule>
  </conditionalFormatting>
  <conditionalFormatting sqref="D7374">
    <cfRule type="colorScale" priority="4865">
      <colorScale>
        <cfvo type="min"/>
        <cfvo type="percentile" val="50"/>
        <cfvo type="max"/>
        <color rgb="FFF8696B"/>
        <color rgb="FFFFEB84"/>
        <color rgb="FF63BE7B"/>
      </colorScale>
    </cfRule>
  </conditionalFormatting>
  <conditionalFormatting sqref="D7378:D7379">
    <cfRule type="colorScale" priority="4869">
      <colorScale>
        <cfvo type="min"/>
        <cfvo type="percentile" val="50"/>
        <cfvo type="max"/>
        <color rgb="FFF8696B"/>
        <color rgb="FFFFEB84"/>
        <color rgb="FF63BE7B"/>
      </colorScale>
    </cfRule>
  </conditionalFormatting>
  <conditionalFormatting sqref="D7387">
    <cfRule type="colorScale" priority="4879">
      <colorScale>
        <cfvo type="min"/>
        <cfvo type="percentile" val="50"/>
        <cfvo type="max"/>
        <color rgb="FFF8696B"/>
        <color rgb="FFFFEB84"/>
        <color rgb="FF63BE7B"/>
      </colorScale>
    </cfRule>
  </conditionalFormatting>
  <conditionalFormatting sqref="D7391">
    <cfRule type="colorScale" priority="4884">
      <colorScale>
        <cfvo type="min"/>
        <cfvo type="percentile" val="50"/>
        <cfvo type="max"/>
        <color rgb="FFF8696B"/>
        <color rgb="FFFFEB84"/>
        <color rgb="FF63BE7B"/>
      </colorScale>
    </cfRule>
  </conditionalFormatting>
  <conditionalFormatting sqref="D7395">
    <cfRule type="colorScale" priority="4889">
      <colorScale>
        <cfvo type="min"/>
        <cfvo type="percentile" val="50"/>
        <cfvo type="max"/>
        <color rgb="FFF8696B"/>
        <color rgb="FFFFEB84"/>
        <color rgb="FF63BE7B"/>
      </colorScale>
    </cfRule>
  </conditionalFormatting>
  <conditionalFormatting sqref="D7399">
    <cfRule type="colorScale" priority="4894">
      <colorScale>
        <cfvo type="min"/>
        <cfvo type="percentile" val="50"/>
        <cfvo type="max"/>
        <color rgb="FFF8696B"/>
        <color rgb="FFFFEB84"/>
        <color rgb="FF63BE7B"/>
      </colorScale>
    </cfRule>
  </conditionalFormatting>
  <conditionalFormatting sqref="D7403:D7404">
    <cfRule type="colorScale" priority="4899">
      <colorScale>
        <cfvo type="min"/>
        <cfvo type="percentile" val="50"/>
        <cfvo type="max"/>
        <color rgb="FFF8696B"/>
        <color rgb="FFFFEB84"/>
        <color rgb="FF63BE7B"/>
      </colorScale>
    </cfRule>
  </conditionalFormatting>
  <conditionalFormatting sqref="D7408:D7409">
    <cfRule type="colorScale" priority="4904">
      <colorScale>
        <cfvo type="min"/>
        <cfvo type="percentile" val="50"/>
        <cfvo type="max"/>
        <color rgb="FFF8696B"/>
        <color rgb="FFFFEB84"/>
        <color rgb="FF63BE7B"/>
      </colorScale>
    </cfRule>
  </conditionalFormatting>
  <conditionalFormatting sqref="D7413:D7414">
    <cfRule type="colorScale" priority="4909">
      <colorScale>
        <cfvo type="min"/>
        <cfvo type="percentile" val="50"/>
        <cfvo type="max"/>
        <color rgb="FFF8696B"/>
        <color rgb="FFFFEB84"/>
        <color rgb="FF63BE7B"/>
      </colorScale>
    </cfRule>
  </conditionalFormatting>
  <conditionalFormatting sqref="D7418:D7419">
    <cfRule type="colorScale" priority="4914">
      <colorScale>
        <cfvo type="min"/>
        <cfvo type="percentile" val="50"/>
        <cfvo type="max"/>
        <color rgb="FFF8696B"/>
        <color rgb="FFFFEB84"/>
        <color rgb="FF63BE7B"/>
      </colorScale>
    </cfRule>
  </conditionalFormatting>
  <conditionalFormatting sqref="D7423">
    <cfRule type="colorScale" priority="4919">
      <colorScale>
        <cfvo type="min"/>
        <cfvo type="percentile" val="50"/>
        <cfvo type="max"/>
        <color rgb="FFF8696B"/>
        <color rgb="FFFFEB84"/>
        <color rgb="FF63BE7B"/>
      </colorScale>
    </cfRule>
  </conditionalFormatting>
  <conditionalFormatting sqref="D7427:D7428">
    <cfRule type="colorScale" priority="4924">
      <colorScale>
        <cfvo type="min"/>
        <cfvo type="percentile" val="50"/>
        <cfvo type="max"/>
        <color rgb="FFF8696B"/>
        <color rgb="FFFFEB84"/>
        <color rgb="FF63BE7B"/>
      </colorScale>
    </cfRule>
  </conditionalFormatting>
  <conditionalFormatting sqref="D7432:D7433">
    <cfRule type="colorScale" priority="4929">
      <colorScale>
        <cfvo type="min"/>
        <cfvo type="percentile" val="50"/>
        <cfvo type="max"/>
        <color rgb="FFF8696B"/>
        <color rgb="FFFFEB84"/>
        <color rgb="FF63BE7B"/>
      </colorScale>
    </cfRule>
  </conditionalFormatting>
  <conditionalFormatting sqref="D7437:D7440">
    <cfRule type="colorScale" priority="4934">
      <colorScale>
        <cfvo type="min"/>
        <cfvo type="percentile" val="50"/>
        <cfvo type="max"/>
        <color rgb="FFF8696B"/>
        <color rgb="FFFFEB84"/>
        <color rgb="FF63BE7B"/>
      </colorScale>
    </cfRule>
  </conditionalFormatting>
  <conditionalFormatting sqref="D7444">
    <cfRule type="colorScale" priority="4940">
      <colorScale>
        <cfvo type="min"/>
        <cfvo type="percentile" val="50"/>
        <cfvo type="max"/>
        <color rgb="FFF8696B"/>
        <color rgb="FFFFEB84"/>
        <color rgb="FF63BE7B"/>
      </colorScale>
    </cfRule>
  </conditionalFormatting>
  <conditionalFormatting sqref="D7448:D7449">
    <cfRule type="colorScale" priority="4944">
      <colorScale>
        <cfvo type="min"/>
        <cfvo type="percentile" val="50"/>
        <cfvo type="max"/>
        <color rgb="FFF8696B"/>
        <color rgb="FFFFEB84"/>
        <color rgb="FF63BE7B"/>
      </colorScale>
    </cfRule>
  </conditionalFormatting>
  <conditionalFormatting sqref="D7457:D7458">
    <cfRule type="colorScale" priority="4954">
      <colorScale>
        <cfvo type="min"/>
        <cfvo type="percentile" val="50"/>
        <cfvo type="max"/>
        <color rgb="FFF8696B"/>
        <color rgb="FFFFEB84"/>
        <color rgb="FF63BE7B"/>
      </colorScale>
    </cfRule>
  </conditionalFormatting>
  <conditionalFormatting sqref="D7462">
    <cfRule type="colorScale" priority="4959">
      <colorScale>
        <cfvo type="min"/>
        <cfvo type="percentile" val="50"/>
        <cfvo type="max"/>
        <color rgb="FFF8696B"/>
        <color rgb="FFFFEB84"/>
        <color rgb="FF63BE7B"/>
      </colorScale>
    </cfRule>
  </conditionalFormatting>
  <conditionalFormatting sqref="D7466:D7467">
    <cfRule type="colorScale" priority="4964">
      <colorScale>
        <cfvo type="min"/>
        <cfvo type="percentile" val="50"/>
        <cfvo type="max"/>
        <color rgb="FFF8696B"/>
        <color rgb="FFFFEB84"/>
        <color rgb="FF63BE7B"/>
      </colorScale>
    </cfRule>
  </conditionalFormatting>
  <conditionalFormatting sqref="D7471:D7472">
    <cfRule type="colorScale" priority="4969">
      <colorScale>
        <cfvo type="min"/>
        <cfvo type="percentile" val="50"/>
        <cfvo type="max"/>
        <color rgb="FFF8696B"/>
        <color rgb="FFFFEB84"/>
        <color rgb="FF63BE7B"/>
      </colorScale>
    </cfRule>
  </conditionalFormatting>
  <conditionalFormatting sqref="D7476:D7477">
    <cfRule type="colorScale" priority="4974">
      <colorScale>
        <cfvo type="min"/>
        <cfvo type="percentile" val="50"/>
        <cfvo type="max"/>
        <color rgb="FFF8696B"/>
        <color rgb="FFFFEB84"/>
        <color rgb="FF63BE7B"/>
      </colorScale>
    </cfRule>
  </conditionalFormatting>
  <conditionalFormatting sqref="D7481:D7482">
    <cfRule type="colorScale" priority="4979">
      <colorScale>
        <cfvo type="min"/>
        <cfvo type="percentile" val="50"/>
        <cfvo type="max"/>
        <color rgb="FFF8696B"/>
        <color rgb="FFFFEB84"/>
        <color rgb="FF63BE7B"/>
      </colorScale>
    </cfRule>
  </conditionalFormatting>
  <conditionalFormatting sqref="D7486:D7487">
    <cfRule type="colorScale" priority="4984">
      <colorScale>
        <cfvo type="min"/>
        <cfvo type="percentile" val="50"/>
        <cfvo type="max"/>
        <color rgb="FFF8696B"/>
        <color rgb="FFFFEB84"/>
        <color rgb="FF63BE7B"/>
      </colorScale>
    </cfRule>
  </conditionalFormatting>
  <conditionalFormatting sqref="D7491:D7492">
    <cfRule type="colorScale" priority="4989">
      <colorScale>
        <cfvo type="min"/>
        <cfvo type="percentile" val="50"/>
        <cfvo type="max"/>
        <color rgb="FFF8696B"/>
        <color rgb="FFFFEB84"/>
        <color rgb="FF63BE7B"/>
      </colorScale>
    </cfRule>
  </conditionalFormatting>
  <conditionalFormatting sqref="D7496">
    <cfRule type="colorScale" priority="4994">
      <colorScale>
        <cfvo type="min"/>
        <cfvo type="percentile" val="50"/>
        <cfvo type="max"/>
        <color rgb="FFF8696B"/>
        <color rgb="FFFFEB84"/>
        <color rgb="FF63BE7B"/>
      </colorScale>
    </cfRule>
  </conditionalFormatting>
  <conditionalFormatting sqref="D7500:D7501">
    <cfRule type="colorScale" priority="4999">
      <colorScale>
        <cfvo type="min"/>
        <cfvo type="percentile" val="50"/>
        <cfvo type="max"/>
        <color rgb="FFF8696B"/>
        <color rgb="FFFFEB84"/>
        <color rgb="FF63BE7B"/>
      </colorScale>
    </cfRule>
  </conditionalFormatting>
  <conditionalFormatting sqref="D7505:D7506">
    <cfRule type="colorScale" priority="5004">
      <colorScale>
        <cfvo type="min"/>
        <cfvo type="percentile" val="50"/>
        <cfvo type="max"/>
        <color rgb="FFF8696B"/>
        <color rgb="FFFFEB84"/>
        <color rgb="FF63BE7B"/>
      </colorScale>
    </cfRule>
  </conditionalFormatting>
  <conditionalFormatting sqref="D7510:D7513">
    <cfRule type="colorScale" priority="5009">
      <colorScale>
        <cfvo type="min"/>
        <cfvo type="percentile" val="50"/>
        <cfvo type="max"/>
        <color rgb="FFF8696B"/>
        <color rgb="FFFFEB84"/>
        <color rgb="FF63BE7B"/>
      </colorScale>
    </cfRule>
  </conditionalFormatting>
  <conditionalFormatting sqref="D7517">
    <cfRule type="colorScale" priority="5015">
      <colorScale>
        <cfvo type="min"/>
        <cfvo type="percentile" val="50"/>
        <cfvo type="max"/>
        <color rgb="FFF8696B"/>
        <color rgb="FFFFEB84"/>
        <color rgb="FF63BE7B"/>
      </colorScale>
    </cfRule>
  </conditionalFormatting>
  <conditionalFormatting sqref="D7521">
    <cfRule type="colorScale" priority="5019">
      <colorScale>
        <cfvo type="min"/>
        <cfvo type="percentile" val="50"/>
        <cfvo type="max"/>
        <color rgb="FFF8696B"/>
        <color rgb="FFFFEB84"/>
        <color rgb="FF63BE7B"/>
      </colorScale>
    </cfRule>
  </conditionalFormatting>
  <conditionalFormatting sqref="D7529:D7530">
    <cfRule type="colorScale" priority="5029">
      <colorScale>
        <cfvo type="min"/>
        <cfvo type="percentile" val="50"/>
        <cfvo type="max"/>
        <color rgb="FFF8696B"/>
        <color rgb="FFFFEB84"/>
        <color rgb="FF63BE7B"/>
      </colorScale>
    </cfRule>
  </conditionalFormatting>
  <conditionalFormatting sqref="D7534">
    <cfRule type="colorScale" priority="5034">
      <colorScale>
        <cfvo type="min"/>
        <cfvo type="percentile" val="50"/>
        <cfvo type="max"/>
        <color rgb="FFF8696B"/>
        <color rgb="FFFFEB84"/>
        <color rgb="FF63BE7B"/>
      </colorScale>
    </cfRule>
  </conditionalFormatting>
  <conditionalFormatting sqref="D7538:D7539">
    <cfRule type="colorScale" priority="5039">
      <colorScale>
        <cfvo type="min"/>
        <cfvo type="percentile" val="50"/>
        <cfvo type="max"/>
        <color rgb="FFF8696B"/>
        <color rgb="FFFFEB84"/>
        <color rgb="FF63BE7B"/>
      </colorScale>
    </cfRule>
  </conditionalFormatting>
  <conditionalFormatting sqref="D7543">
    <cfRule type="colorScale" priority="5044">
      <colorScale>
        <cfvo type="min"/>
        <cfvo type="percentile" val="50"/>
        <cfvo type="max"/>
        <color rgb="FFF8696B"/>
        <color rgb="FFFFEB84"/>
        <color rgb="FF63BE7B"/>
      </colorScale>
    </cfRule>
  </conditionalFormatting>
  <conditionalFormatting sqref="D7547:D7548">
    <cfRule type="colorScale" priority="5049">
      <colorScale>
        <cfvo type="min"/>
        <cfvo type="percentile" val="50"/>
        <cfvo type="max"/>
        <color rgb="FFF8696B"/>
        <color rgb="FFFFEB84"/>
        <color rgb="FF63BE7B"/>
      </colorScale>
    </cfRule>
  </conditionalFormatting>
  <conditionalFormatting sqref="D7552:D7553">
    <cfRule type="colorScale" priority="5054">
      <colorScale>
        <cfvo type="min"/>
        <cfvo type="percentile" val="50"/>
        <cfvo type="max"/>
        <color rgb="FFF8696B"/>
        <color rgb="FFFFEB84"/>
        <color rgb="FF63BE7B"/>
      </colorScale>
    </cfRule>
  </conditionalFormatting>
  <conditionalFormatting sqref="D7557:D7558">
    <cfRule type="colorScale" priority="5059">
      <colorScale>
        <cfvo type="min"/>
        <cfvo type="percentile" val="50"/>
        <cfvo type="max"/>
        <color rgb="FFF8696B"/>
        <color rgb="FFFFEB84"/>
        <color rgb="FF63BE7B"/>
      </colorScale>
    </cfRule>
  </conditionalFormatting>
  <conditionalFormatting sqref="D7562:D7563">
    <cfRule type="colorScale" priority="5064">
      <colorScale>
        <cfvo type="min"/>
        <cfvo type="percentile" val="50"/>
        <cfvo type="max"/>
        <color rgb="FFF8696B"/>
        <color rgb="FFFFEB84"/>
        <color rgb="FF63BE7B"/>
      </colorScale>
    </cfRule>
  </conditionalFormatting>
  <conditionalFormatting sqref="D7567">
    <cfRule type="colorScale" priority="5069">
      <colorScale>
        <cfvo type="min"/>
        <cfvo type="percentile" val="50"/>
        <cfvo type="max"/>
        <color rgb="FFF8696B"/>
        <color rgb="FFFFEB84"/>
        <color rgb="FF63BE7B"/>
      </colorScale>
    </cfRule>
  </conditionalFormatting>
  <conditionalFormatting sqref="D7571:D7572">
    <cfRule type="colorScale" priority="5074">
      <colorScale>
        <cfvo type="min"/>
        <cfvo type="percentile" val="50"/>
        <cfvo type="max"/>
        <color rgb="FFF8696B"/>
        <color rgb="FFFFEB84"/>
        <color rgb="FF63BE7B"/>
      </colorScale>
    </cfRule>
  </conditionalFormatting>
  <conditionalFormatting sqref="D7576:D7577">
    <cfRule type="colorScale" priority="5079">
      <colorScale>
        <cfvo type="min"/>
        <cfvo type="percentile" val="50"/>
        <cfvo type="max"/>
        <color rgb="FFF8696B"/>
        <color rgb="FFFFEB84"/>
        <color rgb="FF63BE7B"/>
      </colorScale>
    </cfRule>
  </conditionalFormatting>
  <conditionalFormatting sqref="D7581:D7584">
    <cfRule type="colorScale" priority="5084">
      <colorScale>
        <cfvo type="min"/>
        <cfvo type="percentile" val="50"/>
        <cfvo type="max"/>
        <color rgb="FFF8696B"/>
        <color rgb="FFFFEB84"/>
        <color rgb="FF63BE7B"/>
      </colorScale>
    </cfRule>
  </conditionalFormatting>
  <conditionalFormatting sqref="D7588">
    <cfRule type="colorScale" priority="5090">
      <colorScale>
        <cfvo type="min"/>
        <cfvo type="percentile" val="50"/>
        <cfvo type="max"/>
        <color rgb="FFF8696B"/>
        <color rgb="FFFFEB84"/>
        <color rgb="FF63BE7B"/>
      </colorScale>
    </cfRule>
  </conditionalFormatting>
  <conditionalFormatting sqref="D7592">
    <cfRule type="colorScale" priority="5094">
      <colorScale>
        <cfvo type="min"/>
        <cfvo type="percentile" val="50"/>
        <cfvo type="max"/>
        <color rgb="FFF8696B"/>
        <color rgb="FFFFEB84"/>
        <color rgb="FF63BE7B"/>
      </colorScale>
    </cfRule>
  </conditionalFormatting>
  <conditionalFormatting sqref="D7600:D7601">
    <cfRule type="colorScale" priority="5104">
      <colorScale>
        <cfvo type="min"/>
        <cfvo type="percentile" val="50"/>
        <cfvo type="max"/>
        <color rgb="FFF8696B"/>
        <color rgb="FFFFEB84"/>
        <color rgb="FF63BE7B"/>
      </colorScale>
    </cfRule>
  </conditionalFormatting>
  <conditionalFormatting sqref="D7605:D7606">
    <cfRule type="colorScale" priority="5109">
      <colorScale>
        <cfvo type="min"/>
        <cfvo type="percentile" val="50"/>
        <cfvo type="max"/>
        <color rgb="FFF8696B"/>
        <color rgb="FFFFEB84"/>
        <color rgb="FF63BE7B"/>
      </colorScale>
    </cfRule>
  </conditionalFormatting>
  <conditionalFormatting sqref="D7610:D7611">
    <cfRule type="colorScale" priority="5114">
      <colorScale>
        <cfvo type="min"/>
        <cfvo type="percentile" val="50"/>
        <cfvo type="max"/>
        <color rgb="FFF8696B"/>
        <color rgb="FFFFEB84"/>
        <color rgb="FF63BE7B"/>
      </colorScale>
    </cfRule>
  </conditionalFormatting>
  <conditionalFormatting sqref="D7615">
    <cfRule type="colorScale" priority="5119">
      <colorScale>
        <cfvo type="min"/>
        <cfvo type="percentile" val="50"/>
        <cfvo type="max"/>
        <color rgb="FFF8696B"/>
        <color rgb="FFFFEB84"/>
        <color rgb="FF63BE7B"/>
      </colorScale>
    </cfRule>
  </conditionalFormatting>
  <conditionalFormatting sqref="D7619:D7620">
    <cfRule type="colorScale" priority="5124">
      <colorScale>
        <cfvo type="min"/>
        <cfvo type="percentile" val="50"/>
        <cfvo type="max"/>
        <color rgb="FFF8696B"/>
        <color rgb="FFFFEB84"/>
        <color rgb="FF63BE7B"/>
      </colorScale>
    </cfRule>
  </conditionalFormatting>
  <conditionalFormatting sqref="D7624:D7625">
    <cfRule type="colorScale" priority="5129">
      <colorScale>
        <cfvo type="min"/>
        <cfvo type="percentile" val="50"/>
        <cfvo type="max"/>
        <color rgb="FFF8696B"/>
        <color rgb="FFFFEB84"/>
        <color rgb="FF63BE7B"/>
      </colorScale>
    </cfRule>
  </conditionalFormatting>
  <conditionalFormatting sqref="D7629:D7630">
    <cfRule type="colorScale" priority="5134">
      <colorScale>
        <cfvo type="min"/>
        <cfvo type="percentile" val="50"/>
        <cfvo type="max"/>
        <color rgb="FFF8696B"/>
        <color rgb="FFFFEB84"/>
        <color rgb="FF63BE7B"/>
      </colorScale>
    </cfRule>
  </conditionalFormatting>
  <conditionalFormatting sqref="D7634:D7635">
    <cfRule type="colorScale" priority="5139">
      <colorScale>
        <cfvo type="min"/>
        <cfvo type="percentile" val="50"/>
        <cfvo type="max"/>
        <color rgb="FFF8696B"/>
        <color rgb="FFFFEB84"/>
        <color rgb="FF63BE7B"/>
      </colorScale>
    </cfRule>
  </conditionalFormatting>
  <conditionalFormatting sqref="D7639">
    <cfRule type="colorScale" priority="5144">
      <colorScale>
        <cfvo type="min"/>
        <cfvo type="percentile" val="50"/>
        <cfvo type="max"/>
        <color rgb="FFF8696B"/>
        <color rgb="FFFFEB84"/>
        <color rgb="FF63BE7B"/>
      </colorScale>
    </cfRule>
  </conditionalFormatting>
  <conditionalFormatting sqref="D7643:D7644">
    <cfRule type="colorScale" priority="5149">
      <colorScale>
        <cfvo type="min"/>
        <cfvo type="percentile" val="50"/>
        <cfvo type="max"/>
        <color rgb="FFF8696B"/>
        <color rgb="FFFFEB84"/>
        <color rgb="FF63BE7B"/>
      </colorScale>
    </cfRule>
  </conditionalFormatting>
  <conditionalFormatting sqref="D7648:D7649">
    <cfRule type="colorScale" priority="5154">
      <colorScale>
        <cfvo type="min"/>
        <cfvo type="percentile" val="50"/>
        <cfvo type="max"/>
        <color rgb="FFF8696B"/>
        <color rgb="FFFFEB84"/>
        <color rgb="FF63BE7B"/>
      </colorScale>
    </cfRule>
  </conditionalFormatting>
  <conditionalFormatting sqref="D7653:D7656">
    <cfRule type="colorScale" priority="5159">
      <colorScale>
        <cfvo type="min"/>
        <cfvo type="percentile" val="50"/>
        <cfvo type="max"/>
        <color rgb="FFF8696B"/>
        <color rgb="FFFFEB84"/>
        <color rgb="FF63BE7B"/>
      </colorScale>
    </cfRule>
  </conditionalFormatting>
  <conditionalFormatting sqref="D7660">
    <cfRule type="colorScale" priority="5165">
      <colorScale>
        <cfvo type="min"/>
        <cfvo type="percentile" val="50"/>
        <cfvo type="max"/>
        <color rgb="FFF8696B"/>
        <color rgb="FFFFEB84"/>
        <color rgb="FF63BE7B"/>
      </colorScale>
    </cfRule>
  </conditionalFormatting>
  <conditionalFormatting sqref="D7664:D7665">
    <cfRule type="colorScale" priority="5169">
      <colorScale>
        <cfvo type="min"/>
        <cfvo type="percentile" val="50"/>
        <cfvo type="max"/>
        <color rgb="FFF8696B"/>
        <color rgb="FFFFEB84"/>
        <color rgb="FF63BE7B"/>
      </colorScale>
    </cfRule>
  </conditionalFormatting>
  <conditionalFormatting sqref="D7673:D7674">
    <cfRule type="colorScale" priority="5179">
      <colorScale>
        <cfvo type="min"/>
        <cfvo type="percentile" val="50"/>
        <cfvo type="max"/>
        <color rgb="FFF8696B"/>
        <color rgb="FFFFEB84"/>
        <color rgb="FF63BE7B"/>
      </colorScale>
    </cfRule>
  </conditionalFormatting>
  <conditionalFormatting sqref="D7678:D7679">
    <cfRule type="colorScale" priority="5184">
      <colorScale>
        <cfvo type="min"/>
        <cfvo type="percentile" val="50"/>
        <cfvo type="max"/>
        <color rgb="FFF8696B"/>
        <color rgb="FFFFEB84"/>
        <color rgb="FF63BE7B"/>
      </colorScale>
    </cfRule>
  </conditionalFormatting>
  <conditionalFormatting sqref="D7683:D7684">
    <cfRule type="colorScale" priority="5189">
      <colorScale>
        <cfvo type="min"/>
        <cfvo type="percentile" val="50"/>
        <cfvo type="max"/>
        <color rgb="FFF8696B"/>
        <color rgb="FFFFEB84"/>
        <color rgb="FF63BE7B"/>
      </colorScale>
    </cfRule>
  </conditionalFormatting>
  <conditionalFormatting sqref="D7688:D7689">
    <cfRule type="colorScale" priority="5194">
      <colorScale>
        <cfvo type="min"/>
        <cfvo type="percentile" val="50"/>
        <cfvo type="max"/>
        <color rgb="FFF8696B"/>
        <color rgb="FFFFEB84"/>
        <color rgb="FF63BE7B"/>
      </colorScale>
    </cfRule>
  </conditionalFormatting>
  <conditionalFormatting sqref="D7693:D7694">
    <cfRule type="colorScale" priority="5199">
      <colorScale>
        <cfvo type="min"/>
        <cfvo type="percentile" val="50"/>
        <cfvo type="max"/>
        <color rgb="FFF8696B"/>
        <color rgb="FFFFEB84"/>
        <color rgb="FF63BE7B"/>
      </colorScale>
    </cfRule>
  </conditionalFormatting>
  <conditionalFormatting sqref="D7698:D7699">
    <cfRule type="colorScale" priority="5204">
      <colorScale>
        <cfvo type="min"/>
        <cfvo type="percentile" val="50"/>
        <cfvo type="max"/>
        <color rgb="FFF8696B"/>
        <color rgb="FFFFEB84"/>
        <color rgb="FF63BE7B"/>
      </colorScale>
    </cfRule>
  </conditionalFormatting>
  <conditionalFormatting sqref="D7703:D7704">
    <cfRule type="colorScale" priority="5209">
      <colorScale>
        <cfvo type="min"/>
        <cfvo type="percentile" val="50"/>
        <cfvo type="max"/>
        <color rgb="FFF8696B"/>
        <color rgb="FFFFEB84"/>
        <color rgb="FF63BE7B"/>
      </colorScale>
    </cfRule>
  </conditionalFormatting>
  <conditionalFormatting sqref="D7708:D7709">
    <cfRule type="colorScale" priority="5214">
      <colorScale>
        <cfvo type="min"/>
        <cfvo type="percentile" val="50"/>
        <cfvo type="max"/>
        <color rgb="FFF8696B"/>
        <color rgb="FFFFEB84"/>
        <color rgb="FF63BE7B"/>
      </colorScale>
    </cfRule>
  </conditionalFormatting>
  <conditionalFormatting sqref="D7713">
    <cfRule type="colorScale" priority="5219">
      <colorScale>
        <cfvo type="min"/>
        <cfvo type="percentile" val="50"/>
        <cfvo type="max"/>
        <color rgb="FFF8696B"/>
        <color rgb="FFFFEB84"/>
        <color rgb="FF63BE7B"/>
      </colorScale>
    </cfRule>
  </conditionalFormatting>
  <conditionalFormatting sqref="D7717:D7718">
    <cfRule type="colorScale" priority="5224">
      <colorScale>
        <cfvo type="min"/>
        <cfvo type="percentile" val="50"/>
        <cfvo type="max"/>
        <color rgb="FFF8696B"/>
        <color rgb="FFFFEB84"/>
        <color rgb="FF63BE7B"/>
      </colorScale>
    </cfRule>
  </conditionalFormatting>
  <conditionalFormatting sqref="D7722:D7723">
    <cfRule type="colorScale" priority="5229">
      <colorScale>
        <cfvo type="min"/>
        <cfvo type="percentile" val="50"/>
        <cfvo type="max"/>
        <color rgb="FFF8696B"/>
        <color rgb="FFFFEB84"/>
        <color rgb="FF63BE7B"/>
      </colorScale>
    </cfRule>
  </conditionalFormatting>
  <conditionalFormatting sqref="D7727:D7730">
    <cfRule type="colorScale" priority="5234">
      <colorScale>
        <cfvo type="min"/>
        <cfvo type="percentile" val="50"/>
        <cfvo type="max"/>
        <color rgb="FFF8696B"/>
        <color rgb="FFFFEB84"/>
        <color rgb="FF63BE7B"/>
      </colorScale>
    </cfRule>
  </conditionalFormatting>
  <conditionalFormatting sqref="D7734">
    <cfRule type="colorScale" priority="5240">
      <colorScale>
        <cfvo type="min"/>
        <cfvo type="percentile" val="50"/>
        <cfvo type="max"/>
        <color rgb="FFF8696B"/>
        <color rgb="FFFFEB84"/>
        <color rgb="FF63BE7B"/>
      </colorScale>
    </cfRule>
  </conditionalFormatting>
  <conditionalFormatting sqref="D7738">
    <cfRule type="colorScale" priority="5244">
      <colorScale>
        <cfvo type="min"/>
        <cfvo type="percentile" val="50"/>
        <cfvo type="max"/>
        <color rgb="FFF8696B"/>
        <color rgb="FFFFEB84"/>
        <color rgb="FF63BE7B"/>
      </colorScale>
    </cfRule>
  </conditionalFormatting>
  <conditionalFormatting sqref="D7746:D7747">
    <cfRule type="colorScale" priority="5254">
      <colorScale>
        <cfvo type="min"/>
        <cfvo type="percentile" val="50"/>
        <cfvo type="max"/>
        <color rgb="FFF8696B"/>
        <color rgb="FFFFEB84"/>
        <color rgb="FF63BE7B"/>
      </colorScale>
    </cfRule>
  </conditionalFormatting>
  <conditionalFormatting sqref="D7751">
    <cfRule type="colorScale" priority="5259">
      <colorScale>
        <cfvo type="min"/>
        <cfvo type="percentile" val="50"/>
        <cfvo type="max"/>
        <color rgb="FFF8696B"/>
        <color rgb="FFFFEB84"/>
        <color rgb="FF63BE7B"/>
      </colorScale>
    </cfRule>
  </conditionalFormatting>
  <conditionalFormatting sqref="D7755:D7756">
    <cfRule type="colorScale" priority="5264">
      <colorScale>
        <cfvo type="min"/>
        <cfvo type="percentile" val="50"/>
        <cfvo type="max"/>
        <color rgb="FFF8696B"/>
        <color rgb="FFFFEB84"/>
        <color rgb="FF63BE7B"/>
      </colorScale>
    </cfRule>
  </conditionalFormatting>
  <conditionalFormatting sqref="D7760">
    <cfRule type="colorScale" priority="5269">
      <colorScale>
        <cfvo type="min"/>
        <cfvo type="percentile" val="50"/>
        <cfvo type="max"/>
        <color rgb="FFF8696B"/>
        <color rgb="FFFFEB84"/>
        <color rgb="FF63BE7B"/>
      </colorScale>
    </cfRule>
  </conditionalFormatting>
  <conditionalFormatting sqref="D7764:D7765">
    <cfRule type="colorScale" priority="5274">
      <colorScale>
        <cfvo type="min"/>
        <cfvo type="percentile" val="50"/>
        <cfvo type="max"/>
        <color rgb="FFF8696B"/>
        <color rgb="FFFFEB84"/>
        <color rgb="FF63BE7B"/>
      </colorScale>
    </cfRule>
  </conditionalFormatting>
  <conditionalFormatting sqref="D7769:D7770">
    <cfRule type="colorScale" priority="5279">
      <colorScale>
        <cfvo type="min"/>
        <cfvo type="percentile" val="50"/>
        <cfvo type="max"/>
        <color rgb="FFF8696B"/>
        <color rgb="FFFFEB84"/>
        <color rgb="FF63BE7B"/>
      </colorScale>
    </cfRule>
  </conditionalFormatting>
  <conditionalFormatting sqref="D7774:D7775">
    <cfRule type="colorScale" priority="5284">
      <colorScale>
        <cfvo type="min"/>
        <cfvo type="percentile" val="50"/>
        <cfvo type="max"/>
        <color rgb="FFF8696B"/>
        <color rgb="FFFFEB84"/>
        <color rgb="FF63BE7B"/>
      </colorScale>
    </cfRule>
  </conditionalFormatting>
  <conditionalFormatting sqref="D7779:D7780">
    <cfRule type="colorScale" priority="5289">
      <colorScale>
        <cfvo type="min"/>
        <cfvo type="percentile" val="50"/>
        <cfvo type="max"/>
        <color rgb="FFF8696B"/>
        <color rgb="FFFFEB84"/>
        <color rgb="FF63BE7B"/>
      </colorScale>
    </cfRule>
  </conditionalFormatting>
  <conditionalFormatting sqref="D7784">
    <cfRule type="colorScale" priority="5294">
      <colorScale>
        <cfvo type="min"/>
        <cfvo type="percentile" val="50"/>
        <cfvo type="max"/>
        <color rgb="FFF8696B"/>
        <color rgb="FFFFEB84"/>
        <color rgb="FF63BE7B"/>
      </colorScale>
    </cfRule>
  </conditionalFormatting>
  <conditionalFormatting sqref="D7788:D7789">
    <cfRule type="colorScale" priority="5299">
      <colorScale>
        <cfvo type="min"/>
        <cfvo type="percentile" val="50"/>
        <cfvo type="max"/>
        <color rgb="FFF8696B"/>
        <color rgb="FFFFEB84"/>
        <color rgb="FF63BE7B"/>
      </colorScale>
    </cfRule>
  </conditionalFormatting>
  <conditionalFormatting sqref="D7793:D7794">
    <cfRule type="colorScale" priority="5304">
      <colorScale>
        <cfvo type="min"/>
        <cfvo type="percentile" val="50"/>
        <cfvo type="max"/>
        <color rgb="FFF8696B"/>
        <color rgb="FFFFEB84"/>
        <color rgb="FF63BE7B"/>
      </colorScale>
    </cfRule>
  </conditionalFormatting>
  <conditionalFormatting sqref="D7798:D7801">
    <cfRule type="colorScale" priority="5309">
      <colorScale>
        <cfvo type="min"/>
        <cfvo type="percentile" val="50"/>
        <cfvo type="max"/>
        <color rgb="FFF8696B"/>
        <color rgb="FFFFEB84"/>
        <color rgb="FF63BE7B"/>
      </colorScale>
    </cfRule>
  </conditionalFormatting>
  <conditionalFormatting sqref="D7805">
    <cfRule type="colorScale" priority="5315">
      <colorScale>
        <cfvo type="min"/>
        <cfvo type="percentile" val="50"/>
        <cfvo type="max"/>
        <color rgb="FFF8696B"/>
        <color rgb="FFFFEB84"/>
        <color rgb="FF63BE7B"/>
      </colorScale>
    </cfRule>
  </conditionalFormatting>
  <conditionalFormatting sqref="D7809">
    <cfRule type="colorScale" priority="5319">
      <colorScale>
        <cfvo type="min"/>
        <cfvo type="percentile" val="50"/>
        <cfvo type="max"/>
        <color rgb="FFF8696B"/>
        <color rgb="FFFFEB84"/>
        <color rgb="FF63BE7B"/>
      </colorScale>
    </cfRule>
  </conditionalFormatting>
  <conditionalFormatting sqref="D7817:D7818">
    <cfRule type="colorScale" priority="5329">
      <colorScale>
        <cfvo type="min"/>
        <cfvo type="percentile" val="50"/>
        <cfvo type="max"/>
        <color rgb="FFF8696B"/>
        <color rgb="FFFFEB84"/>
        <color rgb="FF63BE7B"/>
      </colorScale>
    </cfRule>
  </conditionalFormatting>
  <conditionalFormatting sqref="D7822">
    <cfRule type="colorScale" priority="5334">
      <colorScale>
        <cfvo type="min"/>
        <cfvo type="percentile" val="50"/>
        <cfvo type="max"/>
        <color rgb="FFF8696B"/>
        <color rgb="FFFFEB84"/>
        <color rgb="FF63BE7B"/>
      </colorScale>
    </cfRule>
  </conditionalFormatting>
  <conditionalFormatting sqref="D7826">
    <cfRule type="colorScale" priority="5339">
      <colorScale>
        <cfvo type="min"/>
        <cfvo type="percentile" val="50"/>
        <cfvo type="max"/>
        <color rgb="FFF8696B"/>
        <color rgb="FFFFEB84"/>
        <color rgb="FF63BE7B"/>
      </colorScale>
    </cfRule>
  </conditionalFormatting>
  <conditionalFormatting sqref="D7830:D7831">
    <cfRule type="colorScale" priority="5344">
      <colorScale>
        <cfvo type="min"/>
        <cfvo type="percentile" val="50"/>
        <cfvo type="max"/>
        <color rgb="FFF8696B"/>
        <color rgb="FFFFEB84"/>
        <color rgb="FF63BE7B"/>
      </colorScale>
    </cfRule>
  </conditionalFormatting>
  <conditionalFormatting sqref="D7835:D7836">
    <cfRule type="colorScale" priority="5349">
      <colorScale>
        <cfvo type="min"/>
        <cfvo type="percentile" val="50"/>
        <cfvo type="max"/>
        <color rgb="FFF8696B"/>
        <color rgb="FFFFEB84"/>
        <color rgb="FF63BE7B"/>
      </colorScale>
    </cfRule>
  </conditionalFormatting>
  <conditionalFormatting sqref="D7840:D7841">
    <cfRule type="colorScale" priority="5354">
      <colorScale>
        <cfvo type="min"/>
        <cfvo type="percentile" val="50"/>
        <cfvo type="max"/>
        <color rgb="FFF8696B"/>
        <color rgb="FFFFEB84"/>
        <color rgb="FF63BE7B"/>
      </colorScale>
    </cfRule>
  </conditionalFormatting>
  <conditionalFormatting sqref="D7845:D7846">
    <cfRule type="colorScale" priority="5359">
      <colorScale>
        <cfvo type="min"/>
        <cfvo type="percentile" val="50"/>
        <cfvo type="max"/>
        <color rgb="FFF8696B"/>
        <color rgb="FFFFEB84"/>
        <color rgb="FF63BE7B"/>
      </colorScale>
    </cfRule>
  </conditionalFormatting>
  <conditionalFormatting sqref="D7850:D7851">
    <cfRule type="colorScale" priority="5364">
      <colorScale>
        <cfvo type="min"/>
        <cfvo type="percentile" val="50"/>
        <cfvo type="max"/>
        <color rgb="FFF8696B"/>
        <color rgb="FFFFEB84"/>
        <color rgb="FF63BE7B"/>
      </colorScale>
    </cfRule>
  </conditionalFormatting>
  <conditionalFormatting sqref="D7855">
    <cfRule type="colorScale" priority="5369">
      <colorScale>
        <cfvo type="min"/>
        <cfvo type="percentile" val="50"/>
        <cfvo type="max"/>
        <color rgb="FFF8696B"/>
        <color rgb="FFFFEB84"/>
        <color rgb="FF63BE7B"/>
      </colorScale>
    </cfRule>
  </conditionalFormatting>
  <conditionalFormatting sqref="D7859:D7860">
    <cfRule type="colorScale" priority="5374">
      <colorScale>
        <cfvo type="min"/>
        <cfvo type="percentile" val="50"/>
        <cfvo type="max"/>
        <color rgb="FFF8696B"/>
        <color rgb="FFFFEB84"/>
        <color rgb="FF63BE7B"/>
      </colorScale>
    </cfRule>
  </conditionalFormatting>
  <conditionalFormatting sqref="D7864">
    <cfRule type="colorScale" priority="5379">
      <colorScale>
        <cfvo type="min"/>
        <cfvo type="percentile" val="50"/>
        <cfvo type="max"/>
        <color rgb="FFF8696B"/>
        <color rgb="FFFFEB84"/>
        <color rgb="FF63BE7B"/>
      </colorScale>
    </cfRule>
  </conditionalFormatting>
  <conditionalFormatting sqref="D7868:D7871">
    <cfRule type="colorScale" priority="5384">
      <colorScale>
        <cfvo type="min"/>
        <cfvo type="percentile" val="50"/>
        <cfvo type="max"/>
        <color rgb="FFF8696B"/>
        <color rgb="FFFFEB84"/>
        <color rgb="FF63BE7B"/>
      </colorScale>
    </cfRule>
  </conditionalFormatting>
  <conditionalFormatting sqref="D7875">
    <cfRule type="colorScale" priority="5390">
      <colorScale>
        <cfvo type="min"/>
        <cfvo type="percentile" val="50"/>
        <cfvo type="max"/>
        <color rgb="FFF8696B"/>
        <color rgb="FFFFEB84"/>
        <color rgb="FF63BE7B"/>
      </colorScale>
    </cfRule>
  </conditionalFormatting>
  <conditionalFormatting sqref="D7879">
    <cfRule type="colorScale" priority="5394">
      <colorScale>
        <cfvo type="min"/>
        <cfvo type="percentile" val="50"/>
        <cfvo type="max"/>
        <color rgb="FFF8696B"/>
        <color rgb="FFFFEB84"/>
        <color rgb="FF63BE7B"/>
      </colorScale>
    </cfRule>
  </conditionalFormatting>
  <conditionalFormatting sqref="D7887">
    <cfRule type="colorScale" priority="5404">
      <colorScale>
        <cfvo type="min"/>
        <cfvo type="percentile" val="50"/>
        <cfvo type="max"/>
        <color rgb="FFF8696B"/>
        <color rgb="FFFFEB84"/>
        <color rgb="FF63BE7B"/>
      </colorScale>
    </cfRule>
  </conditionalFormatting>
  <conditionalFormatting sqref="D7891">
    <cfRule type="colorScale" priority="5409">
      <colorScale>
        <cfvo type="min"/>
        <cfvo type="percentile" val="50"/>
        <cfvo type="max"/>
        <color rgb="FFF8696B"/>
        <color rgb="FFFFEB84"/>
        <color rgb="FF63BE7B"/>
      </colorScale>
    </cfRule>
  </conditionalFormatting>
  <conditionalFormatting sqref="D7895:D7896">
    <cfRule type="colorScale" priority="5414">
      <colorScale>
        <cfvo type="min"/>
        <cfvo type="percentile" val="50"/>
        <cfvo type="max"/>
        <color rgb="FFF8696B"/>
        <color rgb="FFFFEB84"/>
        <color rgb="FF63BE7B"/>
      </colorScale>
    </cfRule>
  </conditionalFormatting>
  <conditionalFormatting sqref="D7900">
    <cfRule type="colorScale" priority="5419">
      <colorScale>
        <cfvo type="min"/>
        <cfvo type="percentile" val="50"/>
        <cfvo type="max"/>
        <color rgb="FFF8696B"/>
        <color rgb="FFFFEB84"/>
        <color rgb="FF63BE7B"/>
      </colorScale>
    </cfRule>
  </conditionalFormatting>
  <conditionalFormatting sqref="D7904:D7905">
    <cfRule type="colorScale" priority="5424">
      <colorScale>
        <cfvo type="min"/>
        <cfvo type="percentile" val="50"/>
        <cfvo type="max"/>
        <color rgb="FFF8696B"/>
        <color rgb="FFFFEB84"/>
        <color rgb="FF63BE7B"/>
      </colorScale>
    </cfRule>
  </conditionalFormatting>
  <conditionalFormatting sqref="D7909:D7910">
    <cfRule type="colorScale" priority="5429">
      <colorScale>
        <cfvo type="min"/>
        <cfvo type="percentile" val="50"/>
        <cfvo type="max"/>
        <color rgb="FFF8696B"/>
        <color rgb="FFFFEB84"/>
        <color rgb="FF63BE7B"/>
      </colorScale>
    </cfRule>
  </conditionalFormatting>
  <conditionalFormatting sqref="D7914:D7915">
    <cfRule type="colorScale" priority="5434">
      <colorScale>
        <cfvo type="min"/>
        <cfvo type="percentile" val="50"/>
        <cfvo type="max"/>
        <color rgb="FFF8696B"/>
        <color rgb="FFFFEB84"/>
        <color rgb="FF63BE7B"/>
      </colorScale>
    </cfRule>
  </conditionalFormatting>
  <conditionalFormatting sqref="D7919:D7920">
    <cfRule type="colorScale" priority="5439">
      <colorScale>
        <cfvo type="min"/>
        <cfvo type="percentile" val="50"/>
        <cfvo type="max"/>
        <color rgb="FFF8696B"/>
        <color rgb="FFFFEB84"/>
        <color rgb="FF63BE7B"/>
      </colorScale>
    </cfRule>
  </conditionalFormatting>
  <conditionalFormatting sqref="D7924">
    <cfRule type="colorScale" priority="5444">
      <colorScale>
        <cfvo type="min"/>
        <cfvo type="percentile" val="50"/>
        <cfvo type="max"/>
        <color rgb="FFF8696B"/>
        <color rgb="FFFFEB84"/>
        <color rgb="FF63BE7B"/>
      </colorScale>
    </cfRule>
  </conditionalFormatting>
  <conditionalFormatting sqref="D7928:D7929">
    <cfRule type="colorScale" priority="5449">
      <colorScale>
        <cfvo type="min"/>
        <cfvo type="percentile" val="50"/>
        <cfvo type="max"/>
        <color rgb="FFF8696B"/>
        <color rgb="FFFFEB84"/>
        <color rgb="FF63BE7B"/>
      </colorScale>
    </cfRule>
  </conditionalFormatting>
  <conditionalFormatting sqref="D7933:D7934">
    <cfRule type="colorScale" priority="5454">
      <colorScale>
        <cfvo type="min"/>
        <cfvo type="percentile" val="50"/>
        <cfvo type="max"/>
        <color rgb="FFF8696B"/>
        <color rgb="FFFFEB84"/>
        <color rgb="FF63BE7B"/>
      </colorScale>
    </cfRule>
  </conditionalFormatting>
  <conditionalFormatting sqref="D7938:D7941">
    <cfRule type="colorScale" priority="5459">
      <colorScale>
        <cfvo type="min"/>
        <cfvo type="percentile" val="50"/>
        <cfvo type="max"/>
        <color rgb="FFF8696B"/>
        <color rgb="FFFFEB84"/>
        <color rgb="FF63BE7B"/>
      </colorScale>
    </cfRule>
  </conditionalFormatting>
  <conditionalFormatting sqref="D7945">
    <cfRule type="colorScale" priority="5465">
      <colorScale>
        <cfvo type="min"/>
        <cfvo type="percentile" val="50"/>
        <cfvo type="max"/>
        <color rgb="FFF8696B"/>
        <color rgb="FFFFEB84"/>
        <color rgb="FF63BE7B"/>
      </colorScale>
    </cfRule>
  </conditionalFormatting>
  <conditionalFormatting sqref="D7949:D7950">
    <cfRule type="colorScale" priority="5469">
      <colorScale>
        <cfvo type="min"/>
        <cfvo type="percentile" val="50"/>
        <cfvo type="max"/>
        <color rgb="FFF8696B"/>
        <color rgb="FFFFEB84"/>
        <color rgb="FF63BE7B"/>
      </colorScale>
    </cfRule>
  </conditionalFormatting>
  <conditionalFormatting sqref="D7958:D7959">
    <cfRule type="colorScale" priority="5479">
      <colorScale>
        <cfvo type="min"/>
        <cfvo type="percentile" val="50"/>
        <cfvo type="max"/>
        <color rgb="FFF8696B"/>
        <color rgb="FFFFEB84"/>
        <color rgb="FF63BE7B"/>
      </colorScale>
    </cfRule>
  </conditionalFormatting>
  <conditionalFormatting sqref="D7963:D7964">
    <cfRule type="colorScale" priority="5484">
      <colorScale>
        <cfvo type="min"/>
        <cfvo type="percentile" val="50"/>
        <cfvo type="max"/>
        <color rgb="FFF8696B"/>
        <color rgb="FFFFEB84"/>
        <color rgb="FF63BE7B"/>
      </colorScale>
    </cfRule>
  </conditionalFormatting>
  <conditionalFormatting sqref="D7968:D7969">
    <cfRule type="colorScale" priority="5489">
      <colorScale>
        <cfvo type="min"/>
        <cfvo type="percentile" val="50"/>
        <cfvo type="max"/>
        <color rgb="FFF8696B"/>
        <color rgb="FFFFEB84"/>
        <color rgb="FF63BE7B"/>
      </colorScale>
    </cfRule>
  </conditionalFormatting>
  <conditionalFormatting sqref="D7973">
    <cfRule type="colorScale" priority="5494">
      <colorScale>
        <cfvo type="min"/>
        <cfvo type="percentile" val="50"/>
        <cfvo type="max"/>
        <color rgb="FFF8696B"/>
        <color rgb="FFFFEB84"/>
        <color rgb="FF63BE7B"/>
      </colorScale>
    </cfRule>
  </conditionalFormatting>
  <conditionalFormatting sqref="D7977:D7978">
    <cfRule type="colorScale" priority="5499">
      <colorScale>
        <cfvo type="min"/>
        <cfvo type="percentile" val="50"/>
        <cfvo type="max"/>
        <color rgb="FFF8696B"/>
        <color rgb="FFFFEB84"/>
        <color rgb="FF63BE7B"/>
      </colorScale>
    </cfRule>
  </conditionalFormatting>
  <conditionalFormatting sqref="D7982:D7983">
    <cfRule type="colorScale" priority="5504">
      <colorScale>
        <cfvo type="min"/>
        <cfvo type="percentile" val="50"/>
        <cfvo type="max"/>
        <color rgb="FFF8696B"/>
        <color rgb="FFFFEB84"/>
        <color rgb="FF63BE7B"/>
      </colorScale>
    </cfRule>
  </conditionalFormatting>
  <conditionalFormatting sqref="D7987:D7988">
    <cfRule type="colorScale" priority="5509">
      <colorScale>
        <cfvo type="min"/>
        <cfvo type="percentile" val="50"/>
        <cfvo type="max"/>
        <color rgb="FFF8696B"/>
        <color rgb="FFFFEB84"/>
        <color rgb="FF63BE7B"/>
      </colorScale>
    </cfRule>
  </conditionalFormatting>
  <conditionalFormatting sqref="D7992:D7993">
    <cfRule type="colorScale" priority="5514">
      <colorScale>
        <cfvo type="min"/>
        <cfvo type="percentile" val="50"/>
        <cfvo type="max"/>
        <color rgb="FFF8696B"/>
        <color rgb="FFFFEB84"/>
        <color rgb="FF63BE7B"/>
      </colorScale>
    </cfRule>
  </conditionalFormatting>
  <conditionalFormatting sqref="D7997">
    <cfRule type="colorScale" priority="5519">
      <colorScale>
        <cfvo type="min"/>
        <cfvo type="percentile" val="50"/>
        <cfvo type="max"/>
        <color rgb="FFF8696B"/>
        <color rgb="FFFFEB84"/>
        <color rgb="FF63BE7B"/>
      </colorScale>
    </cfRule>
  </conditionalFormatting>
  <conditionalFormatting sqref="D8001:D8002">
    <cfRule type="colorScale" priority="5524">
      <colorScale>
        <cfvo type="min"/>
        <cfvo type="percentile" val="50"/>
        <cfvo type="max"/>
        <color rgb="FFF8696B"/>
        <color rgb="FFFFEB84"/>
        <color rgb="FF63BE7B"/>
      </colorScale>
    </cfRule>
  </conditionalFormatting>
  <conditionalFormatting sqref="D8006:D8007">
    <cfRule type="colorScale" priority="5529">
      <colorScale>
        <cfvo type="min"/>
        <cfvo type="percentile" val="50"/>
        <cfvo type="max"/>
        <color rgb="FFF8696B"/>
        <color rgb="FFFFEB84"/>
        <color rgb="FF63BE7B"/>
      </colorScale>
    </cfRule>
  </conditionalFormatting>
  <conditionalFormatting sqref="D8011:D8014">
    <cfRule type="colorScale" priority="5534">
      <colorScale>
        <cfvo type="min"/>
        <cfvo type="percentile" val="50"/>
        <cfvo type="max"/>
        <color rgb="FFF8696B"/>
        <color rgb="FFFFEB84"/>
        <color rgb="FF63BE7B"/>
      </colorScale>
    </cfRule>
  </conditionalFormatting>
  <conditionalFormatting sqref="D8018">
    <cfRule type="colorScale" priority="5540">
      <colorScale>
        <cfvo type="min"/>
        <cfvo type="percentile" val="50"/>
        <cfvo type="max"/>
        <color rgb="FFF8696B"/>
        <color rgb="FFFFEB84"/>
        <color rgb="FF63BE7B"/>
      </colorScale>
    </cfRule>
  </conditionalFormatting>
  <conditionalFormatting sqref="D8022">
    <cfRule type="colorScale" priority="5544">
      <colorScale>
        <cfvo type="min"/>
        <cfvo type="percentile" val="50"/>
        <cfvo type="max"/>
        <color rgb="FFF8696B"/>
        <color rgb="FFFFEB84"/>
        <color rgb="FF63BE7B"/>
      </colorScale>
    </cfRule>
  </conditionalFormatting>
  <conditionalFormatting sqref="D8030">
    <cfRule type="colorScale" priority="5554">
      <colorScale>
        <cfvo type="min"/>
        <cfvo type="percentile" val="50"/>
        <cfvo type="max"/>
        <color rgb="FFF8696B"/>
        <color rgb="FFFFEB84"/>
        <color rgb="FF63BE7B"/>
      </colorScale>
    </cfRule>
  </conditionalFormatting>
  <conditionalFormatting sqref="D8034">
    <cfRule type="colorScale" priority="5559">
      <colorScale>
        <cfvo type="min"/>
        <cfvo type="percentile" val="50"/>
        <cfvo type="max"/>
        <color rgb="FFF8696B"/>
        <color rgb="FFFFEB84"/>
        <color rgb="FF63BE7B"/>
      </colorScale>
    </cfRule>
  </conditionalFormatting>
  <conditionalFormatting sqref="D8038:D8039">
    <cfRule type="colorScale" priority="5564">
      <colorScale>
        <cfvo type="min"/>
        <cfvo type="percentile" val="50"/>
        <cfvo type="max"/>
        <color rgb="FFF8696B"/>
        <color rgb="FFFFEB84"/>
        <color rgb="FF63BE7B"/>
      </colorScale>
    </cfRule>
  </conditionalFormatting>
  <conditionalFormatting sqref="D8043">
    <cfRule type="colorScale" priority="5569">
      <colorScale>
        <cfvo type="min"/>
        <cfvo type="percentile" val="50"/>
        <cfvo type="max"/>
        <color rgb="FFF8696B"/>
        <color rgb="FFFFEB84"/>
        <color rgb="FF63BE7B"/>
      </colorScale>
    </cfRule>
  </conditionalFormatting>
  <conditionalFormatting sqref="D8047:D8048">
    <cfRule type="colorScale" priority="5574">
      <colorScale>
        <cfvo type="min"/>
        <cfvo type="percentile" val="50"/>
        <cfvo type="max"/>
        <color rgb="FFF8696B"/>
        <color rgb="FFFFEB84"/>
        <color rgb="FF63BE7B"/>
      </colorScale>
    </cfRule>
  </conditionalFormatting>
  <conditionalFormatting sqref="D8052:D8053">
    <cfRule type="colorScale" priority="5579">
      <colorScale>
        <cfvo type="min"/>
        <cfvo type="percentile" val="50"/>
        <cfvo type="max"/>
        <color rgb="FFF8696B"/>
        <color rgb="FFFFEB84"/>
        <color rgb="FF63BE7B"/>
      </colorScale>
    </cfRule>
  </conditionalFormatting>
  <conditionalFormatting sqref="D8057:D8058">
    <cfRule type="colorScale" priority="5584">
      <colorScale>
        <cfvo type="min"/>
        <cfvo type="percentile" val="50"/>
        <cfvo type="max"/>
        <color rgb="FFF8696B"/>
        <color rgb="FFFFEB84"/>
        <color rgb="FF63BE7B"/>
      </colorScale>
    </cfRule>
  </conditionalFormatting>
  <conditionalFormatting sqref="D8062">
    <cfRule type="colorScale" priority="5589">
      <colorScale>
        <cfvo type="min"/>
        <cfvo type="percentile" val="50"/>
        <cfvo type="max"/>
        <color rgb="FFF8696B"/>
        <color rgb="FFFFEB84"/>
        <color rgb="FF63BE7B"/>
      </colorScale>
    </cfRule>
  </conditionalFormatting>
  <conditionalFormatting sqref="D8066">
    <cfRule type="colorScale" priority="5594">
      <colorScale>
        <cfvo type="min"/>
        <cfvo type="percentile" val="50"/>
        <cfvo type="max"/>
        <color rgb="FFF8696B"/>
        <color rgb="FFFFEB84"/>
        <color rgb="FF63BE7B"/>
      </colorScale>
    </cfRule>
  </conditionalFormatting>
  <conditionalFormatting sqref="D8070:D8071">
    <cfRule type="colorScale" priority="5599">
      <colorScale>
        <cfvo type="min"/>
        <cfvo type="percentile" val="50"/>
        <cfvo type="max"/>
        <color rgb="FFF8696B"/>
        <color rgb="FFFFEB84"/>
        <color rgb="FF63BE7B"/>
      </colorScale>
    </cfRule>
  </conditionalFormatting>
  <conditionalFormatting sqref="D8075:D8076">
    <cfRule type="colorScale" priority="5604">
      <colorScale>
        <cfvo type="min"/>
        <cfvo type="percentile" val="50"/>
        <cfvo type="max"/>
        <color rgb="FFF8696B"/>
        <color rgb="FFFFEB84"/>
        <color rgb="FF63BE7B"/>
      </colorScale>
    </cfRule>
  </conditionalFormatting>
  <conditionalFormatting sqref="D8080:D8083">
    <cfRule type="colorScale" priority="5609">
      <colorScale>
        <cfvo type="min"/>
        <cfvo type="percentile" val="50"/>
        <cfvo type="max"/>
        <color rgb="FFF8696B"/>
        <color rgb="FFFFEB84"/>
        <color rgb="FF63BE7B"/>
      </colorScale>
    </cfRule>
  </conditionalFormatting>
  <conditionalFormatting sqref="D8087">
    <cfRule type="colorScale" priority="5615">
      <colorScale>
        <cfvo type="min"/>
        <cfvo type="percentile" val="50"/>
        <cfvo type="max"/>
        <color rgb="FFF8696B"/>
        <color rgb="FFFFEB84"/>
        <color rgb="FF63BE7B"/>
      </colorScale>
    </cfRule>
  </conditionalFormatting>
  <conditionalFormatting sqref="D8091">
    <cfRule type="colorScale" priority="5619">
      <colorScale>
        <cfvo type="min"/>
        <cfvo type="percentile" val="50"/>
        <cfvo type="max"/>
        <color rgb="FFF8696B"/>
        <color rgb="FFFFEB84"/>
        <color rgb="FF63BE7B"/>
      </colorScale>
    </cfRule>
  </conditionalFormatting>
  <conditionalFormatting sqref="D8099:D8100">
    <cfRule type="colorScale" priority="5629">
      <colorScale>
        <cfvo type="min"/>
        <cfvo type="percentile" val="50"/>
        <cfvo type="max"/>
        <color rgb="FFF8696B"/>
        <color rgb="FFFFEB84"/>
        <color rgb="FF63BE7B"/>
      </colorScale>
    </cfRule>
  </conditionalFormatting>
  <conditionalFormatting sqref="D8104">
    <cfRule type="colorScale" priority="5634">
      <colorScale>
        <cfvo type="min"/>
        <cfvo type="percentile" val="50"/>
        <cfvo type="max"/>
        <color rgb="FFF8696B"/>
        <color rgb="FFFFEB84"/>
        <color rgb="FF63BE7B"/>
      </colorScale>
    </cfRule>
  </conditionalFormatting>
  <conditionalFormatting sqref="D8108:D8109">
    <cfRule type="colorScale" priority="5639">
      <colorScale>
        <cfvo type="min"/>
        <cfvo type="percentile" val="50"/>
        <cfvo type="max"/>
        <color rgb="FFF8696B"/>
        <color rgb="FFFFEB84"/>
        <color rgb="FF63BE7B"/>
      </colorScale>
    </cfRule>
  </conditionalFormatting>
  <conditionalFormatting sqref="D8113">
    <cfRule type="colorScale" priority="5644">
      <colorScale>
        <cfvo type="min"/>
        <cfvo type="percentile" val="50"/>
        <cfvo type="max"/>
        <color rgb="FFF8696B"/>
        <color rgb="FFFFEB84"/>
        <color rgb="FF63BE7B"/>
      </colorScale>
    </cfRule>
  </conditionalFormatting>
  <conditionalFormatting sqref="D8117:D8118">
    <cfRule type="colorScale" priority="5649">
      <colorScale>
        <cfvo type="min"/>
        <cfvo type="percentile" val="50"/>
        <cfvo type="max"/>
        <color rgb="FFF8696B"/>
        <color rgb="FFFFEB84"/>
        <color rgb="FF63BE7B"/>
      </colorScale>
    </cfRule>
  </conditionalFormatting>
  <conditionalFormatting sqref="D8122:D8123">
    <cfRule type="colorScale" priority="5654">
      <colorScale>
        <cfvo type="min"/>
        <cfvo type="percentile" val="50"/>
        <cfvo type="max"/>
        <color rgb="FFF8696B"/>
        <color rgb="FFFFEB84"/>
        <color rgb="FF63BE7B"/>
      </colorScale>
    </cfRule>
  </conditionalFormatting>
  <conditionalFormatting sqref="D8127:D8128">
    <cfRule type="colorScale" priority="5659">
      <colorScale>
        <cfvo type="min"/>
        <cfvo type="percentile" val="50"/>
        <cfvo type="max"/>
        <color rgb="FFF8696B"/>
        <color rgb="FFFFEB84"/>
        <color rgb="FF63BE7B"/>
      </colorScale>
    </cfRule>
  </conditionalFormatting>
  <conditionalFormatting sqref="D8132:D8133">
    <cfRule type="colorScale" priority="5664">
      <colorScale>
        <cfvo type="min"/>
        <cfvo type="percentile" val="50"/>
        <cfvo type="max"/>
        <color rgb="FFF8696B"/>
        <color rgb="FFFFEB84"/>
        <color rgb="FF63BE7B"/>
      </colorScale>
    </cfRule>
  </conditionalFormatting>
  <conditionalFormatting sqref="D8137">
    <cfRule type="colorScale" priority="5669">
      <colorScale>
        <cfvo type="min"/>
        <cfvo type="percentile" val="50"/>
        <cfvo type="max"/>
        <color rgb="FFF8696B"/>
        <color rgb="FFFFEB84"/>
        <color rgb="FF63BE7B"/>
      </colorScale>
    </cfRule>
  </conditionalFormatting>
  <conditionalFormatting sqref="D8141:D8142">
    <cfRule type="colorScale" priority="5674">
      <colorScale>
        <cfvo type="min"/>
        <cfvo type="percentile" val="50"/>
        <cfvo type="max"/>
        <color rgb="FFF8696B"/>
        <color rgb="FFFFEB84"/>
        <color rgb="FF63BE7B"/>
      </colorScale>
    </cfRule>
  </conditionalFormatting>
  <conditionalFormatting sqref="D8146:D8147">
    <cfRule type="colorScale" priority="5679">
      <colorScale>
        <cfvo type="min"/>
        <cfvo type="percentile" val="50"/>
        <cfvo type="max"/>
        <color rgb="FFF8696B"/>
        <color rgb="FFFFEB84"/>
        <color rgb="FF63BE7B"/>
      </colorScale>
    </cfRule>
  </conditionalFormatting>
  <conditionalFormatting sqref="D8151:D8154">
    <cfRule type="colorScale" priority="5684">
      <colorScale>
        <cfvo type="min"/>
        <cfvo type="percentile" val="50"/>
        <cfvo type="max"/>
        <color rgb="FFF8696B"/>
        <color rgb="FFFFEB84"/>
        <color rgb="FF63BE7B"/>
      </colorScale>
    </cfRule>
  </conditionalFormatting>
  <conditionalFormatting sqref="D8158">
    <cfRule type="colorScale" priority="5690">
      <colorScale>
        <cfvo type="min"/>
        <cfvo type="percentile" val="50"/>
        <cfvo type="max"/>
        <color rgb="FFF8696B"/>
        <color rgb="FFFFEB84"/>
        <color rgb="FF63BE7B"/>
      </colorScale>
    </cfRule>
  </conditionalFormatting>
  <conditionalFormatting sqref="D8162">
    <cfRule type="colorScale" priority="5694">
      <colorScale>
        <cfvo type="min"/>
        <cfvo type="percentile" val="50"/>
        <cfvo type="max"/>
        <color rgb="FFF8696B"/>
        <color rgb="FFFFEB84"/>
        <color rgb="FF63BE7B"/>
      </colorScale>
    </cfRule>
  </conditionalFormatting>
  <conditionalFormatting sqref="D8170">
    <cfRule type="colorScale" priority="5704">
      <colorScale>
        <cfvo type="min"/>
        <cfvo type="percentile" val="50"/>
        <cfvo type="max"/>
        <color rgb="FFF8696B"/>
        <color rgb="FFFFEB84"/>
        <color rgb="FF63BE7B"/>
      </colorScale>
    </cfRule>
  </conditionalFormatting>
  <conditionalFormatting sqref="D8174">
    <cfRule type="colorScale" priority="5709">
      <colorScale>
        <cfvo type="min"/>
        <cfvo type="percentile" val="50"/>
        <cfvo type="max"/>
        <color rgb="FFF8696B"/>
        <color rgb="FFFFEB84"/>
        <color rgb="FF63BE7B"/>
      </colorScale>
    </cfRule>
  </conditionalFormatting>
  <conditionalFormatting sqref="D8178">
    <cfRule type="colorScale" priority="5714">
      <colorScale>
        <cfvo type="min"/>
        <cfvo type="percentile" val="50"/>
        <cfvo type="max"/>
        <color rgb="FFF8696B"/>
        <color rgb="FFFFEB84"/>
        <color rgb="FF63BE7B"/>
      </colorScale>
    </cfRule>
  </conditionalFormatting>
  <conditionalFormatting sqref="D8182">
    <cfRule type="colorScale" priority="5719">
      <colorScale>
        <cfvo type="min"/>
        <cfvo type="percentile" val="50"/>
        <cfvo type="max"/>
        <color rgb="FFF8696B"/>
        <color rgb="FFFFEB84"/>
        <color rgb="FF63BE7B"/>
      </colorScale>
    </cfRule>
  </conditionalFormatting>
  <conditionalFormatting sqref="D8186:D8187">
    <cfRule type="colorScale" priority="5724">
      <colorScale>
        <cfvo type="min"/>
        <cfvo type="percentile" val="50"/>
        <cfvo type="max"/>
        <color rgb="FFF8696B"/>
        <color rgb="FFFFEB84"/>
        <color rgb="FF63BE7B"/>
      </colorScale>
    </cfRule>
  </conditionalFormatting>
  <conditionalFormatting sqref="D8191:D8192">
    <cfRule type="colorScale" priority="5729">
      <colorScale>
        <cfvo type="min"/>
        <cfvo type="percentile" val="50"/>
        <cfvo type="max"/>
        <color rgb="FFF8696B"/>
        <color rgb="FFFFEB84"/>
        <color rgb="FF63BE7B"/>
      </colorScale>
    </cfRule>
  </conditionalFormatting>
  <conditionalFormatting sqref="D8196:D8197">
    <cfRule type="colorScale" priority="5734">
      <colorScale>
        <cfvo type="min"/>
        <cfvo type="percentile" val="50"/>
        <cfvo type="max"/>
        <color rgb="FFF8696B"/>
        <color rgb="FFFFEB84"/>
        <color rgb="FF63BE7B"/>
      </colorScale>
    </cfRule>
  </conditionalFormatting>
  <conditionalFormatting sqref="D8201">
    <cfRule type="colorScale" priority="5739">
      <colorScale>
        <cfvo type="min"/>
        <cfvo type="percentile" val="50"/>
        <cfvo type="max"/>
        <color rgb="FFF8696B"/>
        <color rgb="FFFFEB84"/>
        <color rgb="FF63BE7B"/>
      </colorScale>
    </cfRule>
  </conditionalFormatting>
  <conditionalFormatting sqref="D8205">
    <cfRule type="colorScale" priority="5744">
      <colorScale>
        <cfvo type="min"/>
        <cfvo type="percentile" val="50"/>
        <cfvo type="max"/>
        <color rgb="FFF8696B"/>
        <color rgb="FFFFEB84"/>
        <color rgb="FF63BE7B"/>
      </colorScale>
    </cfRule>
  </conditionalFormatting>
  <conditionalFormatting sqref="D8209:D8210">
    <cfRule type="colorScale" priority="5749">
      <colorScale>
        <cfvo type="min"/>
        <cfvo type="percentile" val="50"/>
        <cfvo type="max"/>
        <color rgb="FFF8696B"/>
        <color rgb="FFFFEB84"/>
        <color rgb="FF63BE7B"/>
      </colorScale>
    </cfRule>
  </conditionalFormatting>
  <conditionalFormatting sqref="D8214">
    <cfRule type="colorScale" priority="5754">
      <colorScale>
        <cfvo type="min"/>
        <cfvo type="percentile" val="50"/>
        <cfvo type="max"/>
        <color rgb="FFF8696B"/>
        <color rgb="FFFFEB84"/>
        <color rgb="FF63BE7B"/>
      </colorScale>
    </cfRule>
  </conditionalFormatting>
  <conditionalFormatting sqref="D8218:D8220">
    <cfRule type="colorScale" priority="5759">
      <colorScale>
        <cfvo type="min"/>
        <cfvo type="percentile" val="50"/>
        <cfvo type="max"/>
        <color rgb="FFF8696B"/>
        <color rgb="FFFFEB84"/>
        <color rgb="FF63BE7B"/>
      </colorScale>
    </cfRule>
  </conditionalFormatting>
  <conditionalFormatting sqref="D8224">
    <cfRule type="colorScale" priority="5765">
      <colorScale>
        <cfvo type="min"/>
        <cfvo type="percentile" val="50"/>
        <cfvo type="max"/>
        <color rgb="FFF8696B"/>
        <color rgb="FFFFEB84"/>
        <color rgb="FF63BE7B"/>
      </colorScale>
    </cfRule>
  </conditionalFormatting>
  <conditionalFormatting sqref="D8228:D8229">
    <cfRule type="colorScale" priority="5769">
      <colorScale>
        <cfvo type="min"/>
        <cfvo type="percentile" val="50"/>
        <cfvo type="max"/>
        <color rgb="FFF8696B"/>
        <color rgb="FFFFEB84"/>
        <color rgb="FF63BE7B"/>
      </colorScale>
    </cfRule>
  </conditionalFormatting>
  <conditionalFormatting sqref="D8237:D8238">
    <cfRule type="colorScale" priority="5779">
      <colorScale>
        <cfvo type="min"/>
        <cfvo type="percentile" val="50"/>
        <cfvo type="max"/>
        <color rgb="FFF8696B"/>
        <color rgb="FFFFEB84"/>
        <color rgb="FF63BE7B"/>
      </colorScale>
    </cfRule>
  </conditionalFormatting>
  <conditionalFormatting sqref="D8242">
    <cfRule type="colorScale" priority="5784">
      <colorScale>
        <cfvo type="min"/>
        <cfvo type="percentile" val="50"/>
        <cfvo type="max"/>
        <color rgb="FFF8696B"/>
        <color rgb="FFFFEB84"/>
        <color rgb="FF63BE7B"/>
      </colorScale>
    </cfRule>
  </conditionalFormatting>
  <conditionalFormatting sqref="D8246:D8247">
    <cfRule type="colorScale" priority="5789">
      <colorScale>
        <cfvo type="min"/>
        <cfvo type="percentile" val="50"/>
        <cfvo type="max"/>
        <color rgb="FFF8696B"/>
        <color rgb="FFFFEB84"/>
        <color rgb="FF63BE7B"/>
      </colorScale>
    </cfRule>
  </conditionalFormatting>
  <conditionalFormatting sqref="D8251">
    <cfRule type="colorScale" priority="5794">
      <colorScale>
        <cfvo type="min"/>
        <cfvo type="percentile" val="50"/>
        <cfvo type="max"/>
        <color rgb="FFF8696B"/>
        <color rgb="FFFFEB84"/>
        <color rgb="FF63BE7B"/>
      </colorScale>
    </cfRule>
  </conditionalFormatting>
  <conditionalFormatting sqref="D8255:D8256">
    <cfRule type="colorScale" priority="5799">
      <colorScale>
        <cfvo type="min"/>
        <cfvo type="percentile" val="50"/>
        <cfvo type="max"/>
        <color rgb="FFF8696B"/>
        <color rgb="FFFFEB84"/>
        <color rgb="FF63BE7B"/>
      </colorScale>
    </cfRule>
  </conditionalFormatting>
  <conditionalFormatting sqref="D8260:D8261">
    <cfRule type="colorScale" priority="5804">
      <colorScale>
        <cfvo type="min"/>
        <cfvo type="percentile" val="50"/>
        <cfvo type="max"/>
        <color rgb="FFF8696B"/>
        <color rgb="FFFFEB84"/>
        <color rgb="FF63BE7B"/>
      </colorScale>
    </cfRule>
  </conditionalFormatting>
  <conditionalFormatting sqref="D8265:D8266">
    <cfRule type="colorScale" priority="5809">
      <colorScale>
        <cfvo type="min"/>
        <cfvo type="percentile" val="50"/>
        <cfvo type="max"/>
        <color rgb="FFF8696B"/>
        <color rgb="FFFFEB84"/>
        <color rgb="FF63BE7B"/>
      </colorScale>
    </cfRule>
  </conditionalFormatting>
  <conditionalFormatting sqref="D8270">
    <cfRule type="colorScale" priority="5814">
      <colorScale>
        <cfvo type="min"/>
        <cfvo type="percentile" val="50"/>
        <cfvo type="max"/>
        <color rgb="FFF8696B"/>
        <color rgb="FFFFEB84"/>
        <color rgb="FF63BE7B"/>
      </colorScale>
    </cfRule>
  </conditionalFormatting>
  <conditionalFormatting sqref="D8274">
    <cfRule type="colorScale" priority="5819">
      <colorScale>
        <cfvo type="min"/>
        <cfvo type="percentile" val="50"/>
        <cfvo type="max"/>
        <color rgb="FFF8696B"/>
        <color rgb="FFFFEB84"/>
        <color rgb="FF63BE7B"/>
      </colorScale>
    </cfRule>
  </conditionalFormatting>
  <conditionalFormatting sqref="D8278:D8279">
    <cfRule type="colorScale" priority="5824">
      <colorScale>
        <cfvo type="min"/>
        <cfvo type="percentile" val="50"/>
        <cfvo type="max"/>
        <color rgb="FFF8696B"/>
        <color rgb="FFFFEB84"/>
        <color rgb="FF63BE7B"/>
      </colorScale>
    </cfRule>
  </conditionalFormatting>
  <conditionalFormatting sqref="D8283:D8284">
    <cfRule type="colorScale" priority="5829">
      <colorScale>
        <cfvo type="min"/>
        <cfvo type="percentile" val="50"/>
        <cfvo type="max"/>
        <color rgb="FFF8696B"/>
        <color rgb="FFFFEB84"/>
        <color rgb="FF63BE7B"/>
      </colorScale>
    </cfRule>
  </conditionalFormatting>
  <conditionalFormatting sqref="D8288:D8291">
    <cfRule type="colorScale" priority="5834">
      <colorScale>
        <cfvo type="min"/>
        <cfvo type="percentile" val="50"/>
        <cfvo type="max"/>
        <color rgb="FFF8696B"/>
        <color rgb="FFFFEB84"/>
        <color rgb="FF63BE7B"/>
      </colorScale>
    </cfRule>
  </conditionalFormatting>
  <conditionalFormatting sqref="D8295">
    <cfRule type="colorScale" priority="5840">
      <colorScale>
        <cfvo type="min"/>
        <cfvo type="percentile" val="50"/>
        <cfvo type="max"/>
        <color rgb="FFF8696B"/>
        <color rgb="FFFFEB84"/>
        <color rgb="FF63BE7B"/>
      </colorScale>
    </cfRule>
  </conditionalFormatting>
  <conditionalFormatting sqref="D8299:D8300">
    <cfRule type="colorScale" priority="5844">
      <colorScale>
        <cfvo type="min"/>
        <cfvo type="percentile" val="50"/>
        <cfvo type="max"/>
        <color rgb="FFF8696B"/>
        <color rgb="FFFFEB84"/>
        <color rgb="FF63BE7B"/>
      </colorScale>
    </cfRule>
  </conditionalFormatting>
  <conditionalFormatting sqref="D8308:D8309">
    <cfRule type="colorScale" priority="5854">
      <colorScale>
        <cfvo type="min"/>
        <cfvo type="percentile" val="50"/>
        <cfvo type="max"/>
        <color rgb="FFF8696B"/>
        <color rgb="FFFFEB84"/>
        <color rgb="FF63BE7B"/>
      </colorScale>
    </cfRule>
  </conditionalFormatting>
  <conditionalFormatting sqref="D8313">
    <cfRule type="colorScale" priority="5859">
      <colorScale>
        <cfvo type="min"/>
        <cfvo type="percentile" val="50"/>
        <cfvo type="max"/>
        <color rgb="FFF8696B"/>
        <color rgb="FFFFEB84"/>
        <color rgb="FF63BE7B"/>
      </colorScale>
    </cfRule>
  </conditionalFormatting>
  <conditionalFormatting sqref="D8317:D8318">
    <cfRule type="colorScale" priority="5864">
      <colorScale>
        <cfvo type="min"/>
        <cfvo type="percentile" val="50"/>
        <cfvo type="max"/>
        <color rgb="FFF8696B"/>
        <color rgb="FFFFEB84"/>
        <color rgb="FF63BE7B"/>
      </colorScale>
    </cfRule>
  </conditionalFormatting>
  <conditionalFormatting sqref="D8322">
    <cfRule type="colorScale" priority="5869">
      <colorScale>
        <cfvo type="min"/>
        <cfvo type="percentile" val="50"/>
        <cfvo type="max"/>
        <color rgb="FFF8696B"/>
        <color rgb="FFFFEB84"/>
        <color rgb="FF63BE7B"/>
      </colorScale>
    </cfRule>
  </conditionalFormatting>
  <conditionalFormatting sqref="D8326:D8327">
    <cfRule type="colorScale" priority="5874">
      <colorScale>
        <cfvo type="min"/>
        <cfvo type="percentile" val="50"/>
        <cfvo type="max"/>
        <color rgb="FFF8696B"/>
        <color rgb="FFFFEB84"/>
        <color rgb="FF63BE7B"/>
      </colorScale>
    </cfRule>
  </conditionalFormatting>
  <conditionalFormatting sqref="D8331:D8332">
    <cfRule type="colorScale" priority="5879">
      <colorScale>
        <cfvo type="min"/>
        <cfvo type="percentile" val="50"/>
        <cfvo type="max"/>
        <color rgb="FFF8696B"/>
        <color rgb="FFFFEB84"/>
        <color rgb="FF63BE7B"/>
      </colorScale>
    </cfRule>
  </conditionalFormatting>
  <conditionalFormatting sqref="D8336:D8337">
    <cfRule type="colorScale" priority="5884">
      <colorScale>
        <cfvo type="min"/>
        <cfvo type="percentile" val="50"/>
        <cfvo type="max"/>
        <color rgb="FFF8696B"/>
        <color rgb="FFFFEB84"/>
        <color rgb="FF63BE7B"/>
      </colorScale>
    </cfRule>
  </conditionalFormatting>
  <conditionalFormatting sqref="D8341:D8342">
    <cfRule type="colorScale" priority="5889">
      <colorScale>
        <cfvo type="min"/>
        <cfvo type="percentile" val="50"/>
        <cfvo type="max"/>
        <color rgb="FFF8696B"/>
        <color rgb="FFFFEB84"/>
        <color rgb="FF63BE7B"/>
      </colorScale>
    </cfRule>
  </conditionalFormatting>
  <conditionalFormatting sqref="D8346">
    <cfRule type="colorScale" priority="5894">
      <colorScale>
        <cfvo type="min"/>
        <cfvo type="percentile" val="50"/>
        <cfvo type="max"/>
        <color rgb="FFF8696B"/>
        <color rgb="FFFFEB84"/>
        <color rgb="FF63BE7B"/>
      </colorScale>
    </cfRule>
  </conditionalFormatting>
  <conditionalFormatting sqref="D8350:D8351">
    <cfRule type="colorScale" priority="5899">
      <colorScale>
        <cfvo type="min"/>
        <cfvo type="percentile" val="50"/>
        <cfvo type="max"/>
        <color rgb="FFF8696B"/>
        <color rgb="FFFFEB84"/>
        <color rgb="FF63BE7B"/>
      </colorScale>
    </cfRule>
  </conditionalFormatting>
  <conditionalFormatting sqref="D8355:D8356">
    <cfRule type="colorScale" priority="5904">
      <colorScale>
        <cfvo type="min"/>
        <cfvo type="percentile" val="50"/>
        <cfvo type="max"/>
        <color rgb="FFF8696B"/>
        <color rgb="FFFFEB84"/>
        <color rgb="FF63BE7B"/>
      </colorScale>
    </cfRule>
  </conditionalFormatting>
  <conditionalFormatting sqref="D8360:D8363">
    <cfRule type="colorScale" priority="5909">
      <colorScale>
        <cfvo type="min"/>
        <cfvo type="percentile" val="50"/>
        <cfvo type="max"/>
        <color rgb="FFF8696B"/>
        <color rgb="FFFFEB84"/>
        <color rgb="FF63BE7B"/>
      </colorScale>
    </cfRule>
  </conditionalFormatting>
  <conditionalFormatting sqref="D8367">
    <cfRule type="colorScale" priority="5915">
      <colorScale>
        <cfvo type="min"/>
        <cfvo type="percentile" val="50"/>
        <cfvo type="max"/>
        <color rgb="FFF8696B"/>
        <color rgb="FFFFEB84"/>
        <color rgb="FF63BE7B"/>
      </colorScale>
    </cfRule>
  </conditionalFormatting>
  <conditionalFormatting sqref="D8371:D8372">
    <cfRule type="colorScale" priority="5919">
      <colorScale>
        <cfvo type="min"/>
        <cfvo type="percentile" val="50"/>
        <cfvo type="max"/>
        <color rgb="FFF8696B"/>
        <color rgb="FFFFEB84"/>
        <color rgb="FF63BE7B"/>
      </colorScale>
    </cfRule>
  </conditionalFormatting>
  <conditionalFormatting sqref="D8380:D8381">
    <cfRule type="colorScale" priority="5929">
      <colorScale>
        <cfvo type="min"/>
        <cfvo type="percentile" val="50"/>
        <cfvo type="max"/>
        <color rgb="FFF8696B"/>
        <color rgb="FFFFEB84"/>
        <color rgb="FF63BE7B"/>
      </colorScale>
    </cfRule>
  </conditionalFormatting>
  <conditionalFormatting sqref="D8385:D8386">
    <cfRule type="colorScale" priority="5934">
      <colorScale>
        <cfvo type="min"/>
        <cfvo type="percentile" val="50"/>
        <cfvo type="max"/>
        <color rgb="FFF8696B"/>
        <color rgb="FFFFEB84"/>
        <color rgb="FF63BE7B"/>
      </colorScale>
    </cfRule>
  </conditionalFormatting>
  <conditionalFormatting sqref="D8390:D8391">
    <cfRule type="colorScale" priority="5939">
      <colorScale>
        <cfvo type="min"/>
        <cfvo type="percentile" val="50"/>
        <cfvo type="max"/>
        <color rgb="FFF8696B"/>
        <color rgb="FFFFEB84"/>
        <color rgb="FF63BE7B"/>
      </colorScale>
    </cfRule>
  </conditionalFormatting>
  <conditionalFormatting sqref="D8395:D8396">
    <cfRule type="colorScale" priority="5944">
      <colorScale>
        <cfvo type="min"/>
        <cfvo type="percentile" val="50"/>
        <cfvo type="max"/>
        <color rgb="FFF8696B"/>
        <color rgb="FFFFEB84"/>
        <color rgb="FF63BE7B"/>
      </colorScale>
    </cfRule>
  </conditionalFormatting>
  <conditionalFormatting sqref="D8400:D8401">
    <cfRule type="colorScale" priority="5949">
      <colorScale>
        <cfvo type="min"/>
        <cfvo type="percentile" val="50"/>
        <cfvo type="max"/>
        <color rgb="FFF8696B"/>
        <color rgb="FFFFEB84"/>
        <color rgb="FF63BE7B"/>
      </colorScale>
    </cfRule>
  </conditionalFormatting>
  <conditionalFormatting sqref="D8405:D8406">
    <cfRule type="colorScale" priority="5954">
      <colorScale>
        <cfvo type="min"/>
        <cfvo type="percentile" val="50"/>
        <cfvo type="max"/>
        <color rgb="FFF8696B"/>
        <color rgb="FFFFEB84"/>
        <color rgb="FF63BE7B"/>
      </colorScale>
    </cfRule>
  </conditionalFormatting>
  <conditionalFormatting sqref="D8410:D8411">
    <cfRule type="colorScale" priority="5959">
      <colorScale>
        <cfvo type="min"/>
        <cfvo type="percentile" val="50"/>
        <cfvo type="max"/>
        <color rgb="FFF8696B"/>
        <color rgb="FFFFEB84"/>
        <color rgb="FF63BE7B"/>
      </colorScale>
    </cfRule>
  </conditionalFormatting>
  <conditionalFormatting sqref="D8415:D8416">
    <cfRule type="colorScale" priority="5964">
      <colorScale>
        <cfvo type="min"/>
        <cfvo type="percentile" val="50"/>
        <cfvo type="max"/>
        <color rgb="FFF8696B"/>
        <color rgb="FFFFEB84"/>
        <color rgb="FF63BE7B"/>
      </colorScale>
    </cfRule>
  </conditionalFormatting>
  <conditionalFormatting sqref="D8420">
    <cfRule type="colorScale" priority="5969">
      <colorScale>
        <cfvo type="min"/>
        <cfvo type="percentile" val="50"/>
        <cfvo type="max"/>
        <color rgb="FFF8696B"/>
        <color rgb="FFFFEB84"/>
        <color rgb="FF63BE7B"/>
      </colorScale>
    </cfRule>
  </conditionalFormatting>
  <conditionalFormatting sqref="D8424:D8425">
    <cfRule type="colorScale" priority="5974">
      <colorScale>
        <cfvo type="min"/>
        <cfvo type="percentile" val="50"/>
        <cfvo type="max"/>
        <color rgb="FFF8696B"/>
        <color rgb="FFFFEB84"/>
        <color rgb="FF63BE7B"/>
      </colorScale>
    </cfRule>
  </conditionalFormatting>
  <conditionalFormatting sqref="D8429:D8430">
    <cfRule type="colorScale" priority="5979">
      <colorScale>
        <cfvo type="min"/>
        <cfvo type="percentile" val="50"/>
        <cfvo type="max"/>
        <color rgb="FFF8696B"/>
        <color rgb="FFFFEB84"/>
        <color rgb="FF63BE7B"/>
      </colorScale>
    </cfRule>
  </conditionalFormatting>
  <conditionalFormatting sqref="D8434:D8437">
    <cfRule type="colorScale" priority="5984">
      <colorScale>
        <cfvo type="min"/>
        <cfvo type="percentile" val="50"/>
        <cfvo type="max"/>
        <color rgb="FFF8696B"/>
        <color rgb="FFFFEB84"/>
        <color rgb="FF63BE7B"/>
      </colorScale>
    </cfRule>
  </conditionalFormatting>
  <conditionalFormatting sqref="D8441">
    <cfRule type="colorScale" priority="5990">
      <colorScale>
        <cfvo type="min"/>
        <cfvo type="percentile" val="50"/>
        <cfvo type="max"/>
        <color rgb="FFF8696B"/>
        <color rgb="FFFFEB84"/>
        <color rgb="FF63BE7B"/>
      </colorScale>
    </cfRule>
  </conditionalFormatting>
  <conditionalFormatting sqref="D8445:D8446">
    <cfRule type="colorScale" priority="5994">
      <colorScale>
        <cfvo type="min"/>
        <cfvo type="percentile" val="50"/>
        <cfvo type="max"/>
        <color rgb="FFF8696B"/>
        <color rgb="FFFFEB84"/>
        <color rgb="FF63BE7B"/>
      </colorScale>
    </cfRule>
  </conditionalFormatting>
  <conditionalFormatting sqref="D8454">
    <cfRule type="colorScale" priority="6004">
      <colorScale>
        <cfvo type="min"/>
        <cfvo type="percentile" val="50"/>
        <cfvo type="max"/>
        <color rgb="FFF8696B"/>
        <color rgb="FFFFEB84"/>
        <color rgb="FF63BE7B"/>
      </colorScale>
    </cfRule>
  </conditionalFormatting>
  <conditionalFormatting sqref="D8458">
    <cfRule type="colorScale" priority="6009">
      <colorScale>
        <cfvo type="min"/>
        <cfvo type="percentile" val="50"/>
        <cfvo type="max"/>
        <color rgb="FFF8696B"/>
        <color rgb="FFFFEB84"/>
        <color rgb="FF63BE7B"/>
      </colorScale>
    </cfRule>
  </conditionalFormatting>
  <conditionalFormatting sqref="D8462:D8463">
    <cfRule type="colorScale" priority="6014">
      <colorScale>
        <cfvo type="min"/>
        <cfvo type="percentile" val="50"/>
        <cfvo type="max"/>
        <color rgb="FFF8696B"/>
        <color rgb="FFFFEB84"/>
        <color rgb="FF63BE7B"/>
      </colorScale>
    </cfRule>
  </conditionalFormatting>
  <conditionalFormatting sqref="D8467">
    <cfRule type="colorScale" priority="6019">
      <colorScale>
        <cfvo type="min"/>
        <cfvo type="percentile" val="50"/>
        <cfvo type="max"/>
        <color rgb="FFF8696B"/>
        <color rgb="FFFFEB84"/>
        <color rgb="FF63BE7B"/>
      </colorScale>
    </cfRule>
  </conditionalFormatting>
  <conditionalFormatting sqref="D8471:D8472">
    <cfRule type="colorScale" priority="6024">
      <colorScale>
        <cfvo type="min"/>
        <cfvo type="percentile" val="50"/>
        <cfvo type="max"/>
        <color rgb="FFF8696B"/>
        <color rgb="FFFFEB84"/>
        <color rgb="FF63BE7B"/>
      </colorScale>
    </cfRule>
  </conditionalFormatting>
  <conditionalFormatting sqref="D8476:D8477">
    <cfRule type="colorScale" priority="6029">
      <colorScale>
        <cfvo type="min"/>
        <cfvo type="percentile" val="50"/>
        <cfvo type="max"/>
        <color rgb="FFF8696B"/>
        <color rgb="FFFFEB84"/>
        <color rgb="FF63BE7B"/>
      </colorScale>
    </cfRule>
  </conditionalFormatting>
  <conditionalFormatting sqref="D8481:D8482">
    <cfRule type="colorScale" priority="6034">
      <colorScale>
        <cfvo type="min"/>
        <cfvo type="percentile" val="50"/>
        <cfvo type="max"/>
        <color rgb="FFF8696B"/>
        <color rgb="FFFFEB84"/>
        <color rgb="FF63BE7B"/>
      </colorScale>
    </cfRule>
  </conditionalFormatting>
  <conditionalFormatting sqref="D8486:D8487">
    <cfRule type="colorScale" priority="6039">
      <colorScale>
        <cfvo type="min"/>
        <cfvo type="percentile" val="50"/>
        <cfvo type="max"/>
        <color rgb="FFF8696B"/>
        <color rgb="FFFFEB84"/>
        <color rgb="FF63BE7B"/>
      </colorScale>
    </cfRule>
  </conditionalFormatting>
  <conditionalFormatting sqref="D8491">
    <cfRule type="colorScale" priority="6044">
      <colorScale>
        <cfvo type="min"/>
        <cfvo type="percentile" val="50"/>
        <cfvo type="max"/>
        <color rgb="FFF8696B"/>
        <color rgb="FFFFEB84"/>
        <color rgb="FF63BE7B"/>
      </colorScale>
    </cfRule>
  </conditionalFormatting>
  <conditionalFormatting sqref="D8495:D8496">
    <cfRule type="colorScale" priority="6049">
      <colorScale>
        <cfvo type="min"/>
        <cfvo type="percentile" val="50"/>
        <cfvo type="max"/>
        <color rgb="FFF8696B"/>
        <color rgb="FFFFEB84"/>
        <color rgb="FF63BE7B"/>
      </colorScale>
    </cfRule>
  </conditionalFormatting>
  <conditionalFormatting sqref="D8500:D8501">
    <cfRule type="colorScale" priority="6054">
      <colorScale>
        <cfvo type="min"/>
        <cfvo type="percentile" val="50"/>
        <cfvo type="max"/>
        <color rgb="FFF8696B"/>
        <color rgb="FFFFEB84"/>
        <color rgb="FF63BE7B"/>
      </colorScale>
    </cfRule>
  </conditionalFormatting>
  <conditionalFormatting sqref="D8505:D8508">
    <cfRule type="colorScale" priority="6059">
      <colorScale>
        <cfvo type="min"/>
        <cfvo type="percentile" val="50"/>
        <cfvo type="max"/>
        <color rgb="FFF8696B"/>
        <color rgb="FFFFEB84"/>
        <color rgb="FF63BE7B"/>
      </colorScale>
    </cfRule>
  </conditionalFormatting>
  <conditionalFormatting sqref="D8512">
    <cfRule type="colorScale" priority="6065">
      <colorScale>
        <cfvo type="min"/>
        <cfvo type="percentile" val="50"/>
        <cfvo type="max"/>
        <color rgb="FFF8696B"/>
        <color rgb="FFFFEB84"/>
        <color rgb="FF63BE7B"/>
      </colorScale>
    </cfRule>
  </conditionalFormatting>
  <conditionalFormatting sqref="D8516">
    <cfRule type="colorScale" priority="6069">
      <colorScale>
        <cfvo type="min"/>
        <cfvo type="percentile" val="50"/>
        <cfvo type="max"/>
        <color rgb="FFF8696B"/>
        <color rgb="FFFFEB84"/>
        <color rgb="FF63BE7B"/>
      </colorScale>
    </cfRule>
  </conditionalFormatting>
  <conditionalFormatting sqref="D8524">
    <cfRule type="colorScale" priority="6079">
      <colorScale>
        <cfvo type="min"/>
        <cfvo type="percentile" val="50"/>
        <cfvo type="max"/>
        <color rgb="FFF8696B"/>
        <color rgb="FFFFEB84"/>
        <color rgb="FF63BE7B"/>
      </colorScale>
    </cfRule>
  </conditionalFormatting>
  <conditionalFormatting sqref="D8528">
    <cfRule type="colorScale" priority="6084">
      <colorScale>
        <cfvo type="min"/>
        <cfvo type="percentile" val="50"/>
        <cfvo type="max"/>
        <color rgb="FFF8696B"/>
        <color rgb="FFFFEB84"/>
        <color rgb="FF63BE7B"/>
      </colorScale>
    </cfRule>
  </conditionalFormatting>
  <conditionalFormatting sqref="D8532">
    <cfRule type="colorScale" priority="6089">
      <colorScale>
        <cfvo type="min"/>
        <cfvo type="percentile" val="50"/>
        <cfvo type="max"/>
        <color rgb="FFF8696B"/>
        <color rgb="FFFFEB84"/>
        <color rgb="FF63BE7B"/>
      </colorScale>
    </cfRule>
  </conditionalFormatting>
  <conditionalFormatting sqref="D8536">
    <cfRule type="colorScale" priority="6094">
      <colorScale>
        <cfvo type="min"/>
        <cfvo type="percentile" val="50"/>
        <cfvo type="max"/>
        <color rgb="FFF8696B"/>
        <color rgb="FFFFEB84"/>
        <color rgb="FF63BE7B"/>
      </colorScale>
    </cfRule>
  </conditionalFormatting>
  <conditionalFormatting sqref="D8540">
    <cfRule type="colorScale" priority="6099">
      <colorScale>
        <cfvo type="min"/>
        <cfvo type="percentile" val="50"/>
        <cfvo type="max"/>
        <color rgb="FFF8696B"/>
        <color rgb="FFFFEB84"/>
        <color rgb="FF63BE7B"/>
      </colorScale>
    </cfRule>
  </conditionalFormatting>
  <conditionalFormatting sqref="D8544:D8545">
    <cfRule type="colorScale" priority="6104">
      <colorScale>
        <cfvo type="min"/>
        <cfvo type="percentile" val="50"/>
        <cfvo type="max"/>
        <color rgb="FFF8696B"/>
        <color rgb="FFFFEB84"/>
        <color rgb="FF63BE7B"/>
      </colorScale>
    </cfRule>
  </conditionalFormatting>
  <conditionalFormatting sqref="D8549:D8550">
    <cfRule type="colorScale" priority="6109">
      <colorScale>
        <cfvo type="min"/>
        <cfvo type="percentile" val="50"/>
        <cfvo type="max"/>
        <color rgb="FFF8696B"/>
        <color rgb="FFFFEB84"/>
        <color rgb="FF63BE7B"/>
      </colorScale>
    </cfRule>
  </conditionalFormatting>
  <conditionalFormatting sqref="D8554:D8555">
    <cfRule type="colorScale" priority="6114">
      <colorScale>
        <cfvo type="min"/>
        <cfvo type="percentile" val="50"/>
        <cfvo type="max"/>
        <color rgb="FFF8696B"/>
        <color rgb="FFFFEB84"/>
        <color rgb="FF63BE7B"/>
      </colorScale>
    </cfRule>
  </conditionalFormatting>
  <conditionalFormatting sqref="D8559">
    <cfRule type="colorScale" priority="6119">
      <colorScale>
        <cfvo type="min"/>
        <cfvo type="percentile" val="50"/>
        <cfvo type="max"/>
        <color rgb="FFF8696B"/>
        <color rgb="FFFFEB84"/>
        <color rgb="FF63BE7B"/>
      </colorScale>
    </cfRule>
  </conditionalFormatting>
  <conditionalFormatting sqref="D8563:D8564">
    <cfRule type="colorScale" priority="6124">
      <colorScale>
        <cfvo type="min"/>
        <cfvo type="percentile" val="50"/>
        <cfvo type="max"/>
        <color rgb="FFF8696B"/>
        <color rgb="FFFFEB84"/>
        <color rgb="FF63BE7B"/>
      </colorScale>
    </cfRule>
  </conditionalFormatting>
  <conditionalFormatting sqref="D8568">
    <cfRule type="colorScale" priority="6129">
      <colorScale>
        <cfvo type="min"/>
        <cfvo type="percentile" val="50"/>
        <cfvo type="max"/>
        <color rgb="FFF8696B"/>
        <color rgb="FFFFEB84"/>
        <color rgb="FF63BE7B"/>
      </colorScale>
    </cfRule>
  </conditionalFormatting>
  <conditionalFormatting sqref="D8572:D8574">
    <cfRule type="colorScale" priority="6134">
      <colorScale>
        <cfvo type="min"/>
        <cfvo type="percentile" val="50"/>
        <cfvo type="max"/>
        <color rgb="FFF8696B"/>
        <color rgb="FFFFEB84"/>
        <color rgb="FF63BE7B"/>
      </colorScale>
    </cfRule>
  </conditionalFormatting>
  <conditionalFormatting sqref="D8578">
    <cfRule type="colorScale" priority="6140">
      <colorScale>
        <cfvo type="min"/>
        <cfvo type="percentile" val="50"/>
        <cfvo type="max"/>
        <color rgb="FFF8696B"/>
        <color rgb="FFFFEB84"/>
        <color rgb="FF63BE7B"/>
      </colorScale>
    </cfRule>
  </conditionalFormatting>
  <conditionalFormatting sqref="D8582:D8583">
    <cfRule type="colorScale" priority="6144">
      <colorScale>
        <cfvo type="min"/>
        <cfvo type="percentile" val="50"/>
        <cfvo type="max"/>
        <color rgb="FFF8696B"/>
        <color rgb="FFFFEB84"/>
        <color rgb="FF63BE7B"/>
      </colorScale>
    </cfRule>
  </conditionalFormatting>
  <conditionalFormatting sqref="D8591:D8592">
    <cfRule type="colorScale" priority="6154">
      <colorScale>
        <cfvo type="min"/>
        <cfvo type="percentile" val="50"/>
        <cfvo type="max"/>
        <color rgb="FFF8696B"/>
        <color rgb="FFFFEB84"/>
        <color rgb="FF63BE7B"/>
      </colorScale>
    </cfRule>
  </conditionalFormatting>
  <conditionalFormatting sqref="D8596:D8597">
    <cfRule type="colorScale" priority="6159">
      <colorScale>
        <cfvo type="min"/>
        <cfvo type="percentile" val="50"/>
        <cfvo type="max"/>
        <color rgb="FFF8696B"/>
        <color rgb="FFFFEB84"/>
        <color rgb="FF63BE7B"/>
      </colorScale>
    </cfRule>
  </conditionalFormatting>
  <conditionalFormatting sqref="D8601:D8602">
    <cfRule type="colorScale" priority="6164">
      <colorScale>
        <cfvo type="min"/>
        <cfvo type="percentile" val="50"/>
        <cfvo type="max"/>
        <color rgb="FFF8696B"/>
        <color rgb="FFFFEB84"/>
        <color rgb="FF63BE7B"/>
      </colorScale>
    </cfRule>
  </conditionalFormatting>
  <conditionalFormatting sqref="D8606:D8607">
    <cfRule type="colorScale" priority="6169">
      <colorScale>
        <cfvo type="min"/>
        <cfvo type="percentile" val="50"/>
        <cfvo type="max"/>
        <color rgb="FFF8696B"/>
        <color rgb="FFFFEB84"/>
        <color rgb="FF63BE7B"/>
      </colorScale>
    </cfRule>
  </conditionalFormatting>
  <conditionalFormatting sqref="D8611:D8612">
    <cfRule type="colorScale" priority="6174">
      <colorScale>
        <cfvo type="min"/>
        <cfvo type="percentile" val="50"/>
        <cfvo type="max"/>
        <color rgb="FFF8696B"/>
        <color rgb="FFFFEB84"/>
        <color rgb="FF63BE7B"/>
      </colorScale>
    </cfRule>
  </conditionalFormatting>
  <conditionalFormatting sqref="D8616:D8617">
    <cfRule type="colorScale" priority="6179">
      <colorScale>
        <cfvo type="min"/>
        <cfvo type="percentile" val="50"/>
        <cfvo type="max"/>
        <color rgb="FFF8696B"/>
        <color rgb="FFFFEB84"/>
        <color rgb="FF63BE7B"/>
      </colorScale>
    </cfRule>
  </conditionalFormatting>
  <conditionalFormatting sqref="D8621:D8622">
    <cfRule type="colorScale" priority="6184">
      <colorScale>
        <cfvo type="min"/>
        <cfvo type="percentile" val="50"/>
        <cfvo type="max"/>
        <color rgb="FFF8696B"/>
        <color rgb="FFFFEB84"/>
        <color rgb="FF63BE7B"/>
      </colorScale>
    </cfRule>
  </conditionalFormatting>
  <conditionalFormatting sqref="D8626:D8627">
    <cfRule type="colorScale" priority="6189">
      <colorScale>
        <cfvo type="min"/>
        <cfvo type="percentile" val="50"/>
        <cfvo type="max"/>
        <color rgb="FFF8696B"/>
        <color rgb="FFFFEB84"/>
        <color rgb="FF63BE7B"/>
      </colorScale>
    </cfRule>
  </conditionalFormatting>
  <conditionalFormatting sqref="D8631">
    <cfRule type="colorScale" priority="6194">
      <colorScale>
        <cfvo type="min"/>
        <cfvo type="percentile" val="50"/>
        <cfvo type="max"/>
        <color rgb="FFF8696B"/>
        <color rgb="FFFFEB84"/>
        <color rgb="FF63BE7B"/>
      </colorScale>
    </cfRule>
  </conditionalFormatting>
  <conditionalFormatting sqref="D8635:D8636">
    <cfRule type="colorScale" priority="6199">
      <colorScale>
        <cfvo type="min"/>
        <cfvo type="percentile" val="50"/>
        <cfvo type="max"/>
        <color rgb="FFF8696B"/>
        <color rgb="FFFFEB84"/>
        <color rgb="FF63BE7B"/>
      </colorScale>
    </cfRule>
  </conditionalFormatting>
  <conditionalFormatting sqref="D8640:D8641">
    <cfRule type="colorScale" priority="6204">
      <colorScale>
        <cfvo type="min"/>
        <cfvo type="percentile" val="50"/>
        <cfvo type="max"/>
        <color rgb="FFF8696B"/>
        <color rgb="FFFFEB84"/>
        <color rgb="FF63BE7B"/>
      </colorScale>
    </cfRule>
  </conditionalFormatting>
  <conditionalFormatting sqref="D8645:D8648">
    <cfRule type="colorScale" priority="6209">
      <colorScale>
        <cfvo type="min"/>
        <cfvo type="percentile" val="50"/>
        <cfvo type="max"/>
        <color rgb="FFF8696B"/>
        <color rgb="FFFFEB84"/>
        <color rgb="FF63BE7B"/>
      </colorScale>
    </cfRule>
  </conditionalFormatting>
  <conditionalFormatting sqref="D8652">
    <cfRule type="colorScale" priority="6215">
      <colorScale>
        <cfvo type="min"/>
        <cfvo type="percentile" val="50"/>
        <cfvo type="max"/>
        <color rgb="FFF8696B"/>
        <color rgb="FFFFEB84"/>
        <color rgb="FF63BE7B"/>
      </colorScale>
    </cfRule>
  </conditionalFormatting>
  <conditionalFormatting sqref="D8656:D8657">
    <cfRule type="colorScale" priority="6219">
      <colorScale>
        <cfvo type="min"/>
        <cfvo type="percentile" val="50"/>
        <cfvo type="max"/>
        <color rgb="FFF8696B"/>
        <color rgb="FFFFEB84"/>
        <color rgb="FF63BE7B"/>
      </colorScale>
    </cfRule>
  </conditionalFormatting>
  <conditionalFormatting sqref="D8665:D8666">
    <cfRule type="colorScale" priority="6229">
      <colorScale>
        <cfvo type="min"/>
        <cfvo type="percentile" val="50"/>
        <cfvo type="max"/>
        <color rgb="FFF8696B"/>
        <color rgb="FFFFEB84"/>
        <color rgb="FF63BE7B"/>
      </colorScale>
    </cfRule>
  </conditionalFormatting>
  <conditionalFormatting sqref="D8670">
    <cfRule type="colorScale" priority="6234">
      <colorScale>
        <cfvo type="min"/>
        <cfvo type="percentile" val="50"/>
        <cfvo type="max"/>
        <color rgb="FFF8696B"/>
        <color rgb="FFFFEB84"/>
        <color rgb="FF63BE7B"/>
      </colorScale>
    </cfRule>
  </conditionalFormatting>
  <conditionalFormatting sqref="D8674:D8675">
    <cfRule type="colorScale" priority="6239">
      <colorScale>
        <cfvo type="min"/>
        <cfvo type="percentile" val="50"/>
        <cfvo type="max"/>
        <color rgb="FFF8696B"/>
        <color rgb="FFFFEB84"/>
        <color rgb="FF63BE7B"/>
      </colorScale>
    </cfRule>
  </conditionalFormatting>
  <conditionalFormatting sqref="D8679:D8680">
    <cfRule type="colorScale" priority="6244">
      <colorScale>
        <cfvo type="min"/>
        <cfvo type="percentile" val="50"/>
        <cfvo type="max"/>
        <color rgb="FFF8696B"/>
        <color rgb="FFFFEB84"/>
        <color rgb="FF63BE7B"/>
      </colorScale>
    </cfRule>
  </conditionalFormatting>
  <conditionalFormatting sqref="D8684:D8685">
    <cfRule type="colorScale" priority="6249">
      <colorScale>
        <cfvo type="min"/>
        <cfvo type="percentile" val="50"/>
        <cfvo type="max"/>
        <color rgb="FFF8696B"/>
        <color rgb="FFFFEB84"/>
        <color rgb="FF63BE7B"/>
      </colorScale>
    </cfRule>
  </conditionalFormatting>
  <conditionalFormatting sqref="D8689:D8690">
    <cfRule type="colorScale" priority="6254">
      <colorScale>
        <cfvo type="min"/>
        <cfvo type="percentile" val="50"/>
        <cfvo type="max"/>
        <color rgb="FFF8696B"/>
        <color rgb="FFFFEB84"/>
        <color rgb="FF63BE7B"/>
      </colorScale>
    </cfRule>
  </conditionalFormatting>
  <conditionalFormatting sqref="D8694:D8695">
    <cfRule type="colorScale" priority="6259">
      <colorScale>
        <cfvo type="min"/>
        <cfvo type="percentile" val="50"/>
        <cfvo type="max"/>
        <color rgb="FFF8696B"/>
        <color rgb="FFFFEB84"/>
        <color rgb="FF63BE7B"/>
      </colorScale>
    </cfRule>
  </conditionalFormatting>
  <conditionalFormatting sqref="D8699:D8700">
    <cfRule type="colorScale" priority="6264">
      <colorScale>
        <cfvo type="min"/>
        <cfvo type="percentile" val="50"/>
        <cfvo type="max"/>
        <color rgb="FFF8696B"/>
        <color rgb="FFFFEB84"/>
        <color rgb="FF63BE7B"/>
      </colorScale>
    </cfRule>
  </conditionalFormatting>
  <conditionalFormatting sqref="D8704">
    <cfRule type="colorScale" priority="6269">
      <colorScale>
        <cfvo type="min"/>
        <cfvo type="percentile" val="50"/>
        <cfvo type="max"/>
        <color rgb="FFF8696B"/>
        <color rgb="FFFFEB84"/>
        <color rgb="FF63BE7B"/>
      </colorScale>
    </cfRule>
  </conditionalFormatting>
  <conditionalFormatting sqref="D8708:D8709">
    <cfRule type="colorScale" priority="6274">
      <colorScale>
        <cfvo type="min"/>
        <cfvo type="percentile" val="50"/>
        <cfvo type="max"/>
        <color rgb="FFF8696B"/>
        <color rgb="FFFFEB84"/>
        <color rgb="FF63BE7B"/>
      </colorScale>
    </cfRule>
  </conditionalFormatting>
  <conditionalFormatting sqref="D8713:D8714">
    <cfRule type="colorScale" priority="6279">
      <colorScale>
        <cfvo type="min"/>
        <cfvo type="percentile" val="50"/>
        <cfvo type="max"/>
        <color rgb="FFF8696B"/>
        <color rgb="FFFFEB84"/>
        <color rgb="FF63BE7B"/>
      </colorScale>
    </cfRule>
  </conditionalFormatting>
  <conditionalFormatting sqref="D8718:D8721">
    <cfRule type="colorScale" priority="6284">
      <colorScale>
        <cfvo type="min"/>
        <cfvo type="percentile" val="50"/>
        <cfvo type="max"/>
        <color rgb="FFF8696B"/>
        <color rgb="FFFFEB84"/>
        <color rgb="FF63BE7B"/>
      </colorScale>
    </cfRule>
  </conditionalFormatting>
  <conditionalFormatting sqref="D8725">
    <cfRule type="colorScale" priority="6290">
      <colorScale>
        <cfvo type="min"/>
        <cfvo type="percentile" val="50"/>
        <cfvo type="max"/>
        <color rgb="FFF8696B"/>
        <color rgb="FFFFEB84"/>
        <color rgb="FF63BE7B"/>
      </colorScale>
    </cfRule>
  </conditionalFormatting>
  <conditionalFormatting sqref="D8729:D8730">
    <cfRule type="colorScale" priority="6294">
      <colorScale>
        <cfvo type="min"/>
        <cfvo type="percentile" val="50"/>
        <cfvo type="max"/>
        <color rgb="FFF8696B"/>
        <color rgb="FFFFEB84"/>
        <color rgb="FF63BE7B"/>
      </colorScale>
    </cfRule>
  </conditionalFormatting>
  <conditionalFormatting sqref="D8738:D8739">
    <cfRule type="colorScale" priority="6304">
      <colorScale>
        <cfvo type="min"/>
        <cfvo type="percentile" val="50"/>
        <cfvo type="max"/>
        <color rgb="FFF8696B"/>
        <color rgb="FFFFEB84"/>
        <color rgb="FF63BE7B"/>
      </colorScale>
    </cfRule>
  </conditionalFormatting>
  <conditionalFormatting sqref="D8743">
    <cfRule type="colorScale" priority="6309">
      <colorScale>
        <cfvo type="min"/>
        <cfvo type="percentile" val="50"/>
        <cfvo type="max"/>
        <color rgb="FFF8696B"/>
        <color rgb="FFFFEB84"/>
        <color rgb="FF63BE7B"/>
      </colorScale>
    </cfRule>
  </conditionalFormatting>
  <conditionalFormatting sqref="D8747:D8748">
    <cfRule type="colorScale" priority="6314">
      <colorScale>
        <cfvo type="min"/>
        <cfvo type="percentile" val="50"/>
        <cfvo type="max"/>
        <color rgb="FFF8696B"/>
        <color rgb="FFFFEB84"/>
        <color rgb="FF63BE7B"/>
      </colorScale>
    </cfRule>
  </conditionalFormatting>
  <conditionalFormatting sqref="D8752:D8753">
    <cfRule type="colorScale" priority="6319">
      <colorScale>
        <cfvo type="min"/>
        <cfvo type="percentile" val="50"/>
        <cfvo type="max"/>
        <color rgb="FFF8696B"/>
        <color rgb="FFFFEB84"/>
        <color rgb="FF63BE7B"/>
      </colorScale>
    </cfRule>
  </conditionalFormatting>
  <conditionalFormatting sqref="D8757:D8758">
    <cfRule type="colorScale" priority="6324">
      <colorScale>
        <cfvo type="min"/>
        <cfvo type="percentile" val="50"/>
        <cfvo type="max"/>
        <color rgb="FFF8696B"/>
        <color rgb="FFFFEB84"/>
        <color rgb="FF63BE7B"/>
      </colorScale>
    </cfRule>
  </conditionalFormatting>
  <conditionalFormatting sqref="D8762:D8763">
    <cfRule type="colorScale" priority="6329">
      <colorScale>
        <cfvo type="min"/>
        <cfvo type="percentile" val="50"/>
        <cfvo type="max"/>
        <color rgb="FFF8696B"/>
        <color rgb="FFFFEB84"/>
        <color rgb="FF63BE7B"/>
      </colorScale>
    </cfRule>
  </conditionalFormatting>
  <conditionalFormatting sqref="D8767:D8768">
    <cfRule type="colorScale" priority="6334">
      <colorScale>
        <cfvo type="min"/>
        <cfvo type="percentile" val="50"/>
        <cfvo type="max"/>
        <color rgb="FFF8696B"/>
        <color rgb="FFFFEB84"/>
        <color rgb="FF63BE7B"/>
      </colorScale>
    </cfRule>
  </conditionalFormatting>
  <conditionalFormatting sqref="D8772:D8773">
    <cfRule type="colorScale" priority="6339">
      <colorScale>
        <cfvo type="min"/>
        <cfvo type="percentile" val="50"/>
        <cfvo type="max"/>
        <color rgb="FFF8696B"/>
        <color rgb="FFFFEB84"/>
        <color rgb="FF63BE7B"/>
      </colorScale>
    </cfRule>
  </conditionalFormatting>
  <conditionalFormatting sqref="D8777">
    <cfRule type="colorScale" priority="6344">
      <colorScale>
        <cfvo type="min"/>
        <cfvo type="percentile" val="50"/>
        <cfvo type="max"/>
        <color rgb="FFF8696B"/>
        <color rgb="FFFFEB84"/>
        <color rgb="FF63BE7B"/>
      </colorScale>
    </cfRule>
  </conditionalFormatting>
  <conditionalFormatting sqref="D8781:D8782">
    <cfRule type="colorScale" priority="6349">
      <colorScale>
        <cfvo type="min"/>
        <cfvo type="percentile" val="50"/>
        <cfvo type="max"/>
        <color rgb="FFF8696B"/>
        <color rgb="FFFFEB84"/>
        <color rgb="FF63BE7B"/>
      </colorScale>
    </cfRule>
  </conditionalFormatting>
  <conditionalFormatting sqref="D8786:D8787">
    <cfRule type="colorScale" priority="6354">
      <colorScale>
        <cfvo type="min"/>
        <cfvo type="percentile" val="50"/>
        <cfvo type="max"/>
        <color rgb="FFF8696B"/>
        <color rgb="FFFFEB84"/>
        <color rgb="FF63BE7B"/>
      </colorScale>
    </cfRule>
  </conditionalFormatting>
  <conditionalFormatting sqref="D8791:D8794">
    <cfRule type="colorScale" priority="6359">
      <colorScale>
        <cfvo type="min"/>
        <cfvo type="percentile" val="50"/>
        <cfvo type="max"/>
        <color rgb="FFF8696B"/>
        <color rgb="FFFFEB84"/>
        <color rgb="FF63BE7B"/>
      </colorScale>
    </cfRule>
  </conditionalFormatting>
  <conditionalFormatting sqref="D8798">
    <cfRule type="colorScale" priority="6365">
      <colorScale>
        <cfvo type="min"/>
        <cfvo type="percentile" val="50"/>
        <cfvo type="max"/>
        <color rgb="FFF8696B"/>
        <color rgb="FFFFEB84"/>
        <color rgb="FF63BE7B"/>
      </colorScale>
    </cfRule>
  </conditionalFormatting>
  <conditionalFormatting sqref="D8802:D8803">
    <cfRule type="colorScale" priority="6369">
      <colorScale>
        <cfvo type="min"/>
        <cfvo type="percentile" val="50"/>
        <cfvo type="max"/>
        <color rgb="FFF8696B"/>
        <color rgb="FFFFEB84"/>
        <color rgb="FF63BE7B"/>
      </colorScale>
    </cfRule>
  </conditionalFormatting>
  <conditionalFormatting sqref="D8811:D8812">
    <cfRule type="colorScale" priority="6379">
      <colorScale>
        <cfvo type="min"/>
        <cfvo type="percentile" val="50"/>
        <cfvo type="max"/>
        <color rgb="FFF8696B"/>
        <color rgb="FFFFEB84"/>
        <color rgb="FF63BE7B"/>
      </colorScale>
    </cfRule>
  </conditionalFormatting>
  <conditionalFormatting sqref="D8816">
    <cfRule type="colorScale" priority="6384">
      <colorScale>
        <cfvo type="min"/>
        <cfvo type="percentile" val="50"/>
        <cfvo type="max"/>
        <color rgb="FFF8696B"/>
        <color rgb="FFFFEB84"/>
        <color rgb="FF63BE7B"/>
      </colorScale>
    </cfRule>
  </conditionalFormatting>
  <conditionalFormatting sqref="D8820">
    <cfRule type="colorScale" priority="6389">
      <colorScale>
        <cfvo type="min"/>
        <cfvo type="percentile" val="50"/>
        <cfvo type="max"/>
        <color rgb="FFF8696B"/>
        <color rgb="FFFFEB84"/>
        <color rgb="FF63BE7B"/>
      </colorScale>
    </cfRule>
  </conditionalFormatting>
  <conditionalFormatting sqref="D8824:D8825">
    <cfRule type="colorScale" priority="6394">
      <colorScale>
        <cfvo type="min"/>
        <cfvo type="percentile" val="50"/>
        <cfvo type="max"/>
        <color rgb="FFF8696B"/>
        <color rgb="FFFFEB84"/>
        <color rgb="FF63BE7B"/>
      </colorScale>
    </cfRule>
  </conditionalFormatting>
  <conditionalFormatting sqref="D8829:D8830">
    <cfRule type="colorScale" priority="6399">
      <colorScale>
        <cfvo type="min"/>
        <cfvo type="percentile" val="50"/>
        <cfvo type="max"/>
        <color rgb="FFF8696B"/>
        <color rgb="FFFFEB84"/>
        <color rgb="FF63BE7B"/>
      </colorScale>
    </cfRule>
  </conditionalFormatting>
  <conditionalFormatting sqref="D8834:D8835">
    <cfRule type="colorScale" priority="6404">
      <colorScale>
        <cfvo type="min"/>
        <cfvo type="percentile" val="50"/>
        <cfvo type="max"/>
        <color rgb="FFF8696B"/>
        <color rgb="FFFFEB84"/>
        <color rgb="FF63BE7B"/>
      </colorScale>
    </cfRule>
  </conditionalFormatting>
  <conditionalFormatting sqref="D8839:D8840">
    <cfRule type="colorScale" priority="6409">
      <colorScale>
        <cfvo type="min"/>
        <cfvo type="percentile" val="50"/>
        <cfvo type="max"/>
        <color rgb="FFF8696B"/>
        <color rgb="FFFFEB84"/>
        <color rgb="FF63BE7B"/>
      </colorScale>
    </cfRule>
  </conditionalFormatting>
  <conditionalFormatting sqref="D8844:D8845">
    <cfRule type="colorScale" priority="6414">
      <colorScale>
        <cfvo type="min"/>
        <cfvo type="percentile" val="50"/>
        <cfvo type="max"/>
        <color rgb="FFF8696B"/>
        <color rgb="FFFFEB84"/>
        <color rgb="FF63BE7B"/>
      </colorScale>
    </cfRule>
  </conditionalFormatting>
  <conditionalFormatting sqref="D8849">
    <cfRule type="colorScale" priority="6419">
      <colorScale>
        <cfvo type="min"/>
        <cfvo type="percentile" val="50"/>
        <cfvo type="max"/>
        <color rgb="FFF8696B"/>
        <color rgb="FFFFEB84"/>
        <color rgb="FF63BE7B"/>
      </colorScale>
    </cfRule>
  </conditionalFormatting>
  <conditionalFormatting sqref="D8853:D8854">
    <cfRule type="colorScale" priority="6424">
      <colorScale>
        <cfvo type="min"/>
        <cfvo type="percentile" val="50"/>
        <cfvo type="max"/>
        <color rgb="FFF8696B"/>
        <color rgb="FFFFEB84"/>
        <color rgb="FF63BE7B"/>
      </colorScale>
    </cfRule>
  </conditionalFormatting>
  <conditionalFormatting sqref="D8858:D8859">
    <cfRule type="colorScale" priority="6429">
      <colorScale>
        <cfvo type="min"/>
        <cfvo type="percentile" val="50"/>
        <cfvo type="max"/>
        <color rgb="FFF8696B"/>
        <color rgb="FFFFEB84"/>
        <color rgb="FF63BE7B"/>
      </colorScale>
    </cfRule>
  </conditionalFormatting>
  <conditionalFormatting sqref="D8863:D8866">
    <cfRule type="colorScale" priority="6434">
      <colorScale>
        <cfvo type="min"/>
        <cfvo type="percentile" val="50"/>
        <cfvo type="max"/>
        <color rgb="FFF8696B"/>
        <color rgb="FFFFEB84"/>
        <color rgb="FF63BE7B"/>
      </colorScale>
    </cfRule>
  </conditionalFormatting>
  <conditionalFormatting sqref="D8870">
    <cfRule type="colorScale" priority="6440">
      <colorScale>
        <cfvo type="min"/>
        <cfvo type="percentile" val="50"/>
        <cfvo type="max"/>
        <color rgb="FFF8696B"/>
        <color rgb="FFFFEB84"/>
        <color rgb="FF63BE7B"/>
      </colorScale>
    </cfRule>
  </conditionalFormatting>
  <conditionalFormatting sqref="D8874:D8875">
    <cfRule type="colorScale" priority="6444">
      <colorScale>
        <cfvo type="min"/>
        <cfvo type="percentile" val="50"/>
        <cfvo type="max"/>
        <color rgb="FFF8696B"/>
        <color rgb="FFFFEB84"/>
        <color rgb="FF63BE7B"/>
      </colorScale>
    </cfRule>
  </conditionalFormatting>
  <conditionalFormatting sqref="D8883:D8884">
    <cfRule type="colorScale" priority="6454">
      <colorScale>
        <cfvo type="min"/>
        <cfvo type="percentile" val="50"/>
        <cfvo type="max"/>
        <color rgb="FFF8696B"/>
        <color rgb="FFFFEB84"/>
        <color rgb="FF63BE7B"/>
      </colorScale>
    </cfRule>
  </conditionalFormatting>
  <conditionalFormatting sqref="D8888">
    <cfRule type="colorScale" priority="6459">
      <colorScale>
        <cfvo type="min"/>
        <cfvo type="percentile" val="50"/>
        <cfvo type="max"/>
        <color rgb="FFF8696B"/>
        <color rgb="FFFFEB84"/>
        <color rgb="FF63BE7B"/>
      </colorScale>
    </cfRule>
  </conditionalFormatting>
  <conditionalFormatting sqref="D8892:D8893">
    <cfRule type="colorScale" priority="6464">
      <colorScale>
        <cfvo type="min"/>
        <cfvo type="percentile" val="50"/>
        <cfvo type="max"/>
        <color rgb="FFF8696B"/>
        <color rgb="FFFFEB84"/>
        <color rgb="FF63BE7B"/>
      </colorScale>
    </cfRule>
  </conditionalFormatting>
  <conditionalFormatting sqref="D8897:D8898">
    <cfRule type="colorScale" priority="6469">
      <colorScale>
        <cfvo type="min"/>
        <cfvo type="percentile" val="50"/>
        <cfvo type="max"/>
        <color rgb="FFF8696B"/>
        <color rgb="FFFFEB84"/>
        <color rgb="FF63BE7B"/>
      </colorScale>
    </cfRule>
  </conditionalFormatting>
  <conditionalFormatting sqref="D8902:D8903">
    <cfRule type="colorScale" priority="6474">
      <colorScale>
        <cfvo type="min"/>
        <cfvo type="percentile" val="50"/>
        <cfvo type="max"/>
        <color rgb="FFF8696B"/>
        <color rgb="FFFFEB84"/>
        <color rgb="FF63BE7B"/>
      </colorScale>
    </cfRule>
  </conditionalFormatting>
  <conditionalFormatting sqref="D8907:D8908">
    <cfRule type="colorScale" priority="6479">
      <colorScale>
        <cfvo type="min"/>
        <cfvo type="percentile" val="50"/>
        <cfvo type="max"/>
        <color rgb="FFF8696B"/>
        <color rgb="FFFFEB84"/>
        <color rgb="FF63BE7B"/>
      </colorScale>
    </cfRule>
  </conditionalFormatting>
  <conditionalFormatting sqref="D8912:D8913">
    <cfRule type="colorScale" priority="6484">
      <colorScale>
        <cfvo type="min"/>
        <cfvo type="percentile" val="50"/>
        <cfvo type="max"/>
        <color rgb="FFF8696B"/>
        <color rgb="FFFFEB84"/>
        <color rgb="FF63BE7B"/>
      </colorScale>
    </cfRule>
  </conditionalFormatting>
  <conditionalFormatting sqref="D8917:D8918">
    <cfRule type="colorScale" priority="6489">
      <colorScale>
        <cfvo type="min"/>
        <cfvo type="percentile" val="50"/>
        <cfvo type="max"/>
        <color rgb="FFF8696B"/>
        <color rgb="FFFFEB84"/>
        <color rgb="FF63BE7B"/>
      </colorScale>
    </cfRule>
  </conditionalFormatting>
  <conditionalFormatting sqref="D8922">
    <cfRule type="colorScale" priority="6494">
      <colorScale>
        <cfvo type="min"/>
        <cfvo type="percentile" val="50"/>
        <cfvo type="max"/>
        <color rgb="FFF8696B"/>
        <color rgb="FFFFEB84"/>
        <color rgb="FF63BE7B"/>
      </colorScale>
    </cfRule>
  </conditionalFormatting>
  <conditionalFormatting sqref="D8926:D8927">
    <cfRule type="colorScale" priority="6499">
      <colorScale>
        <cfvo type="min"/>
        <cfvo type="percentile" val="50"/>
        <cfvo type="max"/>
        <color rgb="FFF8696B"/>
        <color rgb="FFFFEB84"/>
        <color rgb="FF63BE7B"/>
      </colorScale>
    </cfRule>
  </conditionalFormatting>
  <conditionalFormatting sqref="D8931:D8932">
    <cfRule type="colorScale" priority="6504">
      <colorScale>
        <cfvo type="min"/>
        <cfvo type="percentile" val="50"/>
        <cfvo type="max"/>
        <color rgb="FFF8696B"/>
        <color rgb="FFFFEB84"/>
        <color rgb="FF63BE7B"/>
      </colorScale>
    </cfRule>
  </conditionalFormatting>
  <conditionalFormatting sqref="D8936:D8939">
    <cfRule type="colorScale" priority="6509">
      <colorScale>
        <cfvo type="min"/>
        <cfvo type="percentile" val="50"/>
        <cfvo type="max"/>
        <color rgb="FFF8696B"/>
        <color rgb="FFFFEB84"/>
        <color rgb="FF63BE7B"/>
      </colorScale>
    </cfRule>
  </conditionalFormatting>
  <conditionalFormatting sqref="D8943">
    <cfRule type="colorScale" priority="6515">
      <colorScale>
        <cfvo type="min"/>
        <cfvo type="percentile" val="50"/>
        <cfvo type="max"/>
        <color rgb="FFF8696B"/>
        <color rgb="FFFFEB84"/>
        <color rgb="FF63BE7B"/>
      </colorScale>
    </cfRule>
  </conditionalFormatting>
  <conditionalFormatting sqref="D8947:D8948">
    <cfRule type="colorScale" priority="6519">
      <colorScale>
        <cfvo type="min"/>
        <cfvo type="percentile" val="50"/>
        <cfvo type="max"/>
        <color rgb="FFF8696B"/>
        <color rgb="FFFFEB84"/>
        <color rgb="FF63BE7B"/>
      </colorScale>
    </cfRule>
  </conditionalFormatting>
  <conditionalFormatting sqref="D8956:D8957">
    <cfRule type="colorScale" priority="6529">
      <colorScale>
        <cfvo type="min"/>
        <cfvo type="percentile" val="50"/>
        <cfvo type="max"/>
        <color rgb="FFF8696B"/>
        <color rgb="FFFFEB84"/>
        <color rgb="FF63BE7B"/>
      </colorScale>
    </cfRule>
  </conditionalFormatting>
  <conditionalFormatting sqref="D8961:D8962">
    <cfRule type="colorScale" priority="6534">
      <colorScale>
        <cfvo type="min"/>
        <cfvo type="percentile" val="50"/>
        <cfvo type="max"/>
        <color rgb="FFF8696B"/>
        <color rgb="FFFFEB84"/>
        <color rgb="FF63BE7B"/>
      </colorScale>
    </cfRule>
  </conditionalFormatting>
  <conditionalFormatting sqref="D8966:D8967">
    <cfRule type="colorScale" priority="6539">
      <colorScale>
        <cfvo type="min"/>
        <cfvo type="percentile" val="50"/>
        <cfvo type="max"/>
        <color rgb="FFF8696B"/>
        <color rgb="FFFFEB84"/>
        <color rgb="FF63BE7B"/>
      </colorScale>
    </cfRule>
  </conditionalFormatting>
  <conditionalFormatting sqref="D8971:D8972">
    <cfRule type="colorScale" priority="6544">
      <colorScale>
        <cfvo type="min"/>
        <cfvo type="percentile" val="50"/>
        <cfvo type="max"/>
        <color rgb="FFF8696B"/>
        <color rgb="FFFFEB84"/>
        <color rgb="FF63BE7B"/>
      </colorScale>
    </cfRule>
  </conditionalFormatting>
  <conditionalFormatting sqref="D8976:D8977">
    <cfRule type="colorScale" priority="6549">
      <colorScale>
        <cfvo type="min"/>
        <cfvo type="percentile" val="50"/>
        <cfvo type="max"/>
        <color rgb="FFF8696B"/>
        <color rgb="FFFFEB84"/>
        <color rgb="FF63BE7B"/>
      </colorScale>
    </cfRule>
  </conditionalFormatting>
  <conditionalFormatting sqref="D8981:D8982">
    <cfRule type="colorScale" priority="6554">
      <colorScale>
        <cfvo type="min"/>
        <cfvo type="percentile" val="50"/>
        <cfvo type="max"/>
        <color rgb="FFF8696B"/>
        <color rgb="FFFFEB84"/>
        <color rgb="FF63BE7B"/>
      </colorScale>
    </cfRule>
  </conditionalFormatting>
  <conditionalFormatting sqref="D8986:D8987">
    <cfRule type="colorScale" priority="6559">
      <colorScale>
        <cfvo type="min"/>
        <cfvo type="percentile" val="50"/>
        <cfvo type="max"/>
        <color rgb="FFF8696B"/>
        <color rgb="FFFFEB84"/>
        <color rgb="FF63BE7B"/>
      </colorScale>
    </cfRule>
  </conditionalFormatting>
  <conditionalFormatting sqref="D8991:D8992">
    <cfRule type="colorScale" priority="6564">
      <colorScale>
        <cfvo type="min"/>
        <cfvo type="percentile" val="50"/>
        <cfvo type="max"/>
        <color rgb="FFF8696B"/>
        <color rgb="FFFFEB84"/>
        <color rgb="FF63BE7B"/>
      </colorScale>
    </cfRule>
  </conditionalFormatting>
  <conditionalFormatting sqref="D8996">
    <cfRule type="colorScale" priority="6569">
      <colorScale>
        <cfvo type="min"/>
        <cfvo type="percentile" val="50"/>
        <cfvo type="max"/>
        <color rgb="FFF8696B"/>
        <color rgb="FFFFEB84"/>
        <color rgb="FF63BE7B"/>
      </colorScale>
    </cfRule>
  </conditionalFormatting>
  <conditionalFormatting sqref="D9000:D9001">
    <cfRule type="colorScale" priority="6574">
      <colorScale>
        <cfvo type="min"/>
        <cfvo type="percentile" val="50"/>
        <cfvo type="max"/>
        <color rgb="FFF8696B"/>
        <color rgb="FFFFEB84"/>
        <color rgb="FF63BE7B"/>
      </colorScale>
    </cfRule>
  </conditionalFormatting>
  <conditionalFormatting sqref="D9005:D9006">
    <cfRule type="colorScale" priority="6579">
      <colorScale>
        <cfvo type="min"/>
        <cfvo type="percentile" val="50"/>
        <cfvo type="max"/>
        <color rgb="FFF8696B"/>
        <color rgb="FFFFEB84"/>
        <color rgb="FF63BE7B"/>
      </colorScale>
    </cfRule>
  </conditionalFormatting>
  <conditionalFormatting sqref="D9010:D9013">
    <cfRule type="colorScale" priority="6584">
      <colorScale>
        <cfvo type="min"/>
        <cfvo type="percentile" val="50"/>
        <cfvo type="max"/>
        <color rgb="FFF8696B"/>
        <color rgb="FFFFEB84"/>
        <color rgb="FF63BE7B"/>
      </colorScale>
    </cfRule>
  </conditionalFormatting>
  <conditionalFormatting sqref="D9017">
    <cfRule type="colorScale" priority="6590">
      <colorScale>
        <cfvo type="min"/>
        <cfvo type="percentile" val="50"/>
        <cfvo type="max"/>
        <color rgb="FFF8696B"/>
        <color rgb="FFFFEB84"/>
        <color rgb="FF63BE7B"/>
      </colorScale>
    </cfRule>
  </conditionalFormatting>
  <conditionalFormatting sqref="D9021:D9022">
    <cfRule type="colorScale" priority="6594">
      <colorScale>
        <cfvo type="min"/>
        <cfvo type="percentile" val="50"/>
        <cfvo type="max"/>
        <color rgb="FFF8696B"/>
        <color rgb="FFFFEB84"/>
        <color rgb="FF63BE7B"/>
      </colorScale>
    </cfRule>
  </conditionalFormatting>
  <conditionalFormatting sqref="D9030:D9031">
    <cfRule type="colorScale" priority="6604">
      <colorScale>
        <cfvo type="min"/>
        <cfvo type="percentile" val="50"/>
        <cfvo type="max"/>
        <color rgb="FFF8696B"/>
        <color rgb="FFFFEB84"/>
        <color rgb="FF63BE7B"/>
      </colorScale>
    </cfRule>
  </conditionalFormatting>
  <conditionalFormatting sqref="D9035">
    <cfRule type="colorScale" priority="6609">
      <colorScale>
        <cfvo type="min"/>
        <cfvo type="percentile" val="50"/>
        <cfvo type="max"/>
        <color rgb="FFF8696B"/>
        <color rgb="FFFFEB84"/>
        <color rgb="FF63BE7B"/>
      </colorScale>
    </cfRule>
  </conditionalFormatting>
  <conditionalFormatting sqref="D9039:D9040">
    <cfRule type="colorScale" priority="6614">
      <colorScale>
        <cfvo type="min"/>
        <cfvo type="percentile" val="50"/>
        <cfvo type="max"/>
        <color rgb="FFF8696B"/>
        <color rgb="FFFFEB84"/>
        <color rgb="FF63BE7B"/>
      </colorScale>
    </cfRule>
  </conditionalFormatting>
  <conditionalFormatting sqref="D9044">
    <cfRule type="colorScale" priority="6619">
      <colorScale>
        <cfvo type="min"/>
        <cfvo type="percentile" val="50"/>
        <cfvo type="max"/>
        <color rgb="FFF8696B"/>
        <color rgb="FFFFEB84"/>
        <color rgb="FF63BE7B"/>
      </colorScale>
    </cfRule>
  </conditionalFormatting>
  <conditionalFormatting sqref="D9048:D9049">
    <cfRule type="colorScale" priority="6624">
      <colorScale>
        <cfvo type="min"/>
        <cfvo type="percentile" val="50"/>
        <cfvo type="max"/>
        <color rgb="FFF8696B"/>
        <color rgb="FFFFEB84"/>
        <color rgb="FF63BE7B"/>
      </colorScale>
    </cfRule>
  </conditionalFormatting>
  <conditionalFormatting sqref="D9053:D9054">
    <cfRule type="colorScale" priority="6629">
      <colorScale>
        <cfvo type="min"/>
        <cfvo type="percentile" val="50"/>
        <cfvo type="max"/>
        <color rgb="FFF8696B"/>
        <color rgb="FFFFEB84"/>
        <color rgb="FF63BE7B"/>
      </colorScale>
    </cfRule>
  </conditionalFormatting>
  <conditionalFormatting sqref="D9058:D9059">
    <cfRule type="colorScale" priority="6634">
      <colorScale>
        <cfvo type="min"/>
        <cfvo type="percentile" val="50"/>
        <cfvo type="max"/>
        <color rgb="FFF8696B"/>
        <color rgb="FFFFEB84"/>
        <color rgb="FF63BE7B"/>
      </colorScale>
    </cfRule>
  </conditionalFormatting>
  <conditionalFormatting sqref="D9063:D9064">
    <cfRule type="colorScale" priority="6639">
      <colorScale>
        <cfvo type="min"/>
        <cfvo type="percentile" val="50"/>
        <cfvo type="max"/>
        <color rgb="FFF8696B"/>
        <color rgb="FFFFEB84"/>
        <color rgb="FF63BE7B"/>
      </colorScale>
    </cfRule>
  </conditionalFormatting>
  <conditionalFormatting sqref="D9068">
    <cfRule type="colorScale" priority="6644">
      <colorScale>
        <cfvo type="min"/>
        <cfvo type="percentile" val="50"/>
        <cfvo type="max"/>
        <color rgb="FFF8696B"/>
        <color rgb="FFFFEB84"/>
        <color rgb="FF63BE7B"/>
      </colorScale>
    </cfRule>
  </conditionalFormatting>
  <conditionalFormatting sqref="D9072:D9073">
    <cfRule type="colorScale" priority="6649">
      <colorScale>
        <cfvo type="min"/>
        <cfvo type="percentile" val="50"/>
        <cfvo type="max"/>
        <color rgb="FFF8696B"/>
        <color rgb="FFFFEB84"/>
        <color rgb="FF63BE7B"/>
      </colorScale>
    </cfRule>
  </conditionalFormatting>
  <conditionalFormatting sqref="D9077:D9078">
    <cfRule type="colorScale" priority="6654">
      <colorScale>
        <cfvo type="min"/>
        <cfvo type="percentile" val="50"/>
        <cfvo type="max"/>
        <color rgb="FFF8696B"/>
        <color rgb="FFFFEB84"/>
        <color rgb="FF63BE7B"/>
      </colorScale>
    </cfRule>
  </conditionalFormatting>
  <conditionalFormatting sqref="D9082:D9085">
    <cfRule type="colorScale" priority="6659">
      <colorScale>
        <cfvo type="min"/>
        <cfvo type="percentile" val="50"/>
        <cfvo type="max"/>
        <color rgb="FFF8696B"/>
        <color rgb="FFFFEB84"/>
        <color rgb="FF63BE7B"/>
      </colorScale>
    </cfRule>
  </conditionalFormatting>
  <conditionalFormatting sqref="D9089">
    <cfRule type="colorScale" priority="6665">
      <colorScale>
        <cfvo type="min"/>
        <cfvo type="percentile" val="50"/>
        <cfvo type="max"/>
        <color rgb="FFF8696B"/>
        <color rgb="FFFFEB84"/>
        <color rgb="FF63BE7B"/>
      </colorScale>
    </cfRule>
  </conditionalFormatting>
  <conditionalFormatting sqref="D9093:D9094">
    <cfRule type="colorScale" priority="6669">
      <colorScale>
        <cfvo type="min"/>
        <cfvo type="percentile" val="50"/>
        <cfvo type="max"/>
        <color rgb="FFF8696B"/>
        <color rgb="FFFFEB84"/>
        <color rgb="FF63BE7B"/>
      </colorScale>
    </cfRule>
  </conditionalFormatting>
  <conditionalFormatting sqref="D9102:D9103">
    <cfRule type="colorScale" priority="6679">
      <colorScale>
        <cfvo type="min"/>
        <cfvo type="percentile" val="50"/>
        <cfvo type="max"/>
        <color rgb="FFF8696B"/>
        <color rgb="FFFFEB84"/>
        <color rgb="FF63BE7B"/>
      </colorScale>
    </cfRule>
  </conditionalFormatting>
  <conditionalFormatting sqref="D9107:D9108">
    <cfRule type="colorScale" priority="6684">
      <colorScale>
        <cfvo type="min"/>
        <cfvo type="percentile" val="50"/>
        <cfvo type="max"/>
        <color rgb="FFF8696B"/>
        <color rgb="FFFFEB84"/>
        <color rgb="FF63BE7B"/>
      </colorScale>
    </cfRule>
  </conditionalFormatting>
  <conditionalFormatting sqref="D9112:D9113">
    <cfRule type="colorScale" priority="6689">
      <colorScale>
        <cfvo type="min"/>
        <cfvo type="percentile" val="50"/>
        <cfvo type="max"/>
        <color rgb="FFF8696B"/>
        <color rgb="FFFFEB84"/>
        <color rgb="FF63BE7B"/>
      </colorScale>
    </cfRule>
  </conditionalFormatting>
  <conditionalFormatting sqref="D9117:D9118">
    <cfRule type="colorScale" priority="6694">
      <colorScale>
        <cfvo type="min"/>
        <cfvo type="percentile" val="50"/>
        <cfvo type="max"/>
        <color rgb="FFF8696B"/>
        <color rgb="FFFFEB84"/>
        <color rgb="FF63BE7B"/>
      </colorScale>
    </cfRule>
  </conditionalFormatting>
  <conditionalFormatting sqref="D9122:D9123">
    <cfRule type="colorScale" priority="6699">
      <colorScale>
        <cfvo type="min"/>
        <cfvo type="percentile" val="50"/>
        <cfvo type="max"/>
        <color rgb="FFF8696B"/>
        <color rgb="FFFFEB84"/>
        <color rgb="FF63BE7B"/>
      </colorScale>
    </cfRule>
  </conditionalFormatting>
  <conditionalFormatting sqref="D9127:D9128">
    <cfRule type="colorScale" priority="6704">
      <colorScale>
        <cfvo type="min"/>
        <cfvo type="percentile" val="50"/>
        <cfvo type="max"/>
        <color rgb="FFF8696B"/>
        <color rgb="FFFFEB84"/>
        <color rgb="FF63BE7B"/>
      </colorScale>
    </cfRule>
  </conditionalFormatting>
  <conditionalFormatting sqref="D9132:D9133">
    <cfRule type="colorScale" priority="6709">
      <colorScale>
        <cfvo type="min"/>
        <cfvo type="percentile" val="50"/>
        <cfvo type="max"/>
        <color rgb="FFF8696B"/>
        <color rgb="FFFFEB84"/>
        <color rgb="FF63BE7B"/>
      </colorScale>
    </cfRule>
  </conditionalFormatting>
  <conditionalFormatting sqref="D9137:D9138">
    <cfRule type="colorScale" priority="6714">
      <colorScale>
        <cfvo type="min"/>
        <cfvo type="percentile" val="50"/>
        <cfvo type="max"/>
        <color rgb="FFF8696B"/>
        <color rgb="FFFFEB84"/>
        <color rgb="FF63BE7B"/>
      </colorScale>
    </cfRule>
  </conditionalFormatting>
  <conditionalFormatting sqref="D9142">
    <cfRule type="colorScale" priority="6719">
      <colorScale>
        <cfvo type="min"/>
        <cfvo type="percentile" val="50"/>
        <cfvo type="max"/>
        <color rgb="FFF8696B"/>
        <color rgb="FFFFEB84"/>
        <color rgb="FF63BE7B"/>
      </colorScale>
    </cfRule>
  </conditionalFormatting>
  <conditionalFormatting sqref="D9146:D9147">
    <cfRule type="colorScale" priority="6724">
      <colorScale>
        <cfvo type="min"/>
        <cfvo type="percentile" val="50"/>
        <cfvo type="max"/>
        <color rgb="FFF8696B"/>
        <color rgb="FFFFEB84"/>
        <color rgb="FF63BE7B"/>
      </colorScale>
    </cfRule>
  </conditionalFormatting>
  <conditionalFormatting sqref="D9151:D9152">
    <cfRule type="colorScale" priority="6729">
      <colorScale>
        <cfvo type="min"/>
        <cfvo type="percentile" val="50"/>
        <cfvo type="max"/>
        <color rgb="FFF8696B"/>
        <color rgb="FFFFEB84"/>
        <color rgb="FF63BE7B"/>
      </colorScale>
    </cfRule>
  </conditionalFormatting>
  <conditionalFormatting sqref="D9156:D9159">
    <cfRule type="colorScale" priority="6734">
      <colorScale>
        <cfvo type="min"/>
        <cfvo type="percentile" val="50"/>
        <cfvo type="max"/>
        <color rgb="FFF8696B"/>
        <color rgb="FFFFEB84"/>
        <color rgb="FF63BE7B"/>
      </colorScale>
    </cfRule>
  </conditionalFormatting>
  <conditionalFormatting sqref="D9163">
    <cfRule type="colorScale" priority="6740">
      <colorScale>
        <cfvo type="min"/>
        <cfvo type="percentile" val="50"/>
        <cfvo type="max"/>
        <color rgb="FFF8696B"/>
        <color rgb="FFFFEB84"/>
        <color rgb="FF63BE7B"/>
      </colorScale>
    </cfRule>
  </conditionalFormatting>
  <conditionalFormatting sqref="D9167:D9168">
    <cfRule type="colorScale" priority="6744">
      <colorScale>
        <cfvo type="min"/>
        <cfvo type="percentile" val="50"/>
        <cfvo type="max"/>
        <color rgb="FFF8696B"/>
        <color rgb="FFFFEB84"/>
        <color rgb="FF63BE7B"/>
      </colorScale>
    </cfRule>
  </conditionalFormatting>
  <conditionalFormatting sqref="D9176">
    <cfRule type="colorScale" priority="6754">
      <colorScale>
        <cfvo type="min"/>
        <cfvo type="percentile" val="50"/>
        <cfvo type="max"/>
        <color rgb="FFF8696B"/>
        <color rgb="FFFFEB84"/>
        <color rgb="FF63BE7B"/>
      </colorScale>
    </cfRule>
  </conditionalFormatting>
  <conditionalFormatting sqref="D9180">
    <cfRule type="colorScale" priority="6759">
      <colorScale>
        <cfvo type="min"/>
        <cfvo type="percentile" val="50"/>
        <cfvo type="max"/>
        <color rgb="FFF8696B"/>
        <color rgb="FFFFEB84"/>
        <color rgb="FF63BE7B"/>
      </colorScale>
    </cfRule>
  </conditionalFormatting>
  <conditionalFormatting sqref="D9184:D9185">
    <cfRule type="colorScale" priority="6764">
      <colorScale>
        <cfvo type="min"/>
        <cfvo type="percentile" val="50"/>
        <cfvo type="max"/>
        <color rgb="FFF8696B"/>
        <color rgb="FFFFEB84"/>
        <color rgb="FF63BE7B"/>
      </colorScale>
    </cfRule>
  </conditionalFormatting>
  <conditionalFormatting sqref="D9189">
    <cfRule type="colorScale" priority="6769">
      <colorScale>
        <cfvo type="min"/>
        <cfvo type="percentile" val="50"/>
        <cfvo type="max"/>
        <color rgb="FFF8696B"/>
        <color rgb="FFFFEB84"/>
        <color rgb="FF63BE7B"/>
      </colorScale>
    </cfRule>
  </conditionalFormatting>
  <conditionalFormatting sqref="D9193:D9194">
    <cfRule type="colorScale" priority="6774">
      <colorScale>
        <cfvo type="min"/>
        <cfvo type="percentile" val="50"/>
        <cfvo type="max"/>
        <color rgb="FFF8696B"/>
        <color rgb="FFFFEB84"/>
        <color rgb="FF63BE7B"/>
      </colorScale>
    </cfRule>
  </conditionalFormatting>
  <conditionalFormatting sqref="D9198:D9199">
    <cfRule type="colorScale" priority="6779">
      <colorScale>
        <cfvo type="min"/>
        <cfvo type="percentile" val="50"/>
        <cfvo type="max"/>
        <color rgb="FFF8696B"/>
        <color rgb="FFFFEB84"/>
        <color rgb="FF63BE7B"/>
      </colorScale>
    </cfRule>
  </conditionalFormatting>
  <conditionalFormatting sqref="D9203:D9204">
    <cfRule type="colorScale" priority="6784">
      <colorScale>
        <cfvo type="min"/>
        <cfvo type="percentile" val="50"/>
        <cfvo type="max"/>
        <color rgb="FFF8696B"/>
        <color rgb="FFFFEB84"/>
        <color rgb="FF63BE7B"/>
      </colorScale>
    </cfRule>
  </conditionalFormatting>
  <conditionalFormatting sqref="D9208:D9209">
    <cfRule type="colorScale" priority="6789">
      <colorScale>
        <cfvo type="min"/>
        <cfvo type="percentile" val="50"/>
        <cfvo type="max"/>
        <color rgb="FFF8696B"/>
        <color rgb="FFFFEB84"/>
        <color rgb="FF63BE7B"/>
      </colorScale>
    </cfRule>
  </conditionalFormatting>
  <conditionalFormatting sqref="D9213">
    <cfRule type="colorScale" priority="6794">
      <colorScale>
        <cfvo type="min"/>
        <cfvo type="percentile" val="50"/>
        <cfvo type="max"/>
        <color rgb="FFF8696B"/>
        <color rgb="FFFFEB84"/>
        <color rgb="FF63BE7B"/>
      </colorScale>
    </cfRule>
  </conditionalFormatting>
  <conditionalFormatting sqref="D9217:D9218">
    <cfRule type="colorScale" priority="6799">
      <colorScale>
        <cfvo type="min"/>
        <cfvo type="percentile" val="50"/>
        <cfvo type="max"/>
        <color rgb="FFF8696B"/>
        <color rgb="FFFFEB84"/>
        <color rgb="FF63BE7B"/>
      </colorScale>
    </cfRule>
  </conditionalFormatting>
  <conditionalFormatting sqref="D9222:D9223">
    <cfRule type="colorScale" priority="6804">
      <colorScale>
        <cfvo type="min"/>
        <cfvo type="percentile" val="50"/>
        <cfvo type="max"/>
        <color rgb="FFF8696B"/>
        <color rgb="FFFFEB84"/>
        <color rgb="FF63BE7B"/>
      </colorScale>
    </cfRule>
  </conditionalFormatting>
  <conditionalFormatting sqref="D9227:D9230">
    <cfRule type="colorScale" priority="6809">
      <colorScale>
        <cfvo type="min"/>
        <cfvo type="percentile" val="50"/>
        <cfvo type="max"/>
        <color rgb="FFF8696B"/>
        <color rgb="FFFFEB84"/>
        <color rgb="FF63BE7B"/>
      </colorScale>
    </cfRule>
  </conditionalFormatting>
  <conditionalFormatting sqref="D9234">
    <cfRule type="colorScale" priority="6815">
      <colorScale>
        <cfvo type="min"/>
        <cfvo type="percentile" val="50"/>
        <cfvo type="max"/>
        <color rgb="FFF8696B"/>
        <color rgb="FFFFEB84"/>
        <color rgb="FF63BE7B"/>
      </colorScale>
    </cfRule>
  </conditionalFormatting>
  <conditionalFormatting sqref="D9238:D9239">
    <cfRule type="colorScale" priority="6819">
      <colorScale>
        <cfvo type="min"/>
        <cfvo type="percentile" val="50"/>
        <cfvo type="max"/>
        <color rgb="FFF8696B"/>
        <color rgb="FFFFEB84"/>
        <color rgb="FF63BE7B"/>
      </colorScale>
    </cfRule>
  </conditionalFormatting>
  <conditionalFormatting sqref="D9247:D9248">
    <cfRule type="colorScale" priority="6829">
      <colorScale>
        <cfvo type="min"/>
        <cfvo type="percentile" val="50"/>
        <cfvo type="max"/>
        <color rgb="FFF8696B"/>
        <color rgb="FFFFEB84"/>
        <color rgb="FF63BE7B"/>
      </colorScale>
    </cfRule>
  </conditionalFormatting>
  <conditionalFormatting sqref="D9252">
    <cfRule type="colorScale" priority="6834">
      <colorScale>
        <cfvo type="min"/>
        <cfvo type="percentile" val="50"/>
        <cfvo type="max"/>
        <color rgb="FFF8696B"/>
        <color rgb="FFFFEB84"/>
        <color rgb="FF63BE7B"/>
      </colorScale>
    </cfRule>
  </conditionalFormatting>
  <conditionalFormatting sqref="D9256">
    <cfRule type="colorScale" priority="6839">
      <colorScale>
        <cfvo type="min"/>
        <cfvo type="percentile" val="50"/>
        <cfvo type="max"/>
        <color rgb="FFF8696B"/>
        <color rgb="FFFFEB84"/>
        <color rgb="FF63BE7B"/>
      </colorScale>
    </cfRule>
  </conditionalFormatting>
  <conditionalFormatting sqref="D9260">
    <cfRule type="colorScale" priority="6844">
      <colorScale>
        <cfvo type="min"/>
        <cfvo type="percentile" val="50"/>
        <cfvo type="max"/>
        <color rgb="FFF8696B"/>
        <color rgb="FFFFEB84"/>
        <color rgb="FF63BE7B"/>
      </colorScale>
    </cfRule>
  </conditionalFormatting>
  <conditionalFormatting sqref="D9264">
    <cfRule type="colorScale" priority="6849">
      <colorScale>
        <cfvo type="min"/>
        <cfvo type="percentile" val="50"/>
        <cfvo type="max"/>
        <color rgb="FFF8696B"/>
        <color rgb="FFFFEB84"/>
        <color rgb="FF63BE7B"/>
      </colorScale>
    </cfRule>
  </conditionalFormatting>
  <conditionalFormatting sqref="D9268:D9269">
    <cfRule type="colorScale" priority="6854">
      <colorScale>
        <cfvo type="min"/>
        <cfvo type="percentile" val="50"/>
        <cfvo type="max"/>
        <color rgb="FFF8696B"/>
        <color rgb="FFFFEB84"/>
        <color rgb="FF63BE7B"/>
      </colorScale>
    </cfRule>
  </conditionalFormatting>
  <conditionalFormatting sqref="D9273">
    <cfRule type="colorScale" priority="6859">
      <colorScale>
        <cfvo type="min"/>
        <cfvo type="percentile" val="50"/>
        <cfvo type="max"/>
        <color rgb="FFF8696B"/>
        <color rgb="FFFFEB84"/>
        <color rgb="FF63BE7B"/>
      </colorScale>
    </cfRule>
  </conditionalFormatting>
  <conditionalFormatting sqref="D9277:D9278">
    <cfRule type="colorScale" priority="6864">
      <colorScale>
        <cfvo type="min"/>
        <cfvo type="percentile" val="50"/>
        <cfvo type="max"/>
        <color rgb="FFF8696B"/>
        <color rgb="FFFFEB84"/>
        <color rgb="FF63BE7B"/>
      </colorScale>
    </cfRule>
  </conditionalFormatting>
  <conditionalFormatting sqref="D9282">
    <cfRule type="colorScale" priority="6869">
      <colorScale>
        <cfvo type="min"/>
        <cfvo type="percentile" val="50"/>
        <cfvo type="max"/>
        <color rgb="FFF8696B"/>
        <color rgb="FFFFEB84"/>
        <color rgb="FF63BE7B"/>
      </colorScale>
    </cfRule>
  </conditionalFormatting>
  <conditionalFormatting sqref="D9286:D9287">
    <cfRule type="colorScale" priority="6874">
      <colorScale>
        <cfvo type="min"/>
        <cfvo type="percentile" val="50"/>
        <cfvo type="max"/>
        <color rgb="FFF8696B"/>
        <color rgb="FFFFEB84"/>
        <color rgb="FF63BE7B"/>
      </colorScale>
    </cfRule>
  </conditionalFormatting>
  <conditionalFormatting sqref="D9291">
    <cfRule type="colorScale" priority="6879">
      <colorScale>
        <cfvo type="min"/>
        <cfvo type="percentile" val="50"/>
        <cfvo type="max"/>
        <color rgb="FFF8696B"/>
        <color rgb="FFFFEB84"/>
        <color rgb="FF63BE7B"/>
      </colorScale>
    </cfRule>
  </conditionalFormatting>
  <conditionalFormatting sqref="D9295:D9297">
    <cfRule type="colorScale" priority="6884">
      <colorScale>
        <cfvo type="min"/>
        <cfvo type="percentile" val="50"/>
        <cfvo type="max"/>
        <color rgb="FFF8696B"/>
        <color rgb="FFFFEB84"/>
        <color rgb="FF63BE7B"/>
      </colorScale>
    </cfRule>
  </conditionalFormatting>
  <conditionalFormatting sqref="D9301">
    <cfRule type="colorScale" priority="6890">
      <colorScale>
        <cfvo type="min"/>
        <cfvo type="percentile" val="50"/>
        <cfvo type="max"/>
        <color rgb="FFF8696B"/>
        <color rgb="FFFFEB84"/>
        <color rgb="FF63BE7B"/>
      </colorScale>
    </cfRule>
  </conditionalFormatting>
  <conditionalFormatting sqref="D9305">
    <cfRule type="colorScale" priority="6894">
      <colorScale>
        <cfvo type="min"/>
        <cfvo type="percentile" val="50"/>
        <cfvo type="max"/>
        <color rgb="FFF8696B"/>
        <color rgb="FFFFEB84"/>
        <color rgb="FF63BE7B"/>
      </colorScale>
    </cfRule>
  </conditionalFormatting>
  <conditionalFormatting sqref="D9313">
    <cfRule type="colorScale" priority="6904">
      <colorScale>
        <cfvo type="min"/>
        <cfvo type="percentile" val="50"/>
        <cfvo type="max"/>
        <color rgb="FFF8696B"/>
        <color rgb="FFFFEB84"/>
        <color rgb="FF63BE7B"/>
      </colorScale>
    </cfRule>
  </conditionalFormatting>
  <conditionalFormatting sqref="D9317">
    <cfRule type="colorScale" priority="6909">
      <colorScale>
        <cfvo type="min"/>
        <cfvo type="percentile" val="50"/>
        <cfvo type="max"/>
        <color rgb="FFF8696B"/>
        <color rgb="FFFFEB84"/>
        <color rgb="FF63BE7B"/>
      </colorScale>
    </cfRule>
  </conditionalFormatting>
  <conditionalFormatting sqref="D9321">
    <cfRule type="colorScale" priority="6914">
      <colorScale>
        <cfvo type="min"/>
        <cfvo type="percentile" val="50"/>
        <cfvo type="max"/>
        <color rgb="FFF8696B"/>
        <color rgb="FFFFEB84"/>
        <color rgb="FF63BE7B"/>
      </colorScale>
    </cfRule>
  </conditionalFormatting>
  <conditionalFormatting sqref="D9325">
    <cfRule type="colorScale" priority="6919">
      <colorScale>
        <cfvo type="min"/>
        <cfvo type="percentile" val="50"/>
        <cfvo type="max"/>
        <color rgb="FFF8696B"/>
        <color rgb="FFFFEB84"/>
        <color rgb="FF63BE7B"/>
      </colorScale>
    </cfRule>
  </conditionalFormatting>
  <conditionalFormatting sqref="D9329:D9330">
    <cfRule type="colorScale" priority="6924">
      <colorScale>
        <cfvo type="min"/>
        <cfvo type="percentile" val="50"/>
        <cfvo type="max"/>
        <color rgb="FFF8696B"/>
        <color rgb="FFFFEB84"/>
        <color rgb="FF63BE7B"/>
      </colorScale>
    </cfRule>
  </conditionalFormatting>
  <conditionalFormatting sqref="D9334:D9335">
    <cfRule type="colorScale" priority="6929">
      <colorScale>
        <cfvo type="min"/>
        <cfvo type="percentile" val="50"/>
        <cfvo type="max"/>
        <color rgb="FFF8696B"/>
        <color rgb="FFFFEB84"/>
        <color rgb="FF63BE7B"/>
      </colorScale>
    </cfRule>
  </conditionalFormatting>
  <conditionalFormatting sqref="D9339">
    <cfRule type="colorScale" priority="6934">
      <colorScale>
        <cfvo type="min"/>
        <cfvo type="percentile" val="50"/>
        <cfvo type="max"/>
        <color rgb="FFF8696B"/>
        <color rgb="FFFFEB84"/>
        <color rgb="FF63BE7B"/>
      </colorScale>
    </cfRule>
  </conditionalFormatting>
  <conditionalFormatting sqref="D9343:D9344">
    <cfRule type="colorScale" priority="6939">
      <colorScale>
        <cfvo type="min"/>
        <cfvo type="percentile" val="50"/>
        <cfvo type="max"/>
        <color rgb="FFF8696B"/>
        <color rgb="FFFFEB84"/>
        <color rgb="FF63BE7B"/>
      </colorScale>
    </cfRule>
  </conditionalFormatting>
  <conditionalFormatting sqref="D9348">
    <cfRule type="colorScale" priority="6944">
      <colorScale>
        <cfvo type="min"/>
        <cfvo type="percentile" val="50"/>
        <cfvo type="max"/>
        <color rgb="FFF8696B"/>
        <color rgb="FFFFEB84"/>
        <color rgb="FF63BE7B"/>
      </colorScale>
    </cfRule>
  </conditionalFormatting>
  <conditionalFormatting sqref="D9352:D9353">
    <cfRule type="colorScale" priority="6949">
      <colorScale>
        <cfvo type="min"/>
        <cfvo type="percentile" val="50"/>
        <cfvo type="max"/>
        <color rgb="FFF8696B"/>
        <color rgb="FFFFEB84"/>
        <color rgb="FF63BE7B"/>
      </colorScale>
    </cfRule>
  </conditionalFormatting>
  <conditionalFormatting sqref="D9357:D9358">
    <cfRule type="colorScale" priority="6954">
      <colorScale>
        <cfvo type="min"/>
        <cfvo type="percentile" val="50"/>
        <cfvo type="max"/>
        <color rgb="FFF8696B"/>
        <color rgb="FFFFEB84"/>
        <color rgb="FF63BE7B"/>
      </colorScale>
    </cfRule>
  </conditionalFormatting>
  <conditionalFormatting sqref="D9362">
    <cfRule type="colorScale" priority="6959">
      <colorScale>
        <cfvo type="min"/>
        <cfvo type="percentile" val="50"/>
        <cfvo type="max"/>
        <color rgb="FFF8696B"/>
        <color rgb="FFFFEB84"/>
        <color rgb="FF63BE7B"/>
      </colorScale>
    </cfRule>
  </conditionalFormatting>
  <conditionalFormatting sqref="D9366">
    <cfRule type="colorScale" priority="6965">
      <colorScale>
        <cfvo type="min"/>
        <cfvo type="percentile" val="50"/>
        <cfvo type="max"/>
        <color rgb="FFF8696B"/>
        <color rgb="FFFFEB84"/>
        <color rgb="FF63BE7B"/>
      </colorScale>
    </cfRule>
  </conditionalFormatting>
  <conditionalFormatting sqref="D9370:D9371">
    <cfRule type="colorScale" priority="6969">
      <colorScale>
        <cfvo type="min"/>
        <cfvo type="percentile" val="50"/>
        <cfvo type="max"/>
        <color rgb="FFF8696B"/>
        <color rgb="FFFFEB84"/>
        <color rgb="FF63BE7B"/>
      </colorScale>
    </cfRule>
  </conditionalFormatting>
  <conditionalFormatting sqref="D9379:D9380">
    <cfRule type="colorScale" priority="6979">
      <colorScale>
        <cfvo type="min"/>
        <cfvo type="percentile" val="50"/>
        <cfvo type="max"/>
        <color rgb="FFF8696B"/>
        <color rgb="FFFFEB84"/>
        <color rgb="FF63BE7B"/>
      </colorScale>
    </cfRule>
  </conditionalFormatting>
  <conditionalFormatting sqref="D9384:D9385">
    <cfRule type="colorScale" priority="6984">
      <colorScale>
        <cfvo type="min"/>
        <cfvo type="percentile" val="50"/>
        <cfvo type="max"/>
        <color rgb="FFF8696B"/>
        <color rgb="FFFFEB84"/>
        <color rgb="FF63BE7B"/>
      </colorScale>
    </cfRule>
  </conditionalFormatting>
  <conditionalFormatting sqref="D9389:D9390">
    <cfRule type="colorScale" priority="6989">
      <colorScale>
        <cfvo type="min"/>
        <cfvo type="percentile" val="50"/>
        <cfvo type="max"/>
        <color rgb="FFF8696B"/>
        <color rgb="FFFFEB84"/>
        <color rgb="FF63BE7B"/>
      </colorScale>
    </cfRule>
  </conditionalFormatting>
  <conditionalFormatting sqref="D9394:D9395">
    <cfRule type="colorScale" priority="6994">
      <colorScale>
        <cfvo type="min"/>
        <cfvo type="percentile" val="50"/>
        <cfvo type="max"/>
        <color rgb="FFF8696B"/>
        <color rgb="FFFFEB84"/>
        <color rgb="FF63BE7B"/>
      </colorScale>
    </cfRule>
  </conditionalFormatting>
  <conditionalFormatting sqref="D9399:D9400">
    <cfRule type="colorScale" priority="6999">
      <colorScale>
        <cfvo type="min"/>
        <cfvo type="percentile" val="50"/>
        <cfvo type="max"/>
        <color rgb="FFF8696B"/>
        <color rgb="FFFFEB84"/>
        <color rgb="FF63BE7B"/>
      </colorScale>
    </cfRule>
  </conditionalFormatting>
  <conditionalFormatting sqref="D9404:D9405">
    <cfRule type="colorScale" priority="7004">
      <colorScale>
        <cfvo type="min"/>
        <cfvo type="percentile" val="50"/>
        <cfvo type="max"/>
        <color rgb="FFF8696B"/>
        <color rgb="FFFFEB84"/>
        <color rgb="FF63BE7B"/>
      </colorScale>
    </cfRule>
  </conditionalFormatting>
  <conditionalFormatting sqref="D9409:D9410">
    <cfRule type="colorScale" priority="7009">
      <colorScale>
        <cfvo type="min"/>
        <cfvo type="percentile" val="50"/>
        <cfvo type="max"/>
        <color rgb="FFF8696B"/>
        <color rgb="FFFFEB84"/>
        <color rgb="FF63BE7B"/>
      </colorScale>
    </cfRule>
  </conditionalFormatting>
  <conditionalFormatting sqref="D9414:D9415">
    <cfRule type="colorScale" priority="7014">
      <colorScale>
        <cfvo type="min"/>
        <cfvo type="percentile" val="50"/>
        <cfvo type="max"/>
        <color rgb="FFF8696B"/>
        <color rgb="FFFFEB84"/>
        <color rgb="FF63BE7B"/>
      </colorScale>
    </cfRule>
  </conditionalFormatting>
  <conditionalFormatting sqref="D9419">
    <cfRule type="colorScale" priority="7019">
      <colorScale>
        <cfvo type="min"/>
        <cfvo type="percentile" val="50"/>
        <cfvo type="max"/>
        <color rgb="FFF8696B"/>
        <color rgb="FFFFEB84"/>
        <color rgb="FF63BE7B"/>
      </colorScale>
    </cfRule>
  </conditionalFormatting>
  <conditionalFormatting sqref="D9423:D9424">
    <cfRule type="colorScale" priority="7024">
      <colorScale>
        <cfvo type="min"/>
        <cfvo type="percentile" val="50"/>
        <cfvo type="max"/>
        <color rgb="FFF8696B"/>
        <color rgb="FFFFEB84"/>
        <color rgb="FF63BE7B"/>
      </colorScale>
    </cfRule>
  </conditionalFormatting>
  <conditionalFormatting sqref="D9428:D9429">
    <cfRule type="colorScale" priority="7029">
      <colorScale>
        <cfvo type="min"/>
        <cfvo type="percentile" val="50"/>
        <cfvo type="max"/>
        <color rgb="FFF8696B"/>
        <color rgb="FFFFEB84"/>
        <color rgb="FF63BE7B"/>
      </colorScale>
    </cfRule>
  </conditionalFormatting>
  <conditionalFormatting sqref="D9433:D9436">
    <cfRule type="colorScale" priority="7034">
      <colorScale>
        <cfvo type="min"/>
        <cfvo type="percentile" val="50"/>
        <cfvo type="max"/>
        <color rgb="FFF8696B"/>
        <color rgb="FFFFEB84"/>
        <color rgb="FF63BE7B"/>
      </colorScale>
    </cfRule>
  </conditionalFormatting>
  <conditionalFormatting sqref="D9440">
    <cfRule type="colorScale" priority="7040">
      <colorScale>
        <cfvo type="min"/>
        <cfvo type="percentile" val="50"/>
        <cfvo type="max"/>
        <color rgb="FFF8696B"/>
        <color rgb="FFFFEB84"/>
        <color rgb="FF63BE7B"/>
      </colorScale>
    </cfRule>
  </conditionalFormatting>
  <conditionalFormatting sqref="D9444">
    <cfRule type="colorScale" priority="7044">
      <colorScale>
        <cfvo type="min"/>
        <cfvo type="percentile" val="50"/>
        <cfvo type="max"/>
        <color rgb="FFF8696B"/>
        <color rgb="FFFFEB84"/>
        <color rgb="FF63BE7B"/>
      </colorScale>
    </cfRule>
  </conditionalFormatting>
  <conditionalFormatting sqref="D9452">
    <cfRule type="colorScale" priority="7054">
      <colorScale>
        <cfvo type="min"/>
        <cfvo type="percentile" val="50"/>
        <cfvo type="max"/>
        <color rgb="FFF8696B"/>
        <color rgb="FFFFEB84"/>
        <color rgb="FF63BE7B"/>
      </colorScale>
    </cfRule>
  </conditionalFormatting>
  <conditionalFormatting sqref="D9456">
    <cfRule type="colorScale" priority="7059">
      <colorScale>
        <cfvo type="min"/>
        <cfvo type="percentile" val="50"/>
        <cfvo type="max"/>
        <color rgb="FFF8696B"/>
        <color rgb="FFFFEB84"/>
        <color rgb="FF63BE7B"/>
      </colorScale>
    </cfRule>
  </conditionalFormatting>
  <conditionalFormatting sqref="D9460">
    <cfRule type="colorScale" priority="7064">
      <colorScale>
        <cfvo type="min"/>
        <cfvo type="percentile" val="50"/>
        <cfvo type="max"/>
        <color rgb="FFF8696B"/>
        <color rgb="FFFFEB84"/>
        <color rgb="FF63BE7B"/>
      </colorScale>
    </cfRule>
  </conditionalFormatting>
  <conditionalFormatting sqref="D9464">
    <cfRule type="colorScale" priority="7069">
      <colorScale>
        <cfvo type="min"/>
        <cfvo type="percentile" val="50"/>
        <cfvo type="max"/>
        <color rgb="FFF8696B"/>
        <color rgb="FFFFEB84"/>
        <color rgb="FF63BE7B"/>
      </colorScale>
    </cfRule>
  </conditionalFormatting>
  <conditionalFormatting sqref="D9468:D9469">
    <cfRule type="colorScale" priority="7074">
      <colorScale>
        <cfvo type="min"/>
        <cfvo type="percentile" val="50"/>
        <cfvo type="max"/>
        <color rgb="FFF8696B"/>
        <color rgb="FFFFEB84"/>
        <color rgb="FF63BE7B"/>
      </colorScale>
    </cfRule>
  </conditionalFormatting>
  <conditionalFormatting sqref="D9473">
    <cfRule type="colorScale" priority="7079">
      <colorScale>
        <cfvo type="min"/>
        <cfvo type="percentile" val="50"/>
        <cfvo type="max"/>
        <color rgb="FFF8696B"/>
        <color rgb="FFFFEB84"/>
        <color rgb="FF63BE7B"/>
      </colorScale>
    </cfRule>
  </conditionalFormatting>
  <conditionalFormatting sqref="D9477:D9478">
    <cfRule type="colorScale" priority="7084">
      <colorScale>
        <cfvo type="min"/>
        <cfvo type="percentile" val="50"/>
        <cfvo type="max"/>
        <color rgb="FFF8696B"/>
        <color rgb="FFFFEB84"/>
        <color rgb="FF63BE7B"/>
      </colorScale>
    </cfRule>
  </conditionalFormatting>
  <conditionalFormatting sqref="D9482">
    <cfRule type="colorScale" priority="7089">
      <colorScale>
        <cfvo type="min"/>
        <cfvo type="percentile" val="50"/>
        <cfvo type="max"/>
        <color rgb="FFF8696B"/>
        <color rgb="FFFFEB84"/>
        <color rgb="FF63BE7B"/>
      </colorScale>
    </cfRule>
  </conditionalFormatting>
  <conditionalFormatting sqref="D9486">
    <cfRule type="colorScale" priority="7094">
      <colorScale>
        <cfvo type="min"/>
        <cfvo type="percentile" val="50"/>
        <cfvo type="max"/>
        <color rgb="FFF8696B"/>
        <color rgb="FFFFEB84"/>
        <color rgb="FF63BE7B"/>
      </colorScale>
    </cfRule>
  </conditionalFormatting>
  <conditionalFormatting sqref="D9490:D9491">
    <cfRule type="colorScale" priority="7099">
      <colorScale>
        <cfvo type="min"/>
        <cfvo type="percentile" val="50"/>
        <cfvo type="max"/>
        <color rgb="FFF8696B"/>
        <color rgb="FFFFEB84"/>
        <color rgb="FF63BE7B"/>
      </colorScale>
    </cfRule>
  </conditionalFormatting>
  <conditionalFormatting sqref="D9495">
    <cfRule type="colorScale" priority="7104">
      <colorScale>
        <cfvo type="min"/>
        <cfvo type="percentile" val="50"/>
        <cfvo type="max"/>
        <color rgb="FFF8696B"/>
        <color rgb="FFFFEB84"/>
        <color rgb="FF63BE7B"/>
      </colorScale>
    </cfRule>
  </conditionalFormatting>
  <conditionalFormatting sqref="D9499:D9501">
    <cfRule type="colorScale" priority="7109">
      <colorScale>
        <cfvo type="min"/>
        <cfvo type="percentile" val="50"/>
        <cfvo type="max"/>
        <color rgb="FFF8696B"/>
        <color rgb="FFFFEB84"/>
        <color rgb="FF63BE7B"/>
      </colorScale>
    </cfRule>
  </conditionalFormatting>
  <conditionalFormatting sqref="D9505">
    <cfRule type="colorScale" priority="7115">
      <colorScale>
        <cfvo type="min"/>
        <cfvo type="percentile" val="50"/>
        <cfvo type="max"/>
        <color rgb="FFF8696B"/>
        <color rgb="FFFFEB84"/>
        <color rgb="FF63BE7B"/>
      </colorScale>
    </cfRule>
  </conditionalFormatting>
  <conditionalFormatting sqref="D9509">
    <cfRule type="colorScale" priority="7119">
      <colorScale>
        <cfvo type="min"/>
        <cfvo type="percentile" val="50"/>
        <cfvo type="max"/>
        <color rgb="FFF8696B"/>
        <color rgb="FFFFEB84"/>
        <color rgb="FF63BE7B"/>
      </colorScale>
    </cfRule>
  </conditionalFormatting>
  <conditionalFormatting sqref="D9517:D9518">
    <cfRule type="colorScale" priority="7129">
      <colorScale>
        <cfvo type="min"/>
        <cfvo type="percentile" val="50"/>
        <cfvo type="max"/>
        <color rgb="FFF8696B"/>
        <color rgb="FFFFEB84"/>
        <color rgb="FF63BE7B"/>
      </colorScale>
    </cfRule>
  </conditionalFormatting>
  <conditionalFormatting sqref="D9522">
    <cfRule type="colorScale" priority="7134">
      <colorScale>
        <cfvo type="min"/>
        <cfvo type="percentile" val="50"/>
        <cfvo type="max"/>
        <color rgb="FFF8696B"/>
        <color rgb="FFFFEB84"/>
        <color rgb="FF63BE7B"/>
      </colorScale>
    </cfRule>
  </conditionalFormatting>
  <conditionalFormatting sqref="D9526">
    <cfRule type="colorScale" priority="7139">
      <colorScale>
        <cfvo type="min"/>
        <cfvo type="percentile" val="50"/>
        <cfvo type="max"/>
        <color rgb="FFF8696B"/>
        <color rgb="FFFFEB84"/>
        <color rgb="FF63BE7B"/>
      </colorScale>
    </cfRule>
  </conditionalFormatting>
  <conditionalFormatting sqref="D9530">
    <cfRule type="colorScale" priority="7144">
      <colorScale>
        <cfvo type="min"/>
        <cfvo type="percentile" val="50"/>
        <cfvo type="max"/>
        <color rgb="FFF8696B"/>
        <color rgb="FFFFEB84"/>
        <color rgb="FF63BE7B"/>
      </colorScale>
    </cfRule>
  </conditionalFormatting>
  <conditionalFormatting sqref="D9534:D9535">
    <cfRule type="colorScale" priority="7149">
      <colorScale>
        <cfvo type="min"/>
        <cfvo type="percentile" val="50"/>
        <cfvo type="max"/>
        <color rgb="FFF8696B"/>
        <color rgb="FFFFEB84"/>
        <color rgb="FF63BE7B"/>
      </colorScale>
    </cfRule>
  </conditionalFormatting>
  <conditionalFormatting sqref="D9539:D9540">
    <cfRule type="colorScale" priority="7154">
      <colorScale>
        <cfvo type="min"/>
        <cfvo type="percentile" val="50"/>
        <cfvo type="max"/>
        <color rgb="FFF8696B"/>
        <color rgb="FFFFEB84"/>
        <color rgb="FF63BE7B"/>
      </colorScale>
    </cfRule>
  </conditionalFormatting>
  <conditionalFormatting sqref="D9544:D9545">
    <cfRule type="colorScale" priority="7159">
      <colorScale>
        <cfvo type="min"/>
        <cfvo type="percentile" val="50"/>
        <cfvo type="max"/>
        <color rgb="FFF8696B"/>
        <color rgb="FFFFEB84"/>
        <color rgb="FF63BE7B"/>
      </colorScale>
    </cfRule>
  </conditionalFormatting>
  <conditionalFormatting sqref="D9549">
    <cfRule type="colorScale" priority="7164">
      <colorScale>
        <cfvo type="min"/>
        <cfvo type="percentile" val="50"/>
        <cfvo type="max"/>
        <color rgb="FFF8696B"/>
        <color rgb="FFFFEB84"/>
        <color rgb="FF63BE7B"/>
      </colorScale>
    </cfRule>
  </conditionalFormatting>
  <conditionalFormatting sqref="D9553">
    <cfRule type="colorScale" priority="7169">
      <colorScale>
        <cfvo type="min"/>
        <cfvo type="percentile" val="50"/>
        <cfvo type="max"/>
        <color rgb="FFF8696B"/>
        <color rgb="FFFFEB84"/>
        <color rgb="FF63BE7B"/>
      </colorScale>
    </cfRule>
  </conditionalFormatting>
  <conditionalFormatting sqref="D9557:D9558">
    <cfRule type="colorScale" priority="7174">
      <colorScale>
        <cfvo type="min"/>
        <cfvo type="percentile" val="50"/>
        <cfvo type="max"/>
        <color rgb="FFF8696B"/>
        <color rgb="FFFFEB84"/>
        <color rgb="FF63BE7B"/>
      </colorScale>
    </cfRule>
  </conditionalFormatting>
  <conditionalFormatting sqref="D9562:D9563">
    <cfRule type="colorScale" priority="7179">
      <colorScale>
        <cfvo type="min"/>
        <cfvo type="percentile" val="50"/>
        <cfvo type="max"/>
        <color rgb="FFF8696B"/>
        <color rgb="FFFFEB84"/>
        <color rgb="FF63BE7B"/>
      </colorScale>
    </cfRule>
  </conditionalFormatting>
  <conditionalFormatting sqref="D9567:D9570">
    <cfRule type="colorScale" priority="7184">
      <colorScale>
        <cfvo type="min"/>
        <cfvo type="percentile" val="50"/>
        <cfvo type="max"/>
        <color rgb="FFF8696B"/>
        <color rgb="FFFFEB84"/>
        <color rgb="FF63BE7B"/>
      </colorScale>
    </cfRule>
  </conditionalFormatting>
  <conditionalFormatting sqref="D9574">
    <cfRule type="colorScale" priority="7190">
      <colorScale>
        <cfvo type="min"/>
        <cfvo type="percentile" val="50"/>
        <cfvo type="max"/>
        <color rgb="FFF8696B"/>
        <color rgb="FFFFEB84"/>
        <color rgb="FF63BE7B"/>
      </colorScale>
    </cfRule>
  </conditionalFormatting>
  <conditionalFormatting sqref="D9578:D9579">
    <cfRule type="colorScale" priority="7194">
      <colorScale>
        <cfvo type="min"/>
        <cfvo type="percentile" val="50"/>
        <cfvo type="max"/>
        <color rgb="FFF8696B"/>
        <color rgb="FFFFEB84"/>
        <color rgb="FF63BE7B"/>
      </colorScale>
    </cfRule>
  </conditionalFormatting>
  <conditionalFormatting sqref="D9587">
    <cfRule type="colorScale" priority="7204">
      <colorScale>
        <cfvo type="min"/>
        <cfvo type="percentile" val="50"/>
        <cfvo type="max"/>
        <color rgb="FFF8696B"/>
        <color rgb="FFFFEB84"/>
        <color rgb="FF63BE7B"/>
      </colorScale>
    </cfRule>
  </conditionalFormatting>
  <conditionalFormatting sqref="D9591">
    <cfRule type="colorScale" priority="7209">
      <colorScale>
        <cfvo type="min"/>
        <cfvo type="percentile" val="50"/>
        <cfvo type="max"/>
        <color rgb="FFF8696B"/>
        <color rgb="FFFFEB84"/>
        <color rgb="FF63BE7B"/>
      </colorScale>
    </cfRule>
  </conditionalFormatting>
  <conditionalFormatting sqref="D9595">
    <cfRule type="colorScale" priority="7214">
      <colorScale>
        <cfvo type="min"/>
        <cfvo type="percentile" val="50"/>
        <cfvo type="max"/>
        <color rgb="FFF8696B"/>
        <color rgb="FFFFEB84"/>
        <color rgb="FF63BE7B"/>
      </colorScale>
    </cfRule>
  </conditionalFormatting>
  <conditionalFormatting sqref="D9599:D9600">
    <cfRule type="colorScale" priority="7219">
      <colorScale>
        <cfvo type="min"/>
        <cfvo type="percentile" val="50"/>
        <cfvo type="max"/>
        <color rgb="FFF8696B"/>
        <color rgb="FFFFEB84"/>
        <color rgb="FF63BE7B"/>
      </colorScale>
    </cfRule>
  </conditionalFormatting>
  <conditionalFormatting sqref="D9604">
    <cfRule type="colorScale" priority="7224">
      <colorScale>
        <cfvo type="min"/>
        <cfvo type="percentile" val="50"/>
        <cfvo type="max"/>
        <color rgb="FFF8696B"/>
        <color rgb="FFFFEB84"/>
        <color rgb="FF63BE7B"/>
      </colorScale>
    </cfRule>
  </conditionalFormatting>
  <conditionalFormatting sqref="D9608:D9609">
    <cfRule type="colorScale" priority="7229">
      <colorScale>
        <cfvo type="min"/>
        <cfvo type="percentile" val="50"/>
        <cfvo type="max"/>
        <color rgb="FFF8696B"/>
        <color rgb="FFFFEB84"/>
        <color rgb="FF63BE7B"/>
      </colorScale>
    </cfRule>
  </conditionalFormatting>
  <conditionalFormatting sqref="D9613:D9614">
    <cfRule type="colorScale" priority="7234">
      <colorScale>
        <cfvo type="min"/>
        <cfvo type="percentile" val="50"/>
        <cfvo type="max"/>
        <color rgb="FFF8696B"/>
        <color rgb="FFFFEB84"/>
        <color rgb="FF63BE7B"/>
      </colorScale>
    </cfRule>
  </conditionalFormatting>
  <conditionalFormatting sqref="D9618">
    <cfRule type="colorScale" priority="7239">
      <colorScale>
        <cfvo type="min"/>
        <cfvo type="percentile" val="50"/>
        <cfvo type="max"/>
        <color rgb="FFF8696B"/>
        <color rgb="FFFFEB84"/>
        <color rgb="FF63BE7B"/>
      </colorScale>
    </cfRule>
  </conditionalFormatting>
  <conditionalFormatting sqref="D9622">
    <cfRule type="colorScale" priority="7244">
      <colorScale>
        <cfvo type="min"/>
        <cfvo type="percentile" val="50"/>
        <cfvo type="max"/>
        <color rgb="FFF8696B"/>
        <color rgb="FFFFEB84"/>
        <color rgb="FF63BE7B"/>
      </colorScale>
    </cfRule>
  </conditionalFormatting>
  <conditionalFormatting sqref="D9626:D9627">
    <cfRule type="colorScale" priority="7249">
      <colorScale>
        <cfvo type="min"/>
        <cfvo type="percentile" val="50"/>
        <cfvo type="max"/>
        <color rgb="FFF8696B"/>
        <color rgb="FFFFEB84"/>
        <color rgb="FF63BE7B"/>
      </colorScale>
    </cfRule>
  </conditionalFormatting>
  <conditionalFormatting sqref="D9631">
    <cfRule type="colorScale" priority="7254">
      <colorScale>
        <cfvo type="min"/>
        <cfvo type="percentile" val="50"/>
        <cfvo type="max"/>
        <color rgb="FFF8696B"/>
        <color rgb="FFFFEB84"/>
        <color rgb="FF63BE7B"/>
      </colorScale>
    </cfRule>
  </conditionalFormatting>
  <conditionalFormatting sqref="D9635:D9636">
    <cfRule type="colorScale" priority="7259">
      <colorScale>
        <cfvo type="min"/>
        <cfvo type="percentile" val="50"/>
        <cfvo type="max"/>
        <color rgb="FFF8696B"/>
        <color rgb="FFFFEB84"/>
        <color rgb="FF63BE7B"/>
      </colorScale>
    </cfRule>
  </conditionalFormatting>
  <conditionalFormatting sqref="D9640">
    <cfRule type="colorScale" priority="7265">
      <colorScale>
        <cfvo type="min"/>
        <cfvo type="percentile" val="50"/>
        <cfvo type="max"/>
        <color rgb="FFF8696B"/>
        <color rgb="FFFFEB84"/>
        <color rgb="FF63BE7B"/>
      </colorScale>
    </cfRule>
  </conditionalFormatting>
  <conditionalFormatting sqref="D9644">
    <cfRule type="colorScale" priority="7269">
      <colorScale>
        <cfvo type="min"/>
        <cfvo type="percentile" val="50"/>
        <cfvo type="max"/>
        <color rgb="FFF8696B"/>
        <color rgb="FFFFEB84"/>
        <color rgb="FF63BE7B"/>
      </colorScale>
    </cfRule>
  </conditionalFormatting>
  <conditionalFormatting sqref="D9652">
    <cfRule type="colorScale" priority="7279">
      <colorScale>
        <cfvo type="min"/>
        <cfvo type="percentile" val="50"/>
        <cfvo type="max"/>
        <color rgb="FFF8696B"/>
        <color rgb="FFFFEB84"/>
        <color rgb="FF63BE7B"/>
      </colorScale>
    </cfRule>
  </conditionalFormatting>
  <conditionalFormatting sqref="D9656">
    <cfRule type="colorScale" priority="7284">
      <colorScale>
        <cfvo type="min"/>
        <cfvo type="percentile" val="50"/>
        <cfvo type="max"/>
        <color rgb="FFF8696B"/>
        <color rgb="FFFFEB84"/>
        <color rgb="FF63BE7B"/>
      </colorScale>
    </cfRule>
  </conditionalFormatting>
  <conditionalFormatting sqref="D9660">
    <cfRule type="colorScale" priority="7289">
      <colorScale>
        <cfvo type="min"/>
        <cfvo type="percentile" val="50"/>
        <cfvo type="max"/>
        <color rgb="FFF8696B"/>
        <color rgb="FFFFEB84"/>
        <color rgb="FF63BE7B"/>
      </colorScale>
    </cfRule>
  </conditionalFormatting>
  <conditionalFormatting sqref="D9664">
    <cfRule type="colorScale" priority="7294">
      <colorScale>
        <cfvo type="min"/>
        <cfvo type="percentile" val="50"/>
        <cfvo type="max"/>
        <color rgb="FFF8696B"/>
        <color rgb="FFFFEB84"/>
        <color rgb="FF63BE7B"/>
      </colorScale>
    </cfRule>
  </conditionalFormatting>
  <conditionalFormatting sqref="D9668">
    <cfRule type="colorScale" priority="7299">
      <colorScale>
        <cfvo type="min"/>
        <cfvo type="percentile" val="50"/>
        <cfvo type="max"/>
        <color rgb="FFF8696B"/>
        <color rgb="FFFFEB84"/>
        <color rgb="FF63BE7B"/>
      </colorScale>
    </cfRule>
  </conditionalFormatting>
  <conditionalFormatting sqref="D9672">
    <cfRule type="colorScale" priority="7304">
      <colorScale>
        <cfvo type="min"/>
        <cfvo type="percentile" val="50"/>
        <cfvo type="max"/>
        <color rgb="FFF8696B"/>
        <color rgb="FFFFEB84"/>
        <color rgb="FF63BE7B"/>
      </colorScale>
    </cfRule>
  </conditionalFormatting>
  <conditionalFormatting sqref="D9676:D9677">
    <cfRule type="colorScale" priority="7309">
      <colorScale>
        <cfvo type="min"/>
        <cfvo type="percentile" val="50"/>
        <cfvo type="max"/>
        <color rgb="FFF8696B"/>
        <color rgb="FFFFEB84"/>
        <color rgb="FF63BE7B"/>
      </colorScale>
    </cfRule>
  </conditionalFormatting>
  <conditionalFormatting sqref="D9681:D9682">
    <cfRule type="colorScale" priority="7314">
      <colorScale>
        <cfvo type="min"/>
        <cfvo type="percentile" val="50"/>
        <cfvo type="max"/>
        <color rgb="FFF8696B"/>
        <color rgb="FFFFEB84"/>
        <color rgb="FF63BE7B"/>
      </colorScale>
    </cfRule>
  </conditionalFormatting>
  <conditionalFormatting sqref="D9686">
    <cfRule type="colorScale" priority="7319">
      <colorScale>
        <cfvo type="min"/>
        <cfvo type="percentile" val="50"/>
        <cfvo type="max"/>
        <color rgb="FFF8696B"/>
        <color rgb="FFFFEB84"/>
        <color rgb="FF63BE7B"/>
      </colorScale>
    </cfRule>
  </conditionalFormatting>
  <conditionalFormatting sqref="D9690">
    <cfRule type="colorScale" priority="7324">
      <colorScale>
        <cfvo type="min"/>
        <cfvo type="percentile" val="50"/>
        <cfvo type="max"/>
        <color rgb="FFF8696B"/>
        <color rgb="FFFFEB84"/>
        <color rgb="FF63BE7B"/>
      </colorScale>
    </cfRule>
  </conditionalFormatting>
  <conditionalFormatting sqref="D9694">
    <cfRule type="colorScale" priority="7329">
      <colorScale>
        <cfvo type="min"/>
        <cfvo type="percentile" val="50"/>
        <cfvo type="max"/>
        <color rgb="FFF8696B"/>
        <color rgb="FFFFEB84"/>
        <color rgb="FF63BE7B"/>
      </colorScale>
    </cfRule>
  </conditionalFormatting>
  <conditionalFormatting sqref="D9698:D9699">
    <cfRule type="colorScale" priority="7334">
      <colorScale>
        <cfvo type="min"/>
        <cfvo type="percentile" val="50"/>
        <cfvo type="max"/>
        <color rgb="FFF8696B"/>
        <color rgb="FFFFEB84"/>
        <color rgb="FF63BE7B"/>
      </colorScale>
    </cfRule>
  </conditionalFormatting>
  <conditionalFormatting sqref="D9703">
    <cfRule type="colorScale" priority="7340">
      <colorScale>
        <cfvo type="min"/>
        <cfvo type="percentile" val="50"/>
        <cfvo type="max"/>
        <color rgb="FFF8696B"/>
        <color rgb="FFFFEB84"/>
        <color rgb="FF63BE7B"/>
      </colorScale>
    </cfRule>
  </conditionalFormatting>
  <conditionalFormatting sqref="D9707:D9708">
    <cfRule type="colorScale" priority="7344">
      <colorScale>
        <cfvo type="min"/>
        <cfvo type="percentile" val="50"/>
        <cfvo type="max"/>
        <color rgb="FFF8696B"/>
        <color rgb="FFFFEB84"/>
        <color rgb="FF63BE7B"/>
      </colorScale>
    </cfRule>
  </conditionalFormatting>
  <conditionalFormatting sqref="D9716:D9717">
    <cfRule type="colorScale" priority="7354">
      <colorScale>
        <cfvo type="min"/>
        <cfvo type="percentile" val="50"/>
        <cfvo type="max"/>
        <color rgb="FFF8696B"/>
        <color rgb="FFFFEB84"/>
        <color rgb="FF63BE7B"/>
      </colorScale>
    </cfRule>
  </conditionalFormatting>
  <conditionalFormatting sqref="D9721">
    <cfRule type="colorScale" priority="7359">
      <colorScale>
        <cfvo type="min"/>
        <cfvo type="percentile" val="50"/>
        <cfvo type="max"/>
        <color rgb="FFF8696B"/>
        <color rgb="FFFFEB84"/>
        <color rgb="FF63BE7B"/>
      </colorScale>
    </cfRule>
  </conditionalFormatting>
  <conditionalFormatting sqref="D9725:D9726">
    <cfRule type="colorScale" priority="7364">
      <colorScale>
        <cfvo type="min"/>
        <cfvo type="percentile" val="50"/>
        <cfvo type="max"/>
        <color rgb="FFF8696B"/>
        <color rgb="FFFFEB84"/>
        <color rgb="FF63BE7B"/>
      </colorScale>
    </cfRule>
  </conditionalFormatting>
  <conditionalFormatting sqref="D9730">
    <cfRule type="colorScale" priority="7369">
      <colorScale>
        <cfvo type="min"/>
        <cfvo type="percentile" val="50"/>
        <cfvo type="max"/>
        <color rgb="FFF8696B"/>
        <color rgb="FFFFEB84"/>
        <color rgb="FF63BE7B"/>
      </colorScale>
    </cfRule>
  </conditionalFormatting>
  <conditionalFormatting sqref="D9734:D9735">
    <cfRule type="colorScale" priority="7374">
      <colorScale>
        <cfvo type="min"/>
        <cfvo type="percentile" val="50"/>
        <cfvo type="max"/>
        <color rgb="FFF8696B"/>
        <color rgb="FFFFEB84"/>
        <color rgb="FF63BE7B"/>
      </colorScale>
    </cfRule>
  </conditionalFormatting>
  <conditionalFormatting sqref="D9739:D9740">
    <cfRule type="colorScale" priority="7379">
      <colorScale>
        <cfvo type="min"/>
        <cfvo type="percentile" val="50"/>
        <cfvo type="max"/>
        <color rgb="FFF8696B"/>
        <color rgb="FFFFEB84"/>
        <color rgb="FF63BE7B"/>
      </colorScale>
    </cfRule>
  </conditionalFormatting>
  <conditionalFormatting sqref="D9744:D9745">
    <cfRule type="colorScale" priority="7384">
      <colorScale>
        <cfvo type="min"/>
        <cfvo type="percentile" val="50"/>
        <cfvo type="max"/>
        <color rgb="FFF8696B"/>
        <color rgb="FFFFEB84"/>
        <color rgb="FF63BE7B"/>
      </colorScale>
    </cfRule>
  </conditionalFormatting>
  <conditionalFormatting sqref="D9749">
    <cfRule type="colorScale" priority="7389">
      <colorScale>
        <cfvo type="min"/>
        <cfvo type="percentile" val="50"/>
        <cfvo type="max"/>
        <color rgb="FFF8696B"/>
        <color rgb="FFFFEB84"/>
        <color rgb="FF63BE7B"/>
      </colorScale>
    </cfRule>
  </conditionalFormatting>
  <conditionalFormatting sqref="D9753">
    <cfRule type="colorScale" priority="7394">
      <colorScale>
        <cfvo type="min"/>
        <cfvo type="percentile" val="50"/>
        <cfvo type="max"/>
        <color rgb="FFF8696B"/>
        <color rgb="FFFFEB84"/>
        <color rgb="FF63BE7B"/>
      </colorScale>
    </cfRule>
  </conditionalFormatting>
  <conditionalFormatting sqref="D9757:D9758">
    <cfRule type="colorScale" priority="7399">
      <colorScale>
        <cfvo type="min"/>
        <cfvo type="percentile" val="50"/>
        <cfvo type="max"/>
        <color rgb="FFF8696B"/>
        <color rgb="FFFFEB84"/>
        <color rgb="FF63BE7B"/>
      </colorScale>
    </cfRule>
  </conditionalFormatting>
  <conditionalFormatting sqref="D9762">
    <cfRule type="colorScale" priority="7404">
      <colorScale>
        <cfvo type="min"/>
        <cfvo type="percentile" val="50"/>
        <cfvo type="max"/>
        <color rgb="FFF8696B"/>
        <color rgb="FFFFEB84"/>
        <color rgb="FF63BE7B"/>
      </colorScale>
    </cfRule>
  </conditionalFormatting>
  <conditionalFormatting sqref="D9766:D9769">
    <cfRule type="colorScale" priority="7409">
      <colorScale>
        <cfvo type="min"/>
        <cfvo type="percentile" val="50"/>
        <cfvo type="max"/>
        <color rgb="FFF8696B"/>
        <color rgb="FFFFEB84"/>
        <color rgb="FF63BE7B"/>
      </colorScale>
    </cfRule>
  </conditionalFormatting>
  <conditionalFormatting sqref="D9773">
    <cfRule type="colorScale" priority="7415">
      <colorScale>
        <cfvo type="min"/>
        <cfvo type="percentile" val="50"/>
        <cfvo type="max"/>
        <color rgb="FFF8696B"/>
        <color rgb="FFFFEB84"/>
        <color rgb="FF63BE7B"/>
      </colorScale>
    </cfRule>
  </conditionalFormatting>
  <conditionalFormatting sqref="D9777:D9778">
    <cfRule type="colorScale" priority="7419">
      <colorScale>
        <cfvo type="min"/>
        <cfvo type="percentile" val="50"/>
        <cfvo type="max"/>
        <color rgb="FFF8696B"/>
        <color rgb="FFFFEB84"/>
        <color rgb="FF63BE7B"/>
      </colorScale>
    </cfRule>
  </conditionalFormatting>
  <conditionalFormatting sqref="D9786:D9787">
    <cfRule type="colorScale" priority="7429">
      <colorScale>
        <cfvo type="min"/>
        <cfvo type="percentile" val="50"/>
        <cfvo type="max"/>
        <color rgb="FFF8696B"/>
        <color rgb="FFFFEB84"/>
        <color rgb="FF63BE7B"/>
      </colorScale>
    </cfRule>
  </conditionalFormatting>
  <conditionalFormatting sqref="D9791:D9792">
    <cfRule type="colorScale" priority="7434">
      <colorScale>
        <cfvo type="min"/>
        <cfvo type="percentile" val="50"/>
        <cfvo type="max"/>
        <color rgb="FFF8696B"/>
        <color rgb="FFFFEB84"/>
        <color rgb="FF63BE7B"/>
      </colorScale>
    </cfRule>
  </conditionalFormatting>
  <conditionalFormatting sqref="D9796:D9797">
    <cfRule type="colorScale" priority="7439">
      <colorScale>
        <cfvo type="min"/>
        <cfvo type="percentile" val="50"/>
        <cfvo type="max"/>
        <color rgb="FFF8696B"/>
        <color rgb="FFFFEB84"/>
        <color rgb="FF63BE7B"/>
      </colorScale>
    </cfRule>
  </conditionalFormatting>
  <conditionalFormatting sqref="D9801:D9802">
    <cfRule type="colorScale" priority="7444">
      <colorScale>
        <cfvo type="min"/>
        <cfvo type="percentile" val="50"/>
        <cfvo type="max"/>
        <color rgb="FFF8696B"/>
        <color rgb="FFFFEB84"/>
        <color rgb="FF63BE7B"/>
      </colorScale>
    </cfRule>
  </conditionalFormatting>
  <conditionalFormatting sqref="D9806:D9807">
    <cfRule type="colorScale" priority="7449">
      <colorScale>
        <cfvo type="min"/>
        <cfvo type="percentile" val="50"/>
        <cfvo type="max"/>
        <color rgb="FFF8696B"/>
        <color rgb="FFFFEB84"/>
        <color rgb="FF63BE7B"/>
      </colorScale>
    </cfRule>
  </conditionalFormatting>
  <conditionalFormatting sqref="D9811:D9812">
    <cfRule type="colorScale" priority="7454">
      <colorScale>
        <cfvo type="min"/>
        <cfvo type="percentile" val="50"/>
        <cfvo type="max"/>
        <color rgb="FFF8696B"/>
        <color rgb="FFFFEB84"/>
        <color rgb="FF63BE7B"/>
      </colorScale>
    </cfRule>
  </conditionalFormatting>
  <conditionalFormatting sqref="D9816:D9817">
    <cfRule type="colorScale" priority="7459">
      <colorScale>
        <cfvo type="min"/>
        <cfvo type="percentile" val="50"/>
        <cfvo type="max"/>
        <color rgb="FFF8696B"/>
        <color rgb="FFFFEB84"/>
        <color rgb="FF63BE7B"/>
      </colorScale>
    </cfRule>
  </conditionalFormatting>
  <conditionalFormatting sqref="D9821:D9822">
    <cfRule type="colorScale" priority="7464">
      <colorScale>
        <cfvo type="min"/>
        <cfvo type="percentile" val="50"/>
        <cfvo type="max"/>
        <color rgb="FFF8696B"/>
        <color rgb="FFFFEB84"/>
        <color rgb="FF63BE7B"/>
      </colorScale>
    </cfRule>
  </conditionalFormatting>
  <conditionalFormatting sqref="D9826">
    <cfRule type="colorScale" priority="7469">
      <colorScale>
        <cfvo type="min"/>
        <cfvo type="percentile" val="50"/>
        <cfvo type="max"/>
        <color rgb="FFF8696B"/>
        <color rgb="FFFFEB84"/>
        <color rgb="FF63BE7B"/>
      </colorScale>
    </cfRule>
  </conditionalFormatting>
  <conditionalFormatting sqref="D9830:D9831">
    <cfRule type="colorScale" priority="7474">
      <colorScale>
        <cfvo type="min"/>
        <cfvo type="percentile" val="50"/>
        <cfvo type="max"/>
        <color rgb="FFF8696B"/>
        <color rgb="FFFFEB84"/>
        <color rgb="FF63BE7B"/>
      </colorScale>
    </cfRule>
  </conditionalFormatting>
  <conditionalFormatting sqref="D9835:D9836">
    <cfRule type="colorScale" priority="7479">
      <colorScale>
        <cfvo type="min"/>
        <cfvo type="percentile" val="50"/>
        <cfvo type="max"/>
        <color rgb="FFF8696B"/>
        <color rgb="FFFFEB84"/>
        <color rgb="FF63BE7B"/>
      </colorScale>
    </cfRule>
  </conditionalFormatting>
  <conditionalFormatting sqref="D9840:D9843">
    <cfRule type="colorScale" priority="7484">
      <colorScale>
        <cfvo type="min"/>
        <cfvo type="percentile" val="50"/>
        <cfvo type="max"/>
        <color rgb="FFF8696B"/>
        <color rgb="FFFFEB84"/>
        <color rgb="FF63BE7B"/>
      </colorScale>
    </cfRule>
  </conditionalFormatting>
  <conditionalFormatting sqref="D9847">
    <cfRule type="colorScale" priority="7490">
      <colorScale>
        <cfvo type="min"/>
        <cfvo type="percentile" val="50"/>
        <cfvo type="max"/>
        <color rgb="FFF8696B"/>
        <color rgb="FFFFEB84"/>
        <color rgb="FF63BE7B"/>
      </colorScale>
    </cfRule>
  </conditionalFormatting>
  <conditionalFormatting sqref="D9851:D9852">
    <cfRule type="colorScale" priority="7494">
      <colorScale>
        <cfvo type="min"/>
        <cfvo type="percentile" val="50"/>
        <cfvo type="max"/>
        <color rgb="FFF8696B"/>
        <color rgb="FFFFEB84"/>
        <color rgb="FF63BE7B"/>
      </colorScale>
    </cfRule>
  </conditionalFormatting>
  <conditionalFormatting sqref="D9860:D9861">
    <cfRule type="colorScale" priority="7504">
      <colorScale>
        <cfvo type="min"/>
        <cfvo type="percentile" val="50"/>
        <cfvo type="max"/>
        <color rgb="FFF8696B"/>
        <color rgb="FFFFEB84"/>
        <color rgb="FF63BE7B"/>
      </colorScale>
    </cfRule>
  </conditionalFormatting>
  <conditionalFormatting sqref="D9865">
    <cfRule type="colorScale" priority="7509">
      <colorScale>
        <cfvo type="min"/>
        <cfvo type="percentile" val="50"/>
        <cfvo type="max"/>
        <color rgb="FFF8696B"/>
        <color rgb="FFFFEB84"/>
        <color rgb="FF63BE7B"/>
      </colorScale>
    </cfRule>
  </conditionalFormatting>
  <conditionalFormatting sqref="D9869:D9870">
    <cfRule type="colorScale" priority="7514">
      <colorScale>
        <cfvo type="min"/>
        <cfvo type="percentile" val="50"/>
        <cfvo type="max"/>
        <color rgb="FFF8696B"/>
        <color rgb="FFFFEB84"/>
        <color rgb="FF63BE7B"/>
      </colorScale>
    </cfRule>
  </conditionalFormatting>
  <conditionalFormatting sqref="D9874">
    <cfRule type="colorScale" priority="7519">
      <colorScale>
        <cfvo type="min"/>
        <cfvo type="percentile" val="50"/>
        <cfvo type="max"/>
        <color rgb="FFF8696B"/>
        <color rgb="FFFFEB84"/>
        <color rgb="FF63BE7B"/>
      </colorScale>
    </cfRule>
  </conditionalFormatting>
  <conditionalFormatting sqref="D9878">
    <cfRule type="colorScale" priority="7524">
      <colorScale>
        <cfvo type="min"/>
        <cfvo type="percentile" val="50"/>
        <cfvo type="max"/>
        <color rgb="FFF8696B"/>
        <color rgb="FFFFEB84"/>
        <color rgb="FF63BE7B"/>
      </colorScale>
    </cfRule>
  </conditionalFormatting>
  <conditionalFormatting sqref="D9882:D9883">
    <cfRule type="colorScale" priority="7529">
      <colorScale>
        <cfvo type="min"/>
        <cfvo type="percentile" val="50"/>
        <cfvo type="max"/>
        <color rgb="FFF8696B"/>
        <color rgb="FFFFEB84"/>
        <color rgb="FF63BE7B"/>
      </colorScale>
    </cfRule>
  </conditionalFormatting>
  <conditionalFormatting sqref="D9887:D9888">
    <cfRule type="colorScale" priority="7534">
      <colorScale>
        <cfvo type="min"/>
        <cfvo type="percentile" val="50"/>
        <cfvo type="max"/>
        <color rgb="FFF8696B"/>
        <color rgb="FFFFEB84"/>
        <color rgb="FF63BE7B"/>
      </colorScale>
    </cfRule>
  </conditionalFormatting>
  <conditionalFormatting sqref="D9892:D9893">
    <cfRule type="colorScale" priority="7539">
      <colorScale>
        <cfvo type="min"/>
        <cfvo type="percentile" val="50"/>
        <cfvo type="max"/>
        <color rgb="FFF8696B"/>
        <color rgb="FFFFEB84"/>
        <color rgb="FF63BE7B"/>
      </colorScale>
    </cfRule>
  </conditionalFormatting>
  <conditionalFormatting sqref="D9897">
    <cfRule type="colorScale" priority="7544">
      <colorScale>
        <cfvo type="min"/>
        <cfvo type="percentile" val="50"/>
        <cfvo type="max"/>
        <color rgb="FFF8696B"/>
        <color rgb="FFFFEB84"/>
        <color rgb="FF63BE7B"/>
      </colorScale>
    </cfRule>
  </conditionalFormatting>
  <conditionalFormatting sqref="D9901:D9902">
    <cfRule type="colorScale" priority="7549">
      <colorScale>
        <cfvo type="min"/>
        <cfvo type="percentile" val="50"/>
        <cfvo type="max"/>
        <color rgb="FFF8696B"/>
        <color rgb="FFFFEB84"/>
        <color rgb="FF63BE7B"/>
      </colorScale>
    </cfRule>
  </conditionalFormatting>
  <conditionalFormatting sqref="D9906:D9907">
    <cfRule type="colorScale" priority="7554">
      <colorScale>
        <cfvo type="min"/>
        <cfvo type="percentile" val="50"/>
        <cfvo type="max"/>
        <color rgb="FFF8696B"/>
        <color rgb="FFFFEB84"/>
        <color rgb="FF63BE7B"/>
      </colorScale>
    </cfRule>
  </conditionalFormatting>
  <conditionalFormatting sqref="D9911:D9914">
    <cfRule type="colorScale" priority="7559">
      <colorScale>
        <cfvo type="min"/>
        <cfvo type="percentile" val="50"/>
        <cfvo type="max"/>
        <color rgb="FFF8696B"/>
        <color rgb="FFFFEB84"/>
        <color rgb="FF63BE7B"/>
      </colorScale>
    </cfRule>
  </conditionalFormatting>
  <conditionalFormatting sqref="D2380:E2380">
    <cfRule type="colorScale" priority="1563">
      <colorScale>
        <cfvo type="min"/>
        <cfvo type="percentile" val="50"/>
        <cfvo type="max"/>
        <color rgb="FFF8696B"/>
        <color rgb="FFFFEB84"/>
        <color rgb="FF63BE7B"/>
      </colorScale>
    </cfRule>
    <cfRule type="notContainsBlanks" dxfId="895" priority="1564">
      <formula>LEN(TRIM(D2380))&gt;0</formula>
    </cfRule>
  </conditionalFormatting>
  <conditionalFormatting sqref="D2445:E2445">
    <cfRule type="colorScale" priority="1593">
      <colorScale>
        <cfvo type="min"/>
        <cfvo type="percentile" val="50"/>
        <cfvo type="max"/>
        <color rgb="FFF8696B"/>
        <color rgb="FFFFEB84"/>
        <color rgb="FF63BE7B"/>
      </colorScale>
    </cfRule>
    <cfRule type="notContainsBlanks" dxfId="894" priority="1594">
      <formula>LEN(TRIM(D2445))&gt;0</formula>
    </cfRule>
  </conditionalFormatting>
  <conditionalFormatting sqref="D3128:E3128">
    <cfRule type="notContainsBlanks" dxfId="893" priority="1894">
      <formula>LEN(TRIM(D3128))&gt;0</formula>
    </cfRule>
    <cfRule type="colorScale" priority="1893">
      <colorScale>
        <cfvo type="min"/>
        <cfvo type="percentile" val="50"/>
        <cfvo type="max"/>
        <color rgb="FFF8696B"/>
        <color rgb="FFFFEB84"/>
        <color rgb="FF63BE7B"/>
      </colorScale>
    </cfRule>
  </conditionalFormatting>
  <conditionalFormatting sqref="D3192:E3192">
    <cfRule type="colorScale" priority="1923">
      <colorScale>
        <cfvo type="min"/>
        <cfvo type="percentile" val="50"/>
        <cfvo type="max"/>
        <color rgb="FFF8696B"/>
        <color rgb="FFFFEB84"/>
        <color rgb="FF63BE7B"/>
      </colorScale>
    </cfRule>
    <cfRule type="notContainsBlanks" dxfId="892" priority="1924">
      <formula>LEN(TRIM(D3192))&gt;0</formula>
    </cfRule>
  </conditionalFormatting>
  <conditionalFormatting sqref="D3900:E3900">
    <cfRule type="colorScale" priority="2223">
      <colorScale>
        <cfvo type="min"/>
        <cfvo type="percentile" val="50"/>
        <cfvo type="max"/>
        <color rgb="FFF8696B"/>
        <color rgb="FFFFEB84"/>
        <color rgb="FF63BE7B"/>
      </colorScale>
    </cfRule>
    <cfRule type="notContainsBlanks" dxfId="891" priority="2224">
      <formula>LEN(TRIM(D3900))&gt;0</formula>
    </cfRule>
  </conditionalFormatting>
  <conditionalFormatting sqref="D7014:E7014">
    <cfRule type="colorScale" priority="4533">
      <colorScale>
        <cfvo type="min"/>
        <cfvo type="percentile" val="50"/>
        <cfvo type="max"/>
        <color rgb="FFF8696B"/>
        <color rgb="FFFFEB84"/>
        <color rgb="FF63BE7B"/>
      </colorScale>
    </cfRule>
    <cfRule type="notContainsBlanks" dxfId="890" priority="4534">
      <formula>LEN(TRIM(D7014))&gt;0</formula>
    </cfRule>
  </conditionalFormatting>
  <conditionalFormatting sqref="D1710:F1710">
    <cfRule type="colorScale" priority="1154">
      <colorScale>
        <cfvo type="min"/>
        <cfvo type="percentile" val="50"/>
        <cfvo type="max"/>
        <color rgb="FFF8696B"/>
        <color rgb="FFFFEB84"/>
        <color rgb="FF63BE7B"/>
      </colorScale>
    </cfRule>
    <cfRule type="notContainsBlanks" dxfId="889" priority="1155">
      <formula>LEN(TRIM(D1710))&gt;0</formula>
    </cfRule>
  </conditionalFormatting>
  <conditionalFormatting sqref="D1714:F1714">
    <cfRule type="notContainsBlanks" dxfId="888" priority="1157">
      <formula>LEN(TRIM(D1714))&gt;0</formula>
    </cfRule>
    <cfRule type="colorScale" priority="1156">
      <colorScale>
        <cfvo type="min"/>
        <cfvo type="percentile" val="50"/>
        <cfvo type="max"/>
        <color rgb="FFF8696B"/>
        <color rgb="FFFFEB84"/>
        <color rgb="FF63BE7B"/>
      </colorScale>
    </cfRule>
  </conditionalFormatting>
  <conditionalFormatting sqref="D1718:F1718">
    <cfRule type="notContainsBlanks" dxfId="887" priority="1159">
      <formula>LEN(TRIM(D1718))&gt;0</formula>
    </cfRule>
    <cfRule type="colorScale" priority="1158">
      <colorScale>
        <cfvo type="min"/>
        <cfvo type="percentile" val="50"/>
        <cfvo type="max"/>
        <color rgb="FFF8696B"/>
        <color rgb="FFFFEB84"/>
        <color rgb="FF63BE7B"/>
      </colorScale>
    </cfRule>
  </conditionalFormatting>
  <conditionalFormatting sqref="D1940:F1940">
    <cfRule type="notContainsBlanks" dxfId="886" priority="1339">
      <formula>LEN(TRIM(D1940))&gt;0</formula>
    </cfRule>
    <cfRule type="colorScale" priority="1338">
      <colorScale>
        <cfvo type="min"/>
        <cfvo type="percentile" val="50"/>
        <cfvo type="max"/>
        <color rgb="FFF8696B"/>
        <color rgb="FFFFEB84"/>
        <color rgb="FF63BE7B"/>
      </colorScale>
    </cfRule>
  </conditionalFormatting>
  <conditionalFormatting sqref="D2308:F2308">
    <cfRule type="notContainsBlanks" dxfId="885" priority="1534">
      <formula>LEN(TRIM(D2308))&gt;0</formula>
    </cfRule>
    <cfRule type="colorScale" priority="1533">
      <colorScale>
        <cfvo type="min"/>
        <cfvo type="percentile" val="50"/>
        <cfvo type="max"/>
        <color rgb="FFF8696B"/>
        <color rgb="FFFFEB84"/>
        <color rgb="FF63BE7B"/>
      </colorScale>
    </cfRule>
  </conditionalFormatting>
  <conditionalFormatting sqref="D2990:F2990">
    <cfRule type="notContainsBlanks" dxfId="884" priority="1834">
      <formula>LEN(TRIM(D2990))&gt;0</formula>
    </cfRule>
    <cfRule type="colorScale" priority="1833">
      <colorScale>
        <cfvo type="min"/>
        <cfvo type="percentile" val="50"/>
        <cfvo type="max"/>
        <color rgb="FFF8696B"/>
        <color rgb="FFFFEB84"/>
        <color rgb="FF63BE7B"/>
      </colorScale>
    </cfRule>
  </conditionalFormatting>
  <conditionalFormatting sqref="D3253:F3253">
    <cfRule type="notContainsBlanks" dxfId="883" priority="1954">
      <formula>LEN(TRIM(D3253))&gt;0</formula>
    </cfRule>
    <cfRule type="colorScale" priority="1953">
      <colorScale>
        <cfvo type="min"/>
        <cfvo type="percentile" val="50"/>
        <cfvo type="max"/>
        <color rgb="FFF8696B"/>
        <color rgb="FFFFEB84"/>
        <color rgb="FF63BE7B"/>
      </colorScale>
    </cfRule>
  </conditionalFormatting>
  <conditionalFormatting sqref="D3396:F3396">
    <cfRule type="notContainsBlanks" dxfId="882" priority="2014">
      <formula>LEN(TRIM(D3396))&gt;0</formula>
    </cfRule>
    <cfRule type="colorScale" priority="2013">
      <colorScale>
        <cfvo type="min"/>
        <cfvo type="percentile" val="50"/>
        <cfvo type="max"/>
        <color rgb="FFF8696B"/>
        <color rgb="FFFFEB84"/>
        <color rgb="FF63BE7B"/>
      </colorScale>
    </cfRule>
  </conditionalFormatting>
  <conditionalFormatting sqref="D4037:F4037">
    <cfRule type="notContainsBlanks" dxfId="881" priority="2284">
      <formula>LEN(TRIM(D4037))&gt;0</formula>
    </cfRule>
    <cfRule type="colorScale" priority="2283">
      <colorScale>
        <cfvo type="min"/>
        <cfvo type="percentile" val="50"/>
        <cfvo type="max"/>
        <color rgb="FFF8696B"/>
        <color rgb="FFFFEB84"/>
        <color rgb="FF63BE7B"/>
      </colorScale>
    </cfRule>
  </conditionalFormatting>
  <conditionalFormatting sqref="D4104:F4104">
    <cfRule type="notContainsBlanks" dxfId="880" priority="2314">
      <formula>LEN(TRIM(D4104))&gt;0</formula>
    </cfRule>
    <cfRule type="colorScale" priority="2313">
      <colorScale>
        <cfvo type="min"/>
        <cfvo type="percentile" val="50"/>
        <cfvo type="max"/>
        <color rgb="FFF8696B"/>
        <color rgb="FFFFEB84"/>
        <color rgb="FF63BE7B"/>
      </colorScale>
    </cfRule>
  </conditionalFormatting>
  <conditionalFormatting sqref="D4309:F4309">
    <cfRule type="notContainsBlanks" dxfId="879" priority="2404">
      <formula>LEN(TRIM(D4309))&gt;0</formula>
    </cfRule>
    <cfRule type="colorScale" priority="2403">
      <colorScale>
        <cfvo type="min"/>
        <cfvo type="percentile" val="50"/>
        <cfvo type="max"/>
        <color rgb="FFF8696B"/>
        <color rgb="FFFFEB84"/>
        <color rgb="FF63BE7B"/>
      </colorScale>
    </cfRule>
  </conditionalFormatting>
  <conditionalFormatting sqref="D4447:F4447">
    <cfRule type="notContainsBlanks" dxfId="878" priority="2464">
      <formula>LEN(TRIM(D4447))&gt;0</formula>
    </cfRule>
    <cfRule type="colorScale" priority="2463">
      <colorScale>
        <cfvo type="min"/>
        <cfvo type="percentile" val="50"/>
        <cfvo type="max"/>
        <color rgb="FFF8696B"/>
        <color rgb="FFFFEB84"/>
        <color rgb="FF63BE7B"/>
      </colorScale>
    </cfRule>
  </conditionalFormatting>
  <conditionalFormatting sqref="D4516:F4516">
    <cfRule type="notContainsBlanks" dxfId="877" priority="2494">
      <formula>LEN(TRIM(D4516))&gt;0</formula>
    </cfRule>
    <cfRule type="colorScale" priority="2493">
      <colorScale>
        <cfvo type="min"/>
        <cfvo type="percentile" val="50"/>
        <cfvo type="max"/>
        <color rgb="FFF8696B"/>
        <color rgb="FFFFEB84"/>
        <color rgb="FF63BE7B"/>
      </colorScale>
    </cfRule>
  </conditionalFormatting>
  <conditionalFormatting sqref="D4652:F4652">
    <cfRule type="colorScale" priority="2553">
      <colorScale>
        <cfvo type="min"/>
        <cfvo type="percentile" val="50"/>
        <cfvo type="max"/>
        <color rgb="FFF8696B"/>
        <color rgb="FFFFEB84"/>
        <color rgb="FF63BE7B"/>
      </colorScale>
    </cfRule>
    <cfRule type="notContainsBlanks" dxfId="876" priority="2554">
      <formula>LEN(TRIM(D4652))&gt;0</formula>
    </cfRule>
  </conditionalFormatting>
  <conditionalFormatting sqref="D4724:F4724">
    <cfRule type="colorScale" priority="2583">
      <colorScale>
        <cfvo type="min"/>
        <cfvo type="percentile" val="50"/>
        <cfvo type="max"/>
        <color rgb="FFF8696B"/>
        <color rgb="FFFFEB84"/>
        <color rgb="FF63BE7B"/>
      </colorScale>
    </cfRule>
    <cfRule type="notContainsBlanks" dxfId="875" priority="2584">
      <formula>LEN(TRIM(D4724))&gt;0</formula>
    </cfRule>
  </conditionalFormatting>
  <conditionalFormatting sqref="D1410:G1410">
    <cfRule type="colorScale" priority="942">
      <colorScale>
        <cfvo type="min"/>
        <cfvo type="percentile" val="50"/>
        <cfvo type="max"/>
        <color rgb="FFF8696B"/>
        <color rgb="FFFFEB84"/>
        <color rgb="FF63BE7B"/>
      </colorScale>
    </cfRule>
    <cfRule type="notContainsBlanks" dxfId="874" priority="943">
      <formula>LEN(TRIM(D1410))&gt;0</formula>
    </cfRule>
  </conditionalFormatting>
  <conditionalFormatting sqref="D1558:G1558">
    <cfRule type="colorScale" priority="1047">
      <colorScale>
        <cfvo type="min"/>
        <cfvo type="percentile" val="50"/>
        <cfvo type="max"/>
        <color rgb="FFF8696B"/>
        <color rgb="FFFFEB84"/>
        <color rgb="FF63BE7B"/>
      </colorScale>
    </cfRule>
    <cfRule type="notContainsBlanks" dxfId="873" priority="1048">
      <formula>LEN(TRIM(D1558))&gt;0</formula>
    </cfRule>
  </conditionalFormatting>
  <conditionalFormatting sqref="D2850:G2850">
    <cfRule type="notContainsBlanks" dxfId="872" priority="1774">
      <formula>LEN(TRIM(D2850))&gt;0</formula>
    </cfRule>
    <cfRule type="colorScale" priority="1773">
      <colorScale>
        <cfvo type="min"/>
        <cfvo type="percentile" val="50"/>
        <cfvo type="max"/>
        <color rgb="FFF8696B"/>
        <color rgb="FFFFEB84"/>
        <color rgb="FF63BE7B"/>
      </colorScale>
    </cfRule>
  </conditionalFormatting>
  <conditionalFormatting sqref="D3058:G3058">
    <cfRule type="notContainsBlanks" dxfId="871" priority="1864">
      <formula>LEN(TRIM(D3058))&gt;0</formula>
    </cfRule>
    <cfRule type="colorScale" priority="1863">
      <colorScale>
        <cfvo type="min"/>
        <cfvo type="percentile" val="50"/>
        <cfvo type="max"/>
        <color rgb="FFF8696B"/>
        <color rgb="FFFFEB84"/>
        <color rgb="FF63BE7B"/>
      </colorScale>
    </cfRule>
  </conditionalFormatting>
  <conditionalFormatting sqref="D4374:G4374">
    <cfRule type="colorScale" priority="2433">
      <colorScale>
        <cfvo type="min"/>
        <cfvo type="percentile" val="50"/>
        <cfvo type="max"/>
        <color rgb="FFF8696B"/>
        <color rgb="FFFFEB84"/>
        <color rgb="FF63BE7B"/>
      </colorScale>
    </cfRule>
    <cfRule type="notContainsBlanks" dxfId="870" priority="2434">
      <formula>LEN(TRIM(D4374))&gt;0</formula>
    </cfRule>
  </conditionalFormatting>
  <conditionalFormatting sqref="D4582:G4582">
    <cfRule type="colorScale" priority="2523">
      <colorScale>
        <cfvo type="min"/>
        <cfvo type="percentile" val="50"/>
        <cfvo type="max"/>
        <color rgb="FFF8696B"/>
        <color rgb="FFFFEB84"/>
        <color rgb="FF63BE7B"/>
      </colorScale>
    </cfRule>
    <cfRule type="notContainsBlanks" dxfId="869" priority="2524">
      <formula>LEN(TRIM(D4582))&gt;0</formula>
    </cfRule>
  </conditionalFormatting>
  <conditionalFormatting sqref="D6718:G6718">
    <cfRule type="colorScale" priority="4323">
      <colorScale>
        <cfvo type="min"/>
        <cfvo type="percentile" val="50"/>
        <cfvo type="max"/>
        <color rgb="FFF8696B"/>
        <color rgb="FFFFEB84"/>
        <color rgb="FF63BE7B"/>
      </colorScale>
    </cfRule>
    <cfRule type="notContainsBlanks" dxfId="868" priority="4324">
      <formula>LEN(TRIM(D6718))&gt;0</formula>
    </cfRule>
  </conditionalFormatting>
  <conditionalFormatting sqref="D1706:H1706">
    <cfRule type="notContainsBlanks" dxfId="867" priority="1153">
      <formula>LEN(TRIM(D1706))&gt;0</formula>
    </cfRule>
    <cfRule type="colorScale" priority="1152">
      <colorScale>
        <cfvo type="min"/>
        <cfvo type="percentile" val="50"/>
        <cfvo type="max"/>
        <color rgb="FFF8696B"/>
        <color rgb="FFFFEB84"/>
        <color rgb="FF63BE7B"/>
      </colorScale>
    </cfRule>
  </conditionalFormatting>
  <conditionalFormatting sqref="D2162:H2162">
    <cfRule type="notContainsBlanks" dxfId="866" priority="1474">
      <formula>LEN(TRIM(D2162))&gt;0</formula>
    </cfRule>
    <cfRule type="colorScale" priority="1473">
      <colorScale>
        <cfvo type="min"/>
        <cfvo type="percentile" val="50"/>
        <cfvo type="max"/>
        <color rgb="FFF8696B"/>
        <color rgb="FFFFEB84"/>
        <color rgb="FF63BE7B"/>
      </colorScale>
    </cfRule>
  </conditionalFormatting>
  <conditionalFormatting sqref="D2234:H2234">
    <cfRule type="colorScale" priority="1503">
      <colorScale>
        <cfvo type="min"/>
        <cfvo type="percentile" val="50"/>
        <cfvo type="max"/>
        <color rgb="FFF8696B"/>
        <color rgb="FFFFEB84"/>
        <color rgb="FF63BE7B"/>
      </colorScale>
    </cfRule>
    <cfRule type="notContainsBlanks" dxfId="865" priority="1504">
      <formula>LEN(TRIM(D2234))&gt;0</formula>
    </cfRule>
  </conditionalFormatting>
  <conditionalFormatting sqref="D2510:H2510">
    <cfRule type="colorScale" priority="1623">
      <colorScale>
        <cfvo type="min"/>
        <cfvo type="percentile" val="50"/>
        <cfvo type="max"/>
        <color rgb="FFF8696B"/>
        <color rgb="FFFFEB84"/>
        <color rgb="FF63BE7B"/>
      </colorScale>
    </cfRule>
    <cfRule type="notContainsBlanks" dxfId="864" priority="1624">
      <formula>LEN(TRIM(D2510))&gt;0</formula>
    </cfRule>
  </conditionalFormatting>
  <conditionalFormatting sqref="D2583:H2583">
    <cfRule type="notContainsBlanks" dxfId="863" priority="1654">
      <formula>LEN(TRIM(D2583))&gt;0</formula>
    </cfRule>
    <cfRule type="colorScale" priority="1653">
      <colorScale>
        <cfvo type="min"/>
        <cfvo type="percentile" val="50"/>
        <cfvo type="max"/>
        <color rgb="FFF8696B"/>
        <color rgb="FFFFEB84"/>
        <color rgb="FF63BE7B"/>
      </colorScale>
    </cfRule>
  </conditionalFormatting>
  <conditionalFormatting sqref="D2716:H2716">
    <cfRule type="colorScale" priority="1713">
      <colorScale>
        <cfvo type="min"/>
        <cfvo type="percentile" val="50"/>
        <cfvo type="max"/>
        <color rgb="FFF8696B"/>
        <color rgb="FFFFEB84"/>
        <color rgb="FF63BE7B"/>
      </colorScale>
    </cfRule>
    <cfRule type="notContainsBlanks" dxfId="862" priority="1714">
      <formula>LEN(TRIM(D2716))&gt;0</formula>
    </cfRule>
  </conditionalFormatting>
  <conditionalFormatting sqref="D2916:H2916">
    <cfRule type="colorScale" priority="1803">
      <colorScale>
        <cfvo type="min"/>
        <cfvo type="percentile" val="50"/>
        <cfvo type="max"/>
        <color rgb="FFF8696B"/>
        <color rgb="FFFFEB84"/>
        <color rgb="FF63BE7B"/>
      </colorScale>
    </cfRule>
    <cfRule type="notContainsBlanks" dxfId="861" priority="1804">
      <formula>LEN(TRIM(D2916))&gt;0</formula>
    </cfRule>
  </conditionalFormatting>
  <conditionalFormatting sqref="D3468:H3468">
    <cfRule type="colorScale" priority="2043">
      <colorScale>
        <cfvo type="min"/>
        <cfvo type="percentile" val="50"/>
        <cfvo type="max"/>
        <color rgb="FFF8696B"/>
        <color rgb="FFFFEB84"/>
        <color rgb="FF63BE7B"/>
      </colorScale>
    </cfRule>
    <cfRule type="notContainsBlanks" dxfId="860" priority="2044">
      <formula>LEN(TRIM(D3468))&gt;0</formula>
    </cfRule>
  </conditionalFormatting>
  <conditionalFormatting sqref="D3541:H3541">
    <cfRule type="notContainsBlanks" dxfId="859" priority="2074">
      <formula>LEN(TRIM(D3541))&gt;0</formula>
    </cfRule>
    <cfRule type="colorScale" priority="2073">
      <colorScale>
        <cfvo type="min"/>
        <cfvo type="percentile" val="50"/>
        <cfvo type="max"/>
        <color rgb="FFF8696B"/>
        <color rgb="FFFFEB84"/>
        <color rgb="FF63BE7B"/>
      </colorScale>
    </cfRule>
  </conditionalFormatting>
  <conditionalFormatting sqref="D3612:H3612">
    <cfRule type="notContainsBlanks" dxfId="858" priority="2104">
      <formula>LEN(TRIM(D3612))&gt;0</formula>
    </cfRule>
    <cfRule type="colorScale" priority="2103">
      <colorScale>
        <cfvo type="min"/>
        <cfvo type="percentile" val="50"/>
        <cfvo type="max"/>
        <color rgb="FFF8696B"/>
        <color rgb="FFFFEB84"/>
        <color rgb="FF63BE7B"/>
      </colorScale>
    </cfRule>
  </conditionalFormatting>
  <conditionalFormatting sqref="D3683:H3683">
    <cfRule type="notContainsBlanks" dxfId="857" priority="2134">
      <formula>LEN(TRIM(D3683))&gt;0</formula>
    </cfRule>
    <cfRule type="colorScale" priority="2133">
      <colorScale>
        <cfvo type="min"/>
        <cfvo type="percentile" val="50"/>
        <cfvo type="max"/>
        <color rgb="FFF8696B"/>
        <color rgb="FFFFEB84"/>
        <color rgb="FF63BE7B"/>
      </colorScale>
    </cfRule>
  </conditionalFormatting>
  <conditionalFormatting sqref="D3826:H3826">
    <cfRule type="colorScale" priority="2193">
      <colorScale>
        <cfvo type="min"/>
        <cfvo type="percentile" val="50"/>
        <cfvo type="max"/>
        <color rgb="FFF8696B"/>
        <color rgb="FFFFEB84"/>
        <color rgb="FF63BE7B"/>
      </colorScale>
    </cfRule>
    <cfRule type="notContainsBlanks" dxfId="856" priority="2194">
      <formula>LEN(TRIM(D3826))&gt;0</formula>
    </cfRule>
  </conditionalFormatting>
  <conditionalFormatting sqref="D3963:H3963">
    <cfRule type="colorScale" priority="2253">
      <colorScale>
        <cfvo type="min"/>
        <cfvo type="percentile" val="50"/>
        <cfvo type="max"/>
        <color rgb="FFF8696B"/>
        <color rgb="FFFFEB84"/>
        <color rgb="FF63BE7B"/>
      </colorScale>
    </cfRule>
    <cfRule type="notContainsBlanks" dxfId="855" priority="2254">
      <formula>LEN(TRIM(D3963))&gt;0</formula>
    </cfRule>
  </conditionalFormatting>
  <conditionalFormatting sqref="D3753:I3753">
    <cfRule type="notContainsBlanks" dxfId="854" priority="2164">
      <formula>LEN(TRIM(D3753))&gt;0</formula>
    </cfRule>
    <cfRule type="colorScale" priority="2163">
      <colorScale>
        <cfvo type="min"/>
        <cfvo type="percentile" val="50"/>
        <cfvo type="max"/>
        <color rgb="FFF8696B"/>
        <color rgb="FFFFEB84"/>
        <color rgb="FF63BE7B"/>
      </colorScale>
    </cfRule>
  </conditionalFormatting>
  <conditionalFormatting sqref="D4235:I4235">
    <cfRule type="colorScale" priority="2373">
      <colorScale>
        <cfvo type="min"/>
        <cfvo type="percentile" val="50"/>
        <cfvo type="max"/>
        <color rgb="FFF8696B"/>
        <color rgb="FFFFEB84"/>
        <color rgb="FF63BE7B"/>
      </colorScale>
    </cfRule>
    <cfRule type="notContainsBlanks" dxfId="853" priority="2374">
      <formula>LEN(TRIM(D4235))&gt;0</formula>
    </cfRule>
  </conditionalFormatting>
  <conditionalFormatting sqref="D892:J892">
    <cfRule type="colorScale" priority="732">
      <colorScale>
        <cfvo type="min"/>
        <cfvo type="percentile" val="50"/>
        <cfvo type="max"/>
        <color rgb="FFF8696B"/>
        <color rgb="FFFFEB84"/>
        <color rgb="FF63BE7B"/>
      </colorScale>
    </cfRule>
    <cfRule type="notContainsBlanks" dxfId="852" priority="733">
      <formula>LEN(TRIM(D892))&gt;0</formula>
    </cfRule>
  </conditionalFormatting>
  <conditionalFormatting sqref="D966:J966">
    <cfRule type="notContainsBlanks" dxfId="851" priority="763">
      <formula>LEN(TRIM(D966))&gt;0</formula>
    </cfRule>
    <cfRule type="colorScale" priority="762">
      <colorScale>
        <cfvo type="min"/>
        <cfvo type="percentile" val="50"/>
        <cfvo type="max"/>
        <color rgb="FFF8696B"/>
        <color rgb="FFFFEB84"/>
        <color rgb="FF63BE7B"/>
      </colorScale>
    </cfRule>
  </conditionalFormatting>
  <conditionalFormatting sqref="D1262:N1262">
    <cfRule type="colorScale" priority="882">
      <colorScale>
        <cfvo type="min"/>
        <cfvo type="percentile" val="50"/>
        <cfvo type="max"/>
        <color rgb="FFF8696B"/>
        <color rgb="FFFFEB84"/>
        <color rgb="FF63BE7B"/>
      </colorScale>
    </cfRule>
    <cfRule type="notContainsBlanks" dxfId="850" priority="883">
      <formula>LEN(TRIM(D1262))&gt;0</formula>
    </cfRule>
  </conditionalFormatting>
  <conditionalFormatting sqref="D300:O300">
    <cfRule type="colorScale" priority="312">
      <colorScale>
        <cfvo type="min"/>
        <cfvo type="percentile" val="50"/>
        <cfvo type="max"/>
        <color rgb="FFF8696B"/>
        <color rgb="FFFFEB84"/>
        <color rgb="FF63BE7B"/>
      </colorScale>
    </cfRule>
    <cfRule type="notContainsBlanks" dxfId="849" priority="313">
      <formula>LEN(TRIM(D300))&gt;0</formula>
    </cfRule>
  </conditionalFormatting>
  <conditionalFormatting sqref="D374:O374">
    <cfRule type="colorScale" priority="342">
      <colorScale>
        <cfvo type="min"/>
        <cfvo type="percentile" val="50"/>
        <cfvo type="max"/>
        <color rgb="FFF8696B"/>
        <color rgb="FFFFEB84"/>
        <color rgb="FF63BE7B"/>
      </colorScale>
    </cfRule>
    <cfRule type="notContainsBlanks" dxfId="848" priority="343">
      <formula>LEN(TRIM(D374))&gt;0</formula>
    </cfRule>
  </conditionalFormatting>
  <conditionalFormatting sqref="D1188:O1188">
    <cfRule type="notContainsBlanks" dxfId="847" priority="853">
      <formula>LEN(TRIM(D1188))&gt;0</formula>
    </cfRule>
    <cfRule type="colorScale" priority="852">
      <colorScale>
        <cfvo type="min"/>
        <cfvo type="percentile" val="50"/>
        <cfvo type="max"/>
        <color rgb="FFF8696B"/>
        <color rgb="FFFFEB84"/>
        <color rgb="FF63BE7B"/>
      </colorScale>
    </cfRule>
  </conditionalFormatting>
  <conditionalFormatting sqref="D6496:O6496">
    <cfRule type="notContainsBlanks" dxfId="846" priority="4234">
      <formula>LEN(TRIM(D6496))&gt;0</formula>
    </cfRule>
    <cfRule type="colorScale" priority="4233">
      <colorScale>
        <cfvo type="min"/>
        <cfvo type="percentile" val="50"/>
        <cfvo type="max"/>
        <color rgb="FFF8696B"/>
        <color rgb="FFFFEB84"/>
        <color rgb="FF63BE7B"/>
      </colorScale>
    </cfRule>
  </conditionalFormatting>
  <conditionalFormatting sqref="D6570:O6570">
    <cfRule type="colorScale" priority="4263">
      <colorScale>
        <cfvo type="min"/>
        <cfvo type="percentile" val="50"/>
        <cfvo type="max"/>
        <color rgb="FFF8696B"/>
        <color rgb="FFFFEB84"/>
        <color rgb="FF63BE7B"/>
      </colorScale>
    </cfRule>
    <cfRule type="notContainsBlanks" dxfId="845" priority="4264">
      <formula>LEN(TRIM(D6570))&gt;0</formula>
    </cfRule>
  </conditionalFormatting>
  <conditionalFormatting sqref="D6644:O6644">
    <cfRule type="notContainsBlanks" dxfId="844" priority="4294">
      <formula>LEN(TRIM(D6644))&gt;0</formula>
    </cfRule>
    <cfRule type="colorScale" priority="4293">
      <colorScale>
        <cfvo type="min"/>
        <cfvo type="percentile" val="50"/>
        <cfvo type="max"/>
        <color rgb="FFF8696B"/>
        <color rgb="FFFFEB84"/>
        <color rgb="FF63BE7B"/>
      </colorScale>
    </cfRule>
  </conditionalFormatting>
  <conditionalFormatting sqref="D1336:P1336">
    <cfRule type="notContainsBlanks" dxfId="843" priority="913">
      <formula>LEN(TRIM(D1336))&gt;0</formula>
    </cfRule>
    <cfRule type="colorScale" priority="912">
      <colorScale>
        <cfvo type="min"/>
        <cfvo type="percentile" val="50"/>
        <cfvo type="max"/>
        <color rgb="FFF8696B"/>
        <color rgb="FFFFEB84"/>
        <color rgb="FF63BE7B"/>
      </colorScale>
    </cfRule>
  </conditionalFormatting>
  <conditionalFormatting sqref="D6422:P6422">
    <cfRule type="colorScale" priority="4203">
      <colorScale>
        <cfvo type="min"/>
        <cfvo type="percentile" val="50"/>
        <cfvo type="max"/>
        <color rgb="FFF8696B"/>
        <color rgb="FFFFEB84"/>
        <color rgb="FF63BE7B"/>
      </colorScale>
    </cfRule>
    <cfRule type="notContainsBlanks" dxfId="842" priority="4204">
      <formula>LEN(TRIM(D6422))&gt;0</formula>
    </cfRule>
  </conditionalFormatting>
  <conditionalFormatting sqref="D1040:R1040">
    <cfRule type="colorScale" priority="792">
      <colorScale>
        <cfvo type="min"/>
        <cfvo type="percentile" val="50"/>
        <cfvo type="max"/>
        <color rgb="FFF8696B"/>
        <color rgb="FFFFEB84"/>
        <color rgb="FF63BE7B"/>
      </colorScale>
    </cfRule>
    <cfRule type="notContainsBlanks" dxfId="841" priority="793">
      <formula>LEN(TRIM(D1040))&gt;0</formula>
    </cfRule>
  </conditionalFormatting>
  <conditionalFormatting sqref="D4794:S4794">
    <cfRule type="notContainsBlanks" dxfId="840" priority="2614">
      <formula>LEN(TRIM(D4794))&gt;0</formula>
    </cfRule>
    <cfRule type="colorScale" priority="2613">
      <colorScale>
        <cfvo type="min"/>
        <cfvo type="percentile" val="50"/>
        <cfvo type="max"/>
        <color rgb="FFF8696B"/>
        <color rgb="FFFFEB84"/>
        <color rgb="FF63BE7B"/>
      </colorScale>
    </cfRule>
  </conditionalFormatting>
  <conditionalFormatting sqref="D1114:U1114">
    <cfRule type="colorScale" priority="822">
      <colorScale>
        <cfvo type="min"/>
        <cfvo type="percentile" val="50"/>
        <cfvo type="max"/>
        <color rgb="FFF8696B"/>
        <color rgb="FFFFEB84"/>
        <color rgb="FF63BE7B"/>
      </colorScale>
    </cfRule>
    <cfRule type="notContainsBlanks" dxfId="839" priority="823">
      <formula>LEN(TRIM(D1114))&gt;0</formula>
    </cfRule>
  </conditionalFormatting>
  <conditionalFormatting sqref="D6792:U6792">
    <cfRule type="notContainsBlanks" dxfId="838" priority="4354">
      <formula>LEN(TRIM(D6792))&gt;0</formula>
    </cfRule>
    <cfRule type="colorScale" priority="4353">
      <colorScale>
        <cfvo type="min"/>
        <cfvo type="percentile" val="50"/>
        <cfvo type="max"/>
        <color rgb="FFF8696B"/>
        <color rgb="FFFFEB84"/>
        <color rgb="FF63BE7B"/>
      </colorScale>
    </cfRule>
  </conditionalFormatting>
  <conditionalFormatting sqref="D2088:V2088">
    <cfRule type="colorScale" priority="1443">
      <colorScale>
        <cfvo type="min"/>
        <cfvo type="percentile" val="50"/>
        <cfvo type="max"/>
        <color rgb="FFF8696B"/>
        <color rgb="FFFFEB84"/>
        <color rgb="FF63BE7B"/>
      </colorScale>
    </cfRule>
    <cfRule type="notContainsBlanks" dxfId="837" priority="1444">
      <formula>LEN(TRIM(D2088))&gt;0</formula>
    </cfRule>
  </conditionalFormatting>
  <conditionalFormatting sqref="D6274:V6274">
    <cfRule type="colorScale" priority="4143">
      <colorScale>
        <cfvo type="min"/>
        <cfvo type="percentile" val="50"/>
        <cfvo type="max"/>
        <color rgb="FFF8696B"/>
        <color rgb="FFFFEB84"/>
        <color rgb="FF63BE7B"/>
      </colorScale>
    </cfRule>
    <cfRule type="notContainsBlanks" dxfId="836" priority="4144">
      <formula>LEN(TRIM(D6274))&gt;0</formula>
    </cfRule>
  </conditionalFormatting>
  <conditionalFormatting sqref="D6348:W6348">
    <cfRule type="colorScale" priority="4173">
      <colorScale>
        <cfvo type="min"/>
        <cfvo type="percentile" val="50"/>
        <cfvo type="max"/>
        <color rgb="FFF8696B"/>
        <color rgb="FFFFEB84"/>
        <color rgb="FF63BE7B"/>
      </colorScale>
    </cfRule>
    <cfRule type="notContainsBlanks" dxfId="835" priority="4174">
      <formula>LEN(TRIM(D6348))&gt;0</formula>
    </cfRule>
  </conditionalFormatting>
  <conditionalFormatting sqref="D818:X818">
    <cfRule type="colorScale" priority="702">
      <colorScale>
        <cfvo type="min"/>
        <cfvo type="percentile" val="50"/>
        <cfvo type="max"/>
        <color rgb="FFF8696B"/>
        <color rgb="FFFFEB84"/>
        <color rgb="FF63BE7B"/>
      </colorScale>
    </cfRule>
    <cfRule type="notContainsBlanks" dxfId="834" priority="703">
      <formula>LEN(TRIM(D818))&gt;0</formula>
    </cfRule>
  </conditionalFormatting>
  <conditionalFormatting sqref="D3322:X3322">
    <cfRule type="notContainsBlanks" dxfId="833" priority="1984">
      <formula>LEN(TRIM(D3322))&gt;0</formula>
    </cfRule>
    <cfRule type="colorScale" priority="1983">
      <colorScale>
        <cfvo type="min"/>
        <cfvo type="percentile" val="50"/>
        <cfvo type="max"/>
        <color rgb="FFF8696B"/>
        <color rgb="FFFFEB84"/>
        <color rgb="FF63BE7B"/>
      </colorScale>
    </cfRule>
  </conditionalFormatting>
  <conditionalFormatting sqref="D744:Y744">
    <cfRule type="colorScale" priority="672">
      <colorScale>
        <cfvo type="min"/>
        <cfvo type="percentile" val="50"/>
        <cfvo type="max"/>
        <color rgb="FFF8696B"/>
        <color rgb="FFFFEB84"/>
        <color rgb="FF63BE7B"/>
      </colorScale>
    </cfRule>
    <cfRule type="notContainsBlanks" dxfId="832" priority="673">
      <formula>LEN(TRIM(D744))&gt;0</formula>
    </cfRule>
  </conditionalFormatting>
  <conditionalFormatting sqref="E4">
    <cfRule type="colorScale" priority="15">
      <colorScale>
        <cfvo type="min"/>
        <cfvo type="percentile" val="50"/>
        <cfvo type="max"/>
        <color rgb="FFF8696B"/>
        <color rgb="FFFFEB84"/>
        <color rgb="FF63BE7B"/>
      </colorScale>
    </cfRule>
  </conditionalFormatting>
  <conditionalFormatting sqref="E8:E9">
    <cfRule type="colorScale" priority="19">
      <colorScale>
        <cfvo type="min"/>
        <cfvo type="percentile" val="50"/>
        <cfvo type="max"/>
        <color rgb="FFF8696B"/>
        <color rgb="FFFFEB84"/>
        <color rgb="FF63BE7B"/>
      </colorScale>
    </cfRule>
  </conditionalFormatting>
  <conditionalFormatting sqref="E17:E18">
    <cfRule type="colorScale" priority="29">
      <colorScale>
        <cfvo type="min"/>
        <cfvo type="percentile" val="50"/>
        <cfvo type="max"/>
        <color rgb="FFF8696B"/>
        <color rgb="FFFFEB84"/>
        <color rgb="FF63BE7B"/>
      </colorScale>
    </cfRule>
  </conditionalFormatting>
  <conditionalFormatting sqref="E22:E23">
    <cfRule type="colorScale" priority="34">
      <colorScale>
        <cfvo type="min"/>
        <cfvo type="percentile" val="50"/>
        <cfvo type="max"/>
        <color rgb="FFF8696B"/>
        <color rgb="FFFFEB84"/>
        <color rgb="FF63BE7B"/>
      </colorScale>
    </cfRule>
  </conditionalFormatting>
  <conditionalFormatting sqref="E27:E28">
    <cfRule type="colorScale" priority="39">
      <colorScale>
        <cfvo type="min"/>
        <cfvo type="percentile" val="50"/>
        <cfvo type="max"/>
        <color rgb="FFF8696B"/>
        <color rgb="FFFFEB84"/>
        <color rgb="FF63BE7B"/>
      </colorScale>
    </cfRule>
  </conditionalFormatting>
  <conditionalFormatting sqref="E32:E33">
    <cfRule type="colorScale" priority="44">
      <colorScale>
        <cfvo type="min"/>
        <cfvo type="percentile" val="50"/>
        <cfvo type="max"/>
        <color rgb="FFF8696B"/>
        <color rgb="FFFFEB84"/>
        <color rgb="FF63BE7B"/>
      </colorScale>
    </cfRule>
  </conditionalFormatting>
  <conditionalFormatting sqref="E37:E38">
    <cfRule type="colorScale" priority="49">
      <colorScale>
        <cfvo type="min"/>
        <cfvo type="percentile" val="50"/>
        <cfvo type="max"/>
        <color rgb="FFF8696B"/>
        <color rgb="FFFFEB84"/>
        <color rgb="FF63BE7B"/>
      </colorScale>
    </cfRule>
  </conditionalFormatting>
  <conditionalFormatting sqref="E42:E43">
    <cfRule type="colorScale" priority="54">
      <colorScale>
        <cfvo type="min"/>
        <cfvo type="percentile" val="50"/>
        <cfvo type="max"/>
        <color rgb="FFF8696B"/>
        <color rgb="FFFFEB84"/>
        <color rgb="FF63BE7B"/>
      </colorScale>
    </cfRule>
  </conditionalFormatting>
  <conditionalFormatting sqref="E47:E48">
    <cfRule type="colorScale" priority="59">
      <colorScale>
        <cfvo type="min"/>
        <cfvo type="percentile" val="50"/>
        <cfvo type="max"/>
        <color rgb="FFF8696B"/>
        <color rgb="FFFFEB84"/>
        <color rgb="FF63BE7B"/>
      </colorScale>
    </cfRule>
  </conditionalFormatting>
  <conditionalFormatting sqref="E52:E53">
    <cfRule type="colorScale" priority="64">
      <colorScale>
        <cfvo type="min"/>
        <cfvo type="percentile" val="50"/>
        <cfvo type="max"/>
        <color rgb="FFF8696B"/>
        <color rgb="FFFFEB84"/>
        <color rgb="FF63BE7B"/>
      </colorScale>
    </cfRule>
  </conditionalFormatting>
  <conditionalFormatting sqref="E57">
    <cfRule type="colorScale" priority="69">
      <colorScale>
        <cfvo type="min"/>
        <cfvo type="percentile" val="50"/>
        <cfvo type="max"/>
        <color rgb="FFF8696B"/>
        <color rgb="FFFFEB84"/>
        <color rgb="FF63BE7B"/>
      </colorScale>
    </cfRule>
  </conditionalFormatting>
  <conditionalFormatting sqref="E61:E62">
    <cfRule type="colorScale" priority="74">
      <colorScale>
        <cfvo type="min"/>
        <cfvo type="percentile" val="50"/>
        <cfvo type="max"/>
        <color rgb="FFF8696B"/>
        <color rgb="FFFFEB84"/>
        <color rgb="FF63BE7B"/>
      </colorScale>
    </cfRule>
  </conditionalFormatting>
  <conditionalFormatting sqref="E66:E67">
    <cfRule type="colorScale" priority="79">
      <colorScale>
        <cfvo type="min"/>
        <cfvo type="percentile" val="50"/>
        <cfvo type="max"/>
        <color rgb="FFF8696B"/>
        <color rgb="FFFFEB84"/>
        <color rgb="FF63BE7B"/>
      </colorScale>
    </cfRule>
  </conditionalFormatting>
  <conditionalFormatting sqref="E71:E74">
    <cfRule type="colorScale" priority="84">
      <colorScale>
        <cfvo type="min"/>
        <cfvo type="percentile" val="50"/>
        <cfvo type="max"/>
        <color rgb="FFF8696B"/>
        <color rgb="FFFFEB84"/>
        <color rgb="FF63BE7B"/>
      </colorScale>
    </cfRule>
  </conditionalFormatting>
  <conditionalFormatting sqref="E78">
    <cfRule type="colorScale" priority="90">
      <colorScale>
        <cfvo type="min"/>
        <cfvo type="percentile" val="50"/>
        <cfvo type="max"/>
        <color rgb="FFF8696B"/>
        <color rgb="FFFFEB84"/>
        <color rgb="FF63BE7B"/>
      </colorScale>
    </cfRule>
  </conditionalFormatting>
  <conditionalFormatting sqref="E82:E83">
    <cfRule type="colorScale" priority="94">
      <colorScale>
        <cfvo type="min"/>
        <cfvo type="percentile" val="50"/>
        <cfvo type="max"/>
        <color rgb="FFF8696B"/>
        <color rgb="FFFFEB84"/>
        <color rgb="FF63BE7B"/>
      </colorScale>
    </cfRule>
  </conditionalFormatting>
  <conditionalFormatting sqref="E91:E92">
    <cfRule type="colorScale" priority="104">
      <colorScale>
        <cfvo type="min"/>
        <cfvo type="percentile" val="50"/>
        <cfvo type="max"/>
        <color rgb="FFF8696B"/>
        <color rgb="FFFFEB84"/>
        <color rgb="FF63BE7B"/>
      </colorScale>
    </cfRule>
  </conditionalFormatting>
  <conditionalFormatting sqref="E96:E97">
    <cfRule type="colorScale" priority="109">
      <colorScale>
        <cfvo type="min"/>
        <cfvo type="percentile" val="50"/>
        <cfvo type="max"/>
        <color rgb="FFF8696B"/>
        <color rgb="FFFFEB84"/>
        <color rgb="FF63BE7B"/>
      </colorScale>
    </cfRule>
  </conditionalFormatting>
  <conditionalFormatting sqref="E101:E102">
    <cfRule type="colorScale" priority="114">
      <colorScale>
        <cfvo type="min"/>
        <cfvo type="percentile" val="50"/>
        <cfvo type="max"/>
        <color rgb="FFF8696B"/>
        <color rgb="FFFFEB84"/>
        <color rgb="FF63BE7B"/>
      </colorScale>
    </cfRule>
  </conditionalFormatting>
  <conditionalFormatting sqref="E106:E107">
    <cfRule type="colorScale" priority="119">
      <colorScale>
        <cfvo type="min"/>
        <cfvo type="percentile" val="50"/>
        <cfvo type="max"/>
        <color rgb="FFF8696B"/>
        <color rgb="FFFFEB84"/>
        <color rgb="FF63BE7B"/>
      </colorScale>
    </cfRule>
  </conditionalFormatting>
  <conditionalFormatting sqref="E111:E112">
    <cfRule type="colorScale" priority="124">
      <colorScale>
        <cfvo type="min"/>
        <cfvo type="percentile" val="50"/>
        <cfvo type="max"/>
        <color rgb="FFF8696B"/>
        <color rgb="FFFFEB84"/>
        <color rgb="FF63BE7B"/>
      </colorScale>
    </cfRule>
  </conditionalFormatting>
  <conditionalFormatting sqref="E116:E117">
    <cfRule type="colorScale" priority="129">
      <colorScale>
        <cfvo type="min"/>
        <cfvo type="percentile" val="50"/>
        <cfvo type="max"/>
        <color rgb="FFF8696B"/>
        <color rgb="FFFFEB84"/>
        <color rgb="FF63BE7B"/>
      </colorScale>
    </cfRule>
  </conditionalFormatting>
  <conditionalFormatting sqref="E121:E122">
    <cfRule type="colorScale" priority="134">
      <colorScale>
        <cfvo type="min"/>
        <cfvo type="percentile" val="50"/>
        <cfvo type="max"/>
        <color rgb="FFF8696B"/>
        <color rgb="FFFFEB84"/>
        <color rgb="FF63BE7B"/>
      </colorScale>
    </cfRule>
  </conditionalFormatting>
  <conditionalFormatting sqref="E126:E127">
    <cfRule type="colorScale" priority="139">
      <colorScale>
        <cfvo type="min"/>
        <cfvo type="percentile" val="50"/>
        <cfvo type="max"/>
        <color rgb="FFF8696B"/>
        <color rgb="FFFFEB84"/>
        <color rgb="FF63BE7B"/>
      </colorScale>
    </cfRule>
  </conditionalFormatting>
  <conditionalFormatting sqref="E131">
    <cfRule type="colorScale" priority="144">
      <colorScale>
        <cfvo type="min"/>
        <cfvo type="percentile" val="50"/>
        <cfvo type="max"/>
        <color rgb="FFF8696B"/>
        <color rgb="FFFFEB84"/>
        <color rgb="FF63BE7B"/>
      </colorScale>
    </cfRule>
  </conditionalFormatting>
  <conditionalFormatting sqref="E135:E136">
    <cfRule type="colorScale" priority="149">
      <colorScale>
        <cfvo type="min"/>
        <cfvo type="percentile" val="50"/>
        <cfvo type="max"/>
        <color rgb="FFF8696B"/>
        <color rgb="FFFFEB84"/>
        <color rgb="FF63BE7B"/>
      </colorScale>
    </cfRule>
  </conditionalFormatting>
  <conditionalFormatting sqref="E140:E141">
    <cfRule type="colorScale" priority="154">
      <colorScale>
        <cfvo type="min"/>
        <cfvo type="percentile" val="50"/>
        <cfvo type="max"/>
        <color rgb="FFF8696B"/>
        <color rgb="FFFFEB84"/>
        <color rgb="FF63BE7B"/>
      </colorScale>
    </cfRule>
  </conditionalFormatting>
  <conditionalFormatting sqref="E145:E148">
    <cfRule type="colorScale" priority="159">
      <colorScale>
        <cfvo type="min"/>
        <cfvo type="percentile" val="50"/>
        <cfvo type="max"/>
        <color rgb="FFF8696B"/>
        <color rgb="FFFFEB84"/>
        <color rgb="FF63BE7B"/>
      </colorScale>
    </cfRule>
  </conditionalFormatting>
  <conditionalFormatting sqref="E152">
    <cfRule type="colorScale" priority="165">
      <colorScale>
        <cfvo type="min"/>
        <cfvo type="percentile" val="50"/>
        <cfvo type="max"/>
        <color rgb="FFF8696B"/>
        <color rgb="FFFFEB84"/>
        <color rgb="FF63BE7B"/>
      </colorScale>
    </cfRule>
  </conditionalFormatting>
  <conditionalFormatting sqref="E156:E157">
    <cfRule type="colorScale" priority="169">
      <colorScale>
        <cfvo type="min"/>
        <cfvo type="percentile" val="50"/>
        <cfvo type="max"/>
        <color rgb="FFF8696B"/>
        <color rgb="FFFFEB84"/>
        <color rgb="FF63BE7B"/>
      </colorScale>
    </cfRule>
  </conditionalFormatting>
  <conditionalFormatting sqref="E165:E166">
    <cfRule type="colorScale" priority="179">
      <colorScale>
        <cfvo type="min"/>
        <cfvo type="percentile" val="50"/>
        <cfvo type="max"/>
        <color rgb="FFF8696B"/>
        <color rgb="FFFFEB84"/>
        <color rgb="FF63BE7B"/>
      </colorScale>
    </cfRule>
  </conditionalFormatting>
  <conditionalFormatting sqref="E170:E171">
    <cfRule type="colorScale" priority="184">
      <colorScale>
        <cfvo type="min"/>
        <cfvo type="percentile" val="50"/>
        <cfvo type="max"/>
        <color rgb="FFF8696B"/>
        <color rgb="FFFFEB84"/>
        <color rgb="FF63BE7B"/>
      </colorScale>
    </cfRule>
  </conditionalFormatting>
  <conditionalFormatting sqref="E175:E176">
    <cfRule type="colorScale" priority="189">
      <colorScale>
        <cfvo type="min"/>
        <cfvo type="percentile" val="50"/>
        <cfvo type="max"/>
        <color rgb="FFF8696B"/>
        <color rgb="FFFFEB84"/>
        <color rgb="FF63BE7B"/>
      </colorScale>
    </cfRule>
  </conditionalFormatting>
  <conditionalFormatting sqref="E180:E181">
    <cfRule type="colorScale" priority="194">
      <colorScale>
        <cfvo type="min"/>
        <cfvo type="percentile" val="50"/>
        <cfvo type="max"/>
        <color rgb="FFF8696B"/>
        <color rgb="FFFFEB84"/>
        <color rgb="FF63BE7B"/>
      </colorScale>
    </cfRule>
  </conditionalFormatting>
  <conditionalFormatting sqref="E185:E186">
    <cfRule type="colorScale" priority="199">
      <colorScale>
        <cfvo type="min"/>
        <cfvo type="percentile" val="50"/>
        <cfvo type="max"/>
        <color rgb="FFF8696B"/>
        <color rgb="FFFFEB84"/>
        <color rgb="FF63BE7B"/>
      </colorScale>
    </cfRule>
  </conditionalFormatting>
  <conditionalFormatting sqref="E190:E191">
    <cfRule type="colorScale" priority="204">
      <colorScale>
        <cfvo type="min"/>
        <cfvo type="percentile" val="50"/>
        <cfvo type="max"/>
        <color rgb="FFF8696B"/>
        <color rgb="FFFFEB84"/>
        <color rgb="FF63BE7B"/>
      </colorScale>
    </cfRule>
  </conditionalFormatting>
  <conditionalFormatting sqref="E195:E196">
    <cfRule type="colorScale" priority="209">
      <colorScale>
        <cfvo type="min"/>
        <cfvo type="percentile" val="50"/>
        <cfvo type="max"/>
        <color rgb="FFF8696B"/>
        <color rgb="FFFFEB84"/>
        <color rgb="FF63BE7B"/>
      </colorScale>
    </cfRule>
  </conditionalFormatting>
  <conditionalFormatting sqref="E200:E201">
    <cfRule type="colorScale" priority="214">
      <colorScale>
        <cfvo type="min"/>
        <cfvo type="percentile" val="50"/>
        <cfvo type="max"/>
        <color rgb="FFF8696B"/>
        <color rgb="FFFFEB84"/>
        <color rgb="FF63BE7B"/>
      </colorScale>
    </cfRule>
  </conditionalFormatting>
  <conditionalFormatting sqref="E205">
    <cfRule type="colorScale" priority="219">
      <colorScale>
        <cfvo type="min"/>
        <cfvo type="percentile" val="50"/>
        <cfvo type="max"/>
        <color rgb="FFF8696B"/>
        <color rgb="FFFFEB84"/>
        <color rgb="FF63BE7B"/>
      </colorScale>
    </cfRule>
  </conditionalFormatting>
  <conditionalFormatting sqref="E209:E210">
    <cfRule type="colorScale" priority="224">
      <colorScale>
        <cfvo type="min"/>
        <cfvo type="percentile" val="50"/>
        <cfvo type="max"/>
        <color rgb="FFF8696B"/>
        <color rgb="FFFFEB84"/>
        <color rgb="FF63BE7B"/>
      </colorScale>
    </cfRule>
  </conditionalFormatting>
  <conditionalFormatting sqref="E214:E215">
    <cfRule type="colorScale" priority="229">
      <colorScale>
        <cfvo type="min"/>
        <cfvo type="percentile" val="50"/>
        <cfvo type="max"/>
        <color rgb="FFF8696B"/>
        <color rgb="FFFFEB84"/>
        <color rgb="FF63BE7B"/>
      </colorScale>
    </cfRule>
  </conditionalFormatting>
  <conditionalFormatting sqref="E219:E222">
    <cfRule type="colorScale" priority="234">
      <colorScale>
        <cfvo type="min"/>
        <cfvo type="percentile" val="50"/>
        <cfvo type="max"/>
        <color rgb="FFF8696B"/>
        <color rgb="FFFFEB84"/>
        <color rgb="FF63BE7B"/>
      </colorScale>
    </cfRule>
  </conditionalFormatting>
  <conditionalFormatting sqref="E226">
    <cfRule type="colorScale" priority="240">
      <colorScale>
        <cfvo type="min"/>
        <cfvo type="percentile" val="50"/>
        <cfvo type="max"/>
        <color rgb="FFF8696B"/>
        <color rgb="FFFFEB84"/>
        <color rgb="FF63BE7B"/>
      </colorScale>
    </cfRule>
  </conditionalFormatting>
  <conditionalFormatting sqref="E230:E231">
    <cfRule type="colorScale" priority="244">
      <colorScale>
        <cfvo type="min"/>
        <cfvo type="percentile" val="50"/>
        <cfvo type="max"/>
        <color rgb="FFF8696B"/>
        <color rgb="FFFFEB84"/>
        <color rgb="FF63BE7B"/>
      </colorScale>
    </cfRule>
  </conditionalFormatting>
  <conditionalFormatting sqref="E239:E240">
    <cfRule type="colorScale" priority="254">
      <colorScale>
        <cfvo type="min"/>
        <cfvo type="percentile" val="50"/>
        <cfvo type="max"/>
        <color rgb="FFF8696B"/>
        <color rgb="FFFFEB84"/>
        <color rgb="FF63BE7B"/>
      </colorScale>
    </cfRule>
  </conditionalFormatting>
  <conditionalFormatting sqref="E244:E245">
    <cfRule type="colorScale" priority="259">
      <colorScale>
        <cfvo type="min"/>
        <cfvo type="percentile" val="50"/>
        <cfvo type="max"/>
        <color rgb="FFF8696B"/>
        <color rgb="FFFFEB84"/>
        <color rgb="FF63BE7B"/>
      </colorScale>
    </cfRule>
  </conditionalFormatting>
  <conditionalFormatting sqref="E249:E250">
    <cfRule type="colorScale" priority="264">
      <colorScale>
        <cfvo type="min"/>
        <cfvo type="percentile" val="50"/>
        <cfvo type="max"/>
        <color rgb="FFF8696B"/>
        <color rgb="FFFFEB84"/>
        <color rgb="FF63BE7B"/>
      </colorScale>
    </cfRule>
  </conditionalFormatting>
  <conditionalFormatting sqref="E254:E255">
    <cfRule type="colorScale" priority="269">
      <colorScale>
        <cfvo type="min"/>
        <cfvo type="percentile" val="50"/>
        <cfvo type="max"/>
        <color rgb="FFF8696B"/>
        <color rgb="FFFFEB84"/>
        <color rgb="FF63BE7B"/>
      </colorScale>
    </cfRule>
  </conditionalFormatting>
  <conditionalFormatting sqref="E259:E260">
    <cfRule type="colorScale" priority="274">
      <colorScale>
        <cfvo type="min"/>
        <cfvo type="percentile" val="50"/>
        <cfvo type="max"/>
        <color rgb="FFF8696B"/>
        <color rgb="FFFFEB84"/>
        <color rgb="FF63BE7B"/>
      </colorScale>
    </cfRule>
  </conditionalFormatting>
  <conditionalFormatting sqref="E264:E265">
    <cfRule type="colorScale" priority="279">
      <colorScale>
        <cfvo type="min"/>
        <cfvo type="percentile" val="50"/>
        <cfvo type="max"/>
        <color rgb="FFF8696B"/>
        <color rgb="FFFFEB84"/>
        <color rgb="FF63BE7B"/>
      </colorScale>
    </cfRule>
  </conditionalFormatting>
  <conditionalFormatting sqref="E269:E270">
    <cfRule type="colorScale" priority="284">
      <colorScale>
        <cfvo type="min"/>
        <cfvo type="percentile" val="50"/>
        <cfvo type="max"/>
        <color rgb="FFF8696B"/>
        <color rgb="FFFFEB84"/>
        <color rgb="FF63BE7B"/>
      </colorScale>
    </cfRule>
  </conditionalFormatting>
  <conditionalFormatting sqref="E274:E275">
    <cfRule type="colorScale" priority="289">
      <colorScale>
        <cfvo type="min"/>
        <cfvo type="percentile" val="50"/>
        <cfvo type="max"/>
        <color rgb="FFF8696B"/>
        <color rgb="FFFFEB84"/>
        <color rgb="FF63BE7B"/>
      </colorScale>
    </cfRule>
  </conditionalFormatting>
  <conditionalFormatting sqref="E279">
    <cfRule type="colorScale" priority="294">
      <colorScale>
        <cfvo type="min"/>
        <cfvo type="percentile" val="50"/>
        <cfvo type="max"/>
        <color rgb="FFF8696B"/>
        <color rgb="FFFFEB84"/>
        <color rgb="FF63BE7B"/>
      </colorScale>
    </cfRule>
  </conditionalFormatting>
  <conditionalFormatting sqref="E283:E284">
    <cfRule type="colorScale" priority="299">
      <colorScale>
        <cfvo type="min"/>
        <cfvo type="percentile" val="50"/>
        <cfvo type="max"/>
        <color rgb="FFF8696B"/>
        <color rgb="FFFFEB84"/>
        <color rgb="FF63BE7B"/>
      </colorScale>
    </cfRule>
  </conditionalFormatting>
  <conditionalFormatting sqref="E288:E289">
    <cfRule type="colorScale" priority="304">
      <colorScale>
        <cfvo type="min"/>
        <cfvo type="percentile" val="50"/>
        <cfvo type="max"/>
        <color rgb="FFF8696B"/>
        <color rgb="FFFFEB84"/>
        <color rgb="FF63BE7B"/>
      </colorScale>
    </cfRule>
  </conditionalFormatting>
  <conditionalFormatting sqref="E293:E296">
    <cfRule type="colorScale" priority="309">
      <colorScale>
        <cfvo type="min"/>
        <cfvo type="percentile" val="50"/>
        <cfvo type="max"/>
        <color rgb="FFF8696B"/>
        <color rgb="FFFFEB84"/>
        <color rgb="FF63BE7B"/>
      </colorScale>
    </cfRule>
  </conditionalFormatting>
  <conditionalFormatting sqref="E448">
    <cfRule type="colorScale" priority="375">
      <colorScale>
        <cfvo type="min"/>
        <cfvo type="percentile" val="50"/>
        <cfvo type="max"/>
        <color rgb="FFF8696B"/>
        <color rgb="FFFFEB84"/>
        <color rgb="FF63BE7B"/>
      </colorScale>
    </cfRule>
  </conditionalFormatting>
  <conditionalFormatting sqref="E452:E453">
    <cfRule type="colorScale" priority="379">
      <colorScale>
        <cfvo type="min"/>
        <cfvo type="percentile" val="50"/>
        <cfvo type="max"/>
        <color rgb="FFF8696B"/>
        <color rgb="FFFFEB84"/>
        <color rgb="FF63BE7B"/>
      </colorScale>
    </cfRule>
  </conditionalFormatting>
  <conditionalFormatting sqref="E461:E462">
    <cfRule type="colorScale" priority="389">
      <colorScale>
        <cfvo type="min"/>
        <cfvo type="percentile" val="50"/>
        <cfvo type="max"/>
        <color rgb="FFF8696B"/>
        <color rgb="FFFFEB84"/>
        <color rgb="FF63BE7B"/>
      </colorScale>
    </cfRule>
  </conditionalFormatting>
  <conditionalFormatting sqref="E466:E467">
    <cfRule type="colorScale" priority="394">
      <colorScale>
        <cfvo type="min"/>
        <cfvo type="percentile" val="50"/>
        <cfvo type="max"/>
        <color rgb="FFF8696B"/>
        <color rgb="FFFFEB84"/>
        <color rgb="FF63BE7B"/>
      </colorScale>
    </cfRule>
  </conditionalFormatting>
  <conditionalFormatting sqref="E471:E472">
    <cfRule type="colorScale" priority="399">
      <colorScale>
        <cfvo type="min"/>
        <cfvo type="percentile" val="50"/>
        <cfvo type="max"/>
        <color rgb="FFF8696B"/>
        <color rgb="FFFFEB84"/>
        <color rgb="FF63BE7B"/>
      </colorScale>
    </cfRule>
  </conditionalFormatting>
  <conditionalFormatting sqref="E476:E477">
    <cfRule type="colorScale" priority="404">
      <colorScale>
        <cfvo type="min"/>
        <cfvo type="percentile" val="50"/>
        <cfvo type="max"/>
        <color rgb="FFF8696B"/>
        <color rgb="FFFFEB84"/>
        <color rgb="FF63BE7B"/>
      </colorScale>
    </cfRule>
  </conditionalFormatting>
  <conditionalFormatting sqref="E481:E482">
    <cfRule type="colorScale" priority="409">
      <colorScale>
        <cfvo type="min"/>
        <cfvo type="percentile" val="50"/>
        <cfvo type="max"/>
        <color rgb="FFF8696B"/>
        <color rgb="FFFFEB84"/>
        <color rgb="FF63BE7B"/>
      </colorScale>
    </cfRule>
  </conditionalFormatting>
  <conditionalFormatting sqref="E486:E487">
    <cfRule type="colorScale" priority="414">
      <colorScale>
        <cfvo type="min"/>
        <cfvo type="percentile" val="50"/>
        <cfvo type="max"/>
        <color rgb="FFF8696B"/>
        <color rgb="FFFFEB84"/>
        <color rgb="FF63BE7B"/>
      </colorScale>
    </cfRule>
  </conditionalFormatting>
  <conditionalFormatting sqref="E491:E492">
    <cfRule type="colorScale" priority="419">
      <colorScale>
        <cfvo type="min"/>
        <cfvo type="percentile" val="50"/>
        <cfvo type="max"/>
        <color rgb="FFF8696B"/>
        <color rgb="FFFFEB84"/>
        <color rgb="FF63BE7B"/>
      </colorScale>
    </cfRule>
  </conditionalFormatting>
  <conditionalFormatting sqref="E496:E497">
    <cfRule type="colorScale" priority="424">
      <colorScale>
        <cfvo type="min"/>
        <cfvo type="percentile" val="50"/>
        <cfvo type="max"/>
        <color rgb="FFF8696B"/>
        <color rgb="FFFFEB84"/>
        <color rgb="FF63BE7B"/>
      </colorScale>
    </cfRule>
  </conditionalFormatting>
  <conditionalFormatting sqref="E501">
    <cfRule type="colorScale" priority="429">
      <colorScale>
        <cfvo type="min"/>
        <cfvo type="percentile" val="50"/>
        <cfvo type="max"/>
        <color rgb="FFF8696B"/>
        <color rgb="FFFFEB84"/>
        <color rgb="FF63BE7B"/>
      </colorScale>
    </cfRule>
  </conditionalFormatting>
  <conditionalFormatting sqref="E505:E506">
    <cfRule type="colorScale" priority="434">
      <colorScale>
        <cfvo type="min"/>
        <cfvo type="percentile" val="50"/>
        <cfvo type="max"/>
        <color rgb="FFF8696B"/>
        <color rgb="FFFFEB84"/>
        <color rgb="FF63BE7B"/>
      </colorScale>
    </cfRule>
  </conditionalFormatting>
  <conditionalFormatting sqref="E510:E511">
    <cfRule type="colorScale" priority="439">
      <colorScale>
        <cfvo type="min"/>
        <cfvo type="percentile" val="50"/>
        <cfvo type="max"/>
        <color rgb="FFF8696B"/>
        <color rgb="FFFFEB84"/>
        <color rgb="FF63BE7B"/>
      </colorScale>
    </cfRule>
  </conditionalFormatting>
  <conditionalFormatting sqref="E515:E518">
    <cfRule type="colorScale" priority="444">
      <colorScale>
        <cfvo type="min"/>
        <cfvo type="percentile" val="50"/>
        <cfvo type="max"/>
        <color rgb="FFF8696B"/>
        <color rgb="FFFFEB84"/>
        <color rgb="FF63BE7B"/>
      </colorScale>
    </cfRule>
  </conditionalFormatting>
  <conditionalFormatting sqref="E522">
    <cfRule type="colorScale" priority="450">
      <colorScale>
        <cfvo type="min"/>
        <cfvo type="percentile" val="50"/>
        <cfvo type="max"/>
        <color rgb="FFF8696B"/>
        <color rgb="FFFFEB84"/>
        <color rgb="FF63BE7B"/>
      </colorScale>
    </cfRule>
  </conditionalFormatting>
  <conditionalFormatting sqref="E526:E527">
    <cfRule type="colorScale" priority="454">
      <colorScale>
        <cfvo type="min"/>
        <cfvo type="percentile" val="50"/>
        <cfvo type="max"/>
        <color rgb="FFF8696B"/>
        <color rgb="FFFFEB84"/>
        <color rgb="FF63BE7B"/>
      </colorScale>
    </cfRule>
  </conditionalFormatting>
  <conditionalFormatting sqref="E535:E536">
    <cfRule type="colorScale" priority="464">
      <colorScale>
        <cfvo type="min"/>
        <cfvo type="percentile" val="50"/>
        <cfvo type="max"/>
        <color rgb="FFF8696B"/>
        <color rgb="FFFFEB84"/>
        <color rgb="FF63BE7B"/>
      </colorScale>
    </cfRule>
  </conditionalFormatting>
  <conditionalFormatting sqref="E540:E541">
    <cfRule type="colorScale" priority="469">
      <colorScale>
        <cfvo type="min"/>
        <cfvo type="percentile" val="50"/>
        <cfvo type="max"/>
        <color rgb="FFF8696B"/>
        <color rgb="FFFFEB84"/>
        <color rgb="FF63BE7B"/>
      </colorScale>
    </cfRule>
  </conditionalFormatting>
  <conditionalFormatting sqref="E545:E546">
    <cfRule type="colorScale" priority="474">
      <colorScale>
        <cfvo type="min"/>
        <cfvo type="percentile" val="50"/>
        <cfvo type="max"/>
        <color rgb="FFF8696B"/>
        <color rgb="FFFFEB84"/>
        <color rgb="FF63BE7B"/>
      </colorScale>
    </cfRule>
  </conditionalFormatting>
  <conditionalFormatting sqref="E550:E551">
    <cfRule type="colorScale" priority="479">
      <colorScale>
        <cfvo type="min"/>
        <cfvo type="percentile" val="50"/>
        <cfvo type="max"/>
        <color rgb="FFF8696B"/>
        <color rgb="FFFFEB84"/>
        <color rgb="FF63BE7B"/>
      </colorScale>
    </cfRule>
  </conditionalFormatting>
  <conditionalFormatting sqref="E555:E556">
    <cfRule type="colorScale" priority="484">
      <colorScale>
        <cfvo type="min"/>
        <cfvo type="percentile" val="50"/>
        <cfvo type="max"/>
        <color rgb="FFF8696B"/>
        <color rgb="FFFFEB84"/>
        <color rgb="FF63BE7B"/>
      </colorScale>
    </cfRule>
  </conditionalFormatting>
  <conditionalFormatting sqref="E560:E561">
    <cfRule type="colorScale" priority="489">
      <colorScale>
        <cfvo type="min"/>
        <cfvo type="percentile" val="50"/>
        <cfvo type="max"/>
        <color rgb="FFF8696B"/>
        <color rgb="FFFFEB84"/>
        <color rgb="FF63BE7B"/>
      </colorScale>
    </cfRule>
  </conditionalFormatting>
  <conditionalFormatting sqref="E565:E566">
    <cfRule type="colorScale" priority="494">
      <colorScale>
        <cfvo type="min"/>
        <cfvo type="percentile" val="50"/>
        <cfvo type="max"/>
        <color rgb="FFF8696B"/>
        <color rgb="FFFFEB84"/>
        <color rgb="FF63BE7B"/>
      </colorScale>
    </cfRule>
  </conditionalFormatting>
  <conditionalFormatting sqref="E570:E571">
    <cfRule type="colorScale" priority="499">
      <colorScale>
        <cfvo type="min"/>
        <cfvo type="percentile" val="50"/>
        <cfvo type="max"/>
        <color rgb="FFF8696B"/>
        <color rgb="FFFFEB84"/>
        <color rgb="FF63BE7B"/>
      </colorScale>
    </cfRule>
  </conditionalFormatting>
  <conditionalFormatting sqref="E575">
    <cfRule type="colorScale" priority="504">
      <colorScale>
        <cfvo type="min"/>
        <cfvo type="percentile" val="50"/>
        <cfvo type="max"/>
        <color rgb="FFF8696B"/>
        <color rgb="FFFFEB84"/>
        <color rgb="FF63BE7B"/>
      </colorScale>
    </cfRule>
  </conditionalFormatting>
  <conditionalFormatting sqref="E579:E580">
    <cfRule type="colorScale" priority="509">
      <colorScale>
        <cfvo type="min"/>
        <cfvo type="percentile" val="50"/>
        <cfvo type="max"/>
        <color rgb="FFF8696B"/>
        <color rgb="FFFFEB84"/>
        <color rgb="FF63BE7B"/>
      </colorScale>
    </cfRule>
  </conditionalFormatting>
  <conditionalFormatting sqref="E584:E585">
    <cfRule type="colorScale" priority="514">
      <colorScale>
        <cfvo type="min"/>
        <cfvo type="percentile" val="50"/>
        <cfvo type="max"/>
        <color rgb="FFF8696B"/>
        <color rgb="FFFFEB84"/>
        <color rgb="FF63BE7B"/>
      </colorScale>
    </cfRule>
  </conditionalFormatting>
  <conditionalFormatting sqref="E589:E592">
    <cfRule type="colorScale" priority="519">
      <colorScale>
        <cfvo type="min"/>
        <cfvo type="percentile" val="50"/>
        <cfvo type="max"/>
        <color rgb="FFF8696B"/>
        <color rgb="FFFFEB84"/>
        <color rgb="FF63BE7B"/>
      </colorScale>
    </cfRule>
  </conditionalFormatting>
  <conditionalFormatting sqref="E596">
    <cfRule type="colorScale" priority="525">
      <colorScale>
        <cfvo type="min"/>
        <cfvo type="percentile" val="50"/>
        <cfvo type="max"/>
        <color rgb="FFF8696B"/>
        <color rgb="FFFFEB84"/>
        <color rgb="FF63BE7B"/>
      </colorScale>
    </cfRule>
  </conditionalFormatting>
  <conditionalFormatting sqref="E600:E601">
    <cfRule type="colorScale" priority="529">
      <colorScale>
        <cfvo type="min"/>
        <cfvo type="percentile" val="50"/>
        <cfvo type="max"/>
        <color rgb="FFF8696B"/>
        <color rgb="FFFFEB84"/>
        <color rgb="FF63BE7B"/>
      </colorScale>
    </cfRule>
  </conditionalFormatting>
  <conditionalFormatting sqref="E609:E610">
    <cfRule type="colorScale" priority="539">
      <colorScale>
        <cfvo type="min"/>
        <cfvo type="percentile" val="50"/>
        <cfvo type="max"/>
        <color rgb="FFF8696B"/>
        <color rgb="FFFFEB84"/>
        <color rgb="FF63BE7B"/>
      </colorScale>
    </cfRule>
  </conditionalFormatting>
  <conditionalFormatting sqref="E614:E615">
    <cfRule type="colorScale" priority="544">
      <colorScale>
        <cfvo type="min"/>
        <cfvo type="percentile" val="50"/>
        <cfvo type="max"/>
        <color rgb="FFF8696B"/>
        <color rgb="FFFFEB84"/>
        <color rgb="FF63BE7B"/>
      </colorScale>
    </cfRule>
  </conditionalFormatting>
  <conditionalFormatting sqref="E619:E620">
    <cfRule type="colorScale" priority="549">
      <colorScale>
        <cfvo type="min"/>
        <cfvo type="percentile" val="50"/>
        <cfvo type="max"/>
        <color rgb="FFF8696B"/>
        <color rgb="FFFFEB84"/>
        <color rgb="FF63BE7B"/>
      </colorScale>
    </cfRule>
  </conditionalFormatting>
  <conditionalFormatting sqref="E624:E625">
    <cfRule type="colorScale" priority="554">
      <colorScale>
        <cfvo type="min"/>
        <cfvo type="percentile" val="50"/>
        <cfvo type="max"/>
        <color rgb="FFF8696B"/>
        <color rgb="FFFFEB84"/>
        <color rgb="FF63BE7B"/>
      </colorScale>
    </cfRule>
  </conditionalFormatting>
  <conditionalFormatting sqref="E629:E630">
    <cfRule type="colorScale" priority="559">
      <colorScale>
        <cfvo type="min"/>
        <cfvo type="percentile" val="50"/>
        <cfvo type="max"/>
        <color rgb="FFF8696B"/>
        <color rgb="FFFFEB84"/>
        <color rgb="FF63BE7B"/>
      </colorScale>
    </cfRule>
  </conditionalFormatting>
  <conditionalFormatting sqref="E634:E635">
    <cfRule type="colorScale" priority="564">
      <colorScale>
        <cfvo type="min"/>
        <cfvo type="percentile" val="50"/>
        <cfvo type="max"/>
        <color rgb="FFF8696B"/>
        <color rgb="FFFFEB84"/>
        <color rgb="FF63BE7B"/>
      </colorScale>
    </cfRule>
  </conditionalFormatting>
  <conditionalFormatting sqref="E639:E640">
    <cfRule type="colorScale" priority="569">
      <colorScale>
        <cfvo type="min"/>
        <cfvo type="percentile" val="50"/>
        <cfvo type="max"/>
        <color rgb="FFF8696B"/>
        <color rgb="FFFFEB84"/>
        <color rgb="FF63BE7B"/>
      </colorScale>
    </cfRule>
  </conditionalFormatting>
  <conditionalFormatting sqref="E644:E645">
    <cfRule type="colorScale" priority="574">
      <colorScale>
        <cfvo type="min"/>
        <cfvo type="percentile" val="50"/>
        <cfvo type="max"/>
        <color rgb="FFF8696B"/>
        <color rgb="FFFFEB84"/>
        <color rgb="FF63BE7B"/>
      </colorScale>
    </cfRule>
  </conditionalFormatting>
  <conditionalFormatting sqref="E649">
    <cfRule type="colorScale" priority="579">
      <colorScale>
        <cfvo type="min"/>
        <cfvo type="percentile" val="50"/>
        <cfvo type="max"/>
        <color rgb="FFF8696B"/>
        <color rgb="FFFFEB84"/>
        <color rgb="FF63BE7B"/>
      </colorScale>
    </cfRule>
  </conditionalFormatting>
  <conditionalFormatting sqref="E653:E654">
    <cfRule type="colorScale" priority="584">
      <colorScale>
        <cfvo type="min"/>
        <cfvo type="percentile" val="50"/>
        <cfvo type="max"/>
        <color rgb="FFF8696B"/>
        <color rgb="FFFFEB84"/>
        <color rgb="FF63BE7B"/>
      </colorScale>
    </cfRule>
  </conditionalFormatting>
  <conditionalFormatting sqref="E658:E659">
    <cfRule type="colorScale" priority="589">
      <colorScale>
        <cfvo type="min"/>
        <cfvo type="percentile" val="50"/>
        <cfvo type="max"/>
        <color rgb="FFF8696B"/>
        <color rgb="FFFFEB84"/>
        <color rgb="FF63BE7B"/>
      </colorScale>
    </cfRule>
  </conditionalFormatting>
  <conditionalFormatting sqref="E663:E666">
    <cfRule type="colorScale" priority="594">
      <colorScale>
        <cfvo type="min"/>
        <cfvo type="percentile" val="50"/>
        <cfvo type="max"/>
        <color rgb="FFF8696B"/>
        <color rgb="FFFFEB84"/>
        <color rgb="FF63BE7B"/>
      </colorScale>
    </cfRule>
  </conditionalFormatting>
  <conditionalFormatting sqref="E670">
    <cfRule type="colorScale" priority="600">
      <colorScale>
        <cfvo type="min"/>
        <cfvo type="percentile" val="50"/>
        <cfvo type="max"/>
        <color rgb="FFF8696B"/>
        <color rgb="FFFFEB84"/>
        <color rgb="FF63BE7B"/>
      </colorScale>
    </cfRule>
  </conditionalFormatting>
  <conditionalFormatting sqref="E674:E675">
    <cfRule type="colorScale" priority="604">
      <colorScale>
        <cfvo type="min"/>
        <cfvo type="percentile" val="50"/>
        <cfvo type="max"/>
        <color rgb="FFF8696B"/>
        <color rgb="FFFFEB84"/>
        <color rgb="FF63BE7B"/>
      </colorScale>
    </cfRule>
  </conditionalFormatting>
  <conditionalFormatting sqref="E683:E684">
    <cfRule type="colorScale" priority="614">
      <colorScale>
        <cfvo type="min"/>
        <cfvo type="percentile" val="50"/>
        <cfvo type="max"/>
        <color rgb="FFF8696B"/>
        <color rgb="FFFFEB84"/>
        <color rgb="FF63BE7B"/>
      </colorScale>
    </cfRule>
  </conditionalFormatting>
  <conditionalFormatting sqref="E688:E689">
    <cfRule type="colorScale" priority="619">
      <colorScale>
        <cfvo type="min"/>
        <cfvo type="percentile" val="50"/>
        <cfvo type="max"/>
        <color rgb="FFF8696B"/>
        <color rgb="FFFFEB84"/>
        <color rgb="FF63BE7B"/>
      </colorScale>
    </cfRule>
  </conditionalFormatting>
  <conditionalFormatting sqref="E693:E694">
    <cfRule type="colorScale" priority="624">
      <colorScale>
        <cfvo type="min"/>
        <cfvo type="percentile" val="50"/>
        <cfvo type="max"/>
        <color rgb="FFF8696B"/>
        <color rgb="FFFFEB84"/>
        <color rgb="FF63BE7B"/>
      </colorScale>
    </cfRule>
  </conditionalFormatting>
  <conditionalFormatting sqref="E698:E699">
    <cfRule type="colorScale" priority="629">
      <colorScale>
        <cfvo type="min"/>
        <cfvo type="percentile" val="50"/>
        <cfvo type="max"/>
        <color rgb="FFF8696B"/>
        <color rgb="FFFFEB84"/>
        <color rgb="FF63BE7B"/>
      </colorScale>
    </cfRule>
  </conditionalFormatting>
  <conditionalFormatting sqref="E703:E704">
    <cfRule type="colorScale" priority="634">
      <colorScale>
        <cfvo type="min"/>
        <cfvo type="percentile" val="50"/>
        <cfvo type="max"/>
        <color rgb="FFF8696B"/>
        <color rgb="FFFFEB84"/>
        <color rgb="FF63BE7B"/>
      </colorScale>
    </cfRule>
  </conditionalFormatting>
  <conditionalFormatting sqref="E708:E709">
    <cfRule type="colorScale" priority="639">
      <colorScale>
        <cfvo type="min"/>
        <cfvo type="percentile" val="50"/>
        <cfvo type="max"/>
        <color rgb="FFF8696B"/>
        <color rgb="FFFFEB84"/>
        <color rgb="FF63BE7B"/>
      </colorScale>
    </cfRule>
  </conditionalFormatting>
  <conditionalFormatting sqref="E713:E714">
    <cfRule type="colorScale" priority="644">
      <colorScale>
        <cfvo type="min"/>
        <cfvo type="percentile" val="50"/>
        <cfvo type="max"/>
        <color rgb="FFF8696B"/>
        <color rgb="FFFFEB84"/>
        <color rgb="FF63BE7B"/>
      </colorScale>
    </cfRule>
  </conditionalFormatting>
  <conditionalFormatting sqref="E718:E719">
    <cfRule type="colorScale" priority="649">
      <colorScale>
        <cfvo type="min"/>
        <cfvo type="percentile" val="50"/>
        <cfvo type="max"/>
        <color rgb="FFF8696B"/>
        <color rgb="FFFFEB84"/>
        <color rgb="FF63BE7B"/>
      </colorScale>
    </cfRule>
  </conditionalFormatting>
  <conditionalFormatting sqref="E723">
    <cfRule type="colorScale" priority="654">
      <colorScale>
        <cfvo type="min"/>
        <cfvo type="percentile" val="50"/>
        <cfvo type="max"/>
        <color rgb="FFF8696B"/>
        <color rgb="FFFFEB84"/>
        <color rgb="FF63BE7B"/>
      </colorScale>
    </cfRule>
  </conditionalFormatting>
  <conditionalFormatting sqref="E727:E728">
    <cfRule type="colorScale" priority="659">
      <colorScale>
        <cfvo type="min"/>
        <cfvo type="percentile" val="50"/>
        <cfvo type="max"/>
        <color rgb="FFF8696B"/>
        <color rgb="FFFFEB84"/>
        <color rgb="FF63BE7B"/>
      </colorScale>
    </cfRule>
  </conditionalFormatting>
  <conditionalFormatting sqref="E732:E733">
    <cfRule type="colorScale" priority="664">
      <colorScale>
        <cfvo type="min"/>
        <cfvo type="percentile" val="50"/>
        <cfvo type="max"/>
        <color rgb="FFF8696B"/>
        <color rgb="FFFFEB84"/>
        <color rgb="FF63BE7B"/>
      </colorScale>
    </cfRule>
  </conditionalFormatting>
  <conditionalFormatting sqref="E737:E740">
    <cfRule type="colorScale" priority="669">
      <colorScale>
        <cfvo type="min"/>
        <cfvo type="percentile" val="50"/>
        <cfvo type="max"/>
        <color rgb="FFF8696B"/>
        <color rgb="FFFFEB84"/>
        <color rgb="FF63BE7B"/>
      </colorScale>
    </cfRule>
  </conditionalFormatting>
  <conditionalFormatting sqref="E1484">
    <cfRule type="colorScale" priority="975">
      <colorScale>
        <cfvo type="min"/>
        <cfvo type="percentile" val="50"/>
        <cfvo type="max"/>
        <color rgb="FFF8696B"/>
        <color rgb="FFFFEB84"/>
        <color rgb="FF63BE7B"/>
      </colorScale>
    </cfRule>
  </conditionalFormatting>
  <conditionalFormatting sqref="E1488:E1489">
    <cfRule type="colorScale" priority="979">
      <colorScale>
        <cfvo type="min"/>
        <cfvo type="percentile" val="50"/>
        <cfvo type="max"/>
        <color rgb="FFF8696B"/>
        <color rgb="FFFFEB84"/>
        <color rgb="FF63BE7B"/>
      </colorScale>
    </cfRule>
  </conditionalFormatting>
  <conditionalFormatting sqref="E1497:E1498">
    <cfRule type="colorScale" priority="989">
      <colorScale>
        <cfvo type="min"/>
        <cfvo type="percentile" val="50"/>
        <cfvo type="max"/>
        <color rgb="FFF8696B"/>
        <color rgb="FFFFEB84"/>
        <color rgb="FF63BE7B"/>
      </colorScale>
    </cfRule>
  </conditionalFormatting>
  <conditionalFormatting sqref="E1502:E1503">
    <cfRule type="colorScale" priority="994">
      <colorScale>
        <cfvo type="min"/>
        <cfvo type="percentile" val="50"/>
        <cfvo type="max"/>
        <color rgb="FFF8696B"/>
        <color rgb="FFFFEB84"/>
        <color rgb="FF63BE7B"/>
      </colorScale>
    </cfRule>
  </conditionalFormatting>
  <conditionalFormatting sqref="E1507:E1508">
    <cfRule type="colorScale" priority="999">
      <colorScale>
        <cfvo type="min"/>
        <cfvo type="percentile" val="50"/>
        <cfvo type="max"/>
        <color rgb="FFF8696B"/>
        <color rgb="FFFFEB84"/>
        <color rgb="FF63BE7B"/>
      </colorScale>
    </cfRule>
  </conditionalFormatting>
  <conditionalFormatting sqref="E1512:E1513">
    <cfRule type="colorScale" priority="1004">
      <colorScale>
        <cfvo type="min"/>
        <cfvo type="percentile" val="50"/>
        <cfvo type="max"/>
        <color rgb="FFF8696B"/>
        <color rgb="FFFFEB84"/>
        <color rgb="FF63BE7B"/>
      </colorScale>
    </cfRule>
  </conditionalFormatting>
  <conditionalFormatting sqref="E1517:E1518">
    <cfRule type="colorScale" priority="1009">
      <colorScale>
        <cfvo type="min"/>
        <cfvo type="percentile" val="50"/>
        <cfvo type="max"/>
        <color rgb="FFF8696B"/>
        <color rgb="FFFFEB84"/>
        <color rgb="FF63BE7B"/>
      </colorScale>
    </cfRule>
  </conditionalFormatting>
  <conditionalFormatting sqref="E1522:E1523">
    <cfRule type="colorScale" priority="1014">
      <colorScale>
        <cfvo type="min"/>
        <cfvo type="percentile" val="50"/>
        <cfvo type="max"/>
        <color rgb="FFF8696B"/>
        <color rgb="FFFFEB84"/>
        <color rgb="FF63BE7B"/>
      </colorScale>
    </cfRule>
  </conditionalFormatting>
  <conditionalFormatting sqref="E1527:E1528">
    <cfRule type="colorScale" priority="1019">
      <colorScale>
        <cfvo type="min"/>
        <cfvo type="percentile" val="50"/>
        <cfvo type="max"/>
        <color rgb="FFF8696B"/>
        <color rgb="FFFFEB84"/>
        <color rgb="FF63BE7B"/>
      </colorScale>
    </cfRule>
  </conditionalFormatting>
  <conditionalFormatting sqref="E1532:E1533">
    <cfRule type="colorScale" priority="1024">
      <colorScale>
        <cfvo type="min"/>
        <cfvo type="percentile" val="50"/>
        <cfvo type="max"/>
        <color rgb="FFF8696B"/>
        <color rgb="FFFFEB84"/>
        <color rgb="FF63BE7B"/>
      </colorScale>
    </cfRule>
  </conditionalFormatting>
  <conditionalFormatting sqref="E1537">
    <cfRule type="colorScale" priority="1029">
      <colorScale>
        <cfvo type="min"/>
        <cfvo type="percentile" val="50"/>
        <cfvo type="max"/>
        <color rgb="FFF8696B"/>
        <color rgb="FFFFEB84"/>
        <color rgb="FF63BE7B"/>
      </colorScale>
    </cfRule>
  </conditionalFormatting>
  <conditionalFormatting sqref="E1541:E1542">
    <cfRule type="colorScale" priority="1034">
      <colorScale>
        <cfvo type="min"/>
        <cfvo type="percentile" val="50"/>
        <cfvo type="max"/>
        <color rgb="FFF8696B"/>
        <color rgb="FFFFEB84"/>
        <color rgb="FF63BE7B"/>
      </colorScale>
    </cfRule>
  </conditionalFormatting>
  <conditionalFormatting sqref="E1546:E1547">
    <cfRule type="colorScale" priority="1039">
      <colorScale>
        <cfvo type="min"/>
        <cfvo type="percentile" val="50"/>
        <cfvo type="max"/>
        <color rgb="FFF8696B"/>
        <color rgb="FFFFEB84"/>
        <color rgb="FF63BE7B"/>
      </colorScale>
    </cfRule>
  </conditionalFormatting>
  <conditionalFormatting sqref="E1551:E1554">
    <cfRule type="colorScale" priority="1044">
      <colorScale>
        <cfvo type="min"/>
        <cfvo type="percentile" val="50"/>
        <cfvo type="max"/>
        <color rgb="FFF8696B"/>
        <color rgb="FFFFEB84"/>
        <color rgb="FF63BE7B"/>
      </colorScale>
    </cfRule>
  </conditionalFormatting>
  <conditionalFormatting sqref="E1632">
    <cfRule type="colorScale" priority="1080">
      <colorScale>
        <cfvo type="min"/>
        <cfvo type="percentile" val="50"/>
        <cfvo type="max"/>
        <color rgb="FFF8696B"/>
        <color rgb="FFFFEB84"/>
        <color rgb="FF63BE7B"/>
      </colorScale>
    </cfRule>
  </conditionalFormatting>
  <conditionalFormatting sqref="E1636:E1637">
    <cfRule type="colorScale" priority="1084">
      <colorScale>
        <cfvo type="min"/>
        <cfvo type="percentile" val="50"/>
        <cfvo type="max"/>
        <color rgb="FFF8696B"/>
        <color rgb="FFFFEB84"/>
        <color rgb="FF63BE7B"/>
      </colorScale>
    </cfRule>
  </conditionalFormatting>
  <conditionalFormatting sqref="E1645:E1646">
    <cfRule type="colorScale" priority="1094">
      <colorScale>
        <cfvo type="min"/>
        <cfvo type="percentile" val="50"/>
        <cfvo type="max"/>
        <color rgb="FFF8696B"/>
        <color rgb="FFFFEB84"/>
        <color rgb="FF63BE7B"/>
      </colorScale>
    </cfRule>
  </conditionalFormatting>
  <conditionalFormatting sqref="E1650:E1651">
    <cfRule type="colorScale" priority="1099">
      <colorScale>
        <cfvo type="min"/>
        <cfvo type="percentile" val="50"/>
        <cfvo type="max"/>
        <color rgb="FFF8696B"/>
        <color rgb="FFFFEB84"/>
        <color rgb="FF63BE7B"/>
      </colorScale>
    </cfRule>
  </conditionalFormatting>
  <conditionalFormatting sqref="E1655:E1656">
    <cfRule type="colorScale" priority="1104">
      <colorScale>
        <cfvo type="min"/>
        <cfvo type="percentile" val="50"/>
        <cfvo type="max"/>
        <color rgb="FFF8696B"/>
        <color rgb="FFFFEB84"/>
        <color rgb="FF63BE7B"/>
      </colorScale>
    </cfRule>
  </conditionalFormatting>
  <conditionalFormatting sqref="E1660:E1661">
    <cfRule type="colorScale" priority="1109">
      <colorScale>
        <cfvo type="min"/>
        <cfvo type="percentile" val="50"/>
        <cfvo type="max"/>
        <color rgb="FFF8696B"/>
        <color rgb="FFFFEB84"/>
        <color rgb="FF63BE7B"/>
      </colorScale>
    </cfRule>
  </conditionalFormatting>
  <conditionalFormatting sqref="E1665:E1666">
    <cfRule type="colorScale" priority="1114">
      <colorScale>
        <cfvo type="min"/>
        <cfvo type="percentile" val="50"/>
        <cfvo type="max"/>
        <color rgb="FFF8696B"/>
        <color rgb="FFFFEB84"/>
        <color rgb="FF63BE7B"/>
      </colorScale>
    </cfRule>
  </conditionalFormatting>
  <conditionalFormatting sqref="E1670:E1671">
    <cfRule type="colorScale" priority="1119">
      <colorScale>
        <cfvo type="min"/>
        <cfvo type="percentile" val="50"/>
        <cfvo type="max"/>
        <color rgb="FFF8696B"/>
        <color rgb="FFFFEB84"/>
        <color rgb="FF63BE7B"/>
      </colorScale>
    </cfRule>
  </conditionalFormatting>
  <conditionalFormatting sqref="E1675:E1676">
    <cfRule type="colorScale" priority="1124">
      <colorScale>
        <cfvo type="min"/>
        <cfvo type="percentile" val="50"/>
        <cfvo type="max"/>
        <color rgb="FFF8696B"/>
        <color rgb="FFFFEB84"/>
        <color rgb="FF63BE7B"/>
      </colorScale>
    </cfRule>
  </conditionalFormatting>
  <conditionalFormatting sqref="E1680:E1681">
    <cfRule type="colorScale" priority="1129">
      <colorScale>
        <cfvo type="min"/>
        <cfvo type="percentile" val="50"/>
        <cfvo type="max"/>
        <color rgb="FFF8696B"/>
        <color rgb="FFFFEB84"/>
        <color rgb="FF63BE7B"/>
      </colorScale>
    </cfRule>
  </conditionalFormatting>
  <conditionalFormatting sqref="E1685">
    <cfRule type="colorScale" priority="1134">
      <colorScale>
        <cfvo type="min"/>
        <cfvo type="percentile" val="50"/>
        <cfvo type="max"/>
        <color rgb="FFF8696B"/>
        <color rgb="FFFFEB84"/>
        <color rgb="FF63BE7B"/>
      </colorScale>
    </cfRule>
  </conditionalFormatting>
  <conditionalFormatting sqref="E1689:E1690">
    <cfRule type="colorScale" priority="1139">
      <colorScale>
        <cfvo type="min"/>
        <cfvo type="percentile" val="50"/>
        <cfvo type="max"/>
        <color rgb="FFF8696B"/>
        <color rgb="FFFFEB84"/>
        <color rgb="FF63BE7B"/>
      </colorScale>
    </cfRule>
  </conditionalFormatting>
  <conditionalFormatting sqref="E1694:E1695">
    <cfRule type="colorScale" priority="1144">
      <colorScale>
        <cfvo type="min"/>
        <cfvo type="percentile" val="50"/>
        <cfvo type="max"/>
        <color rgb="FFF8696B"/>
        <color rgb="FFFFEB84"/>
        <color rgb="FF63BE7B"/>
      </colorScale>
    </cfRule>
  </conditionalFormatting>
  <conditionalFormatting sqref="E1699:E1702">
    <cfRule type="colorScale" priority="1149">
      <colorScale>
        <cfvo type="min"/>
        <cfvo type="percentile" val="50"/>
        <cfvo type="max"/>
        <color rgb="FFF8696B"/>
        <color rgb="FFFFEB84"/>
        <color rgb="FF63BE7B"/>
      </colorScale>
    </cfRule>
  </conditionalFormatting>
  <conditionalFormatting sqref="E1792">
    <cfRule type="colorScale" priority="1191">
      <colorScale>
        <cfvo type="min"/>
        <cfvo type="percentile" val="50"/>
        <cfvo type="max"/>
        <color rgb="FFF8696B"/>
        <color rgb="FFFFEB84"/>
        <color rgb="FF63BE7B"/>
      </colorScale>
    </cfRule>
  </conditionalFormatting>
  <conditionalFormatting sqref="E1796:E1797">
    <cfRule type="colorScale" priority="1195">
      <colorScale>
        <cfvo type="min"/>
        <cfvo type="percentile" val="50"/>
        <cfvo type="max"/>
        <color rgb="FFF8696B"/>
        <color rgb="FFFFEB84"/>
        <color rgb="FF63BE7B"/>
      </colorScale>
    </cfRule>
  </conditionalFormatting>
  <conditionalFormatting sqref="E1805:E1806">
    <cfRule type="colorScale" priority="1205">
      <colorScale>
        <cfvo type="min"/>
        <cfvo type="percentile" val="50"/>
        <cfvo type="max"/>
        <color rgb="FFF8696B"/>
        <color rgb="FFFFEB84"/>
        <color rgb="FF63BE7B"/>
      </colorScale>
    </cfRule>
  </conditionalFormatting>
  <conditionalFormatting sqref="E1810:E1811">
    <cfRule type="colorScale" priority="1210">
      <colorScale>
        <cfvo type="min"/>
        <cfvo type="percentile" val="50"/>
        <cfvo type="max"/>
        <color rgb="FFF8696B"/>
        <color rgb="FFFFEB84"/>
        <color rgb="FF63BE7B"/>
      </colorScale>
    </cfRule>
  </conditionalFormatting>
  <conditionalFormatting sqref="E1815:E1816">
    <cfRule type="colorScale" priority="1215">
      <colorScale>
        <cfvo type="min"/>
        <cfvo type="percentile" val="50"/>
        <cfvo type="max"/>
        <color rgb="FFF8696B"/>
        <color rgb="FFFFEB84"/>
        <color rgb="FF63BE7B"/>
      </colorScale>
    </cfRule>
  </conditionalFormatting>
  <conditionalFormatting sqref="E1820:E1821">
    <cfRule type="colorScale" priority="1220">
      <colorScale>
        <cfvo type="min"/>
        <cfvo type="percentile" val="50"/>
        <cfvo type="max"/>
        <color rgb="FFF8696B"/>
        <color rgb="FFFFEB84"/>
        <color rgb="FF63BE7B"/>
      </colorScale>
    </cfRule>
  </conditionalFormatting>
  <conditionalFormatting sqref="E1825:E1826">
    <cfRule type="colorScale" priority="1225">
      <colorScale>
        <cfvo type="min"/>
        <cfvo type="percentile" val="50"/>
        <cfvo type="max"/>
        <color rgb="FFF8696B"/>
        <color rgb="FFFFEB84"/>
        <color rgb="FF63BE7B"/>
      </colorScale>
    </cfRule>
  </conditionalFormatting>
  <conditionalFormatting sqref="E1830:E1831">
    <cfRule type="colorScale" priority="1230">
      <colorScale>
        <cfvo type="min"/>
        <cfvo type="percentile" val="50"/>
        <cfvo type="max"/>
        <color rgb="FFF8696B"/>
        <color rgb="FFFFEB84"/>
        <color rgb="FF63BE7B"/>
      </colorScale>
    </cfRule>
  </conditionalFormatting>
  <conditionalFormatting sqref="E1835:E1836">
    <cfRule type="colorScale" priority="1235">
      <colorScale>
        <cfvo type="min"/>
        <cfvo type="percentile" val="50"/>
        <cfvo type="max"/>
        <color rgb="FFF8696B"/>
        <color rgb="FFFFEB84"/>
        <color rgb="FF63BE7B"/>
      </colorScale>
    </cfRule>
  </conditionalFormatting>
  <conditionalFormatting sqref="E1840:E1841">
    <cfRule type="colorScale" priority="1240">
      <colorScale>
        <cfvo type="min"/>
        <cfvo type="percentile" val="50"/>
        <cfvo type="max"/>
        <color rgb="FFF8696B"/>
        <color rgb="FFFFEB84"/>
        <color rgb="FF63BE7B"/>
      </colorScale>
    </cfRule>
  </conditionalFormatting>
  <conditionalFormatting sqref="E1845">
    <cfRule type="colorScale" priority="1245">
      <colorScale>
        <cfvo type="min"/>
        <cfvo type="percentile" val="50"/>
        <cfvo type="max"/>
        <color rgb="FFF8696B"/>
        <color rgb="FFFFEB84"/>
        <color rgb="FF63BE7B"/>
      </colorScale>
    </cfRule>
  </conditionalFormatting>
  <conditionalFormatting sqref="E1849:E1850">
    <cfRule type="colorScale" priority="1250">
      <colorScale>
        <cfvo type="min"/>
        <cfvo type="percentile" val="50"/>
        <cfvo type="max"/>
        <color rgb="FFF8696B"/>
        <color rgb="FFFFEB84"/>
        <color rgb="FF63BE7B"/>
      </colorScale>
    </cfRule>
  </conditionalFormatting>
  <conditionalFormatting sqref="E1854:E1855">
    <cfRule type="colorScale" priority="1255">
      <colorScale>
        <cfvo type="min"/>
        <cfvo type="percentile" val="50"/>
        <cfvo type="max"/>
        <color rgb="FFF8696B"/>
        <color rgb="FFFFEB84"/>
        <color rgb="FF63BE7B"/>
      </colorScale>
    </cfRule>
  </conditionalFormatting>
  <conditionalFormatting sqref="E1859:E1862">
    <cfRule type="colorScale" priority="1260">
      <colorScale>
        <cfvo type="min"/>
        <cfvo type="percentile" val="50"/>
        <cfvo type="max"/>
        <color rgb="FFF8696B"/>
        <color rgb="FFFFEB84"/>
        <color rgb="FF63BE7B"/>
      </colorScale>
    </cfRule>
  </conditionalFormatting>
  <conditionalFormatting sqref="E1866">
    <cfRule type="colorScale" priority="1266">
      <colorScale>
        <cfvo type="min"/>
        <cfvo type="percentile" val="50"/>
        <cfvo type="max"/>
        <color rgb="FFF8696B"/>
        <color rgb="FFFFEB84"/>
        <color rgb="FF63BE7B"/>
      </colorScale>
    </cfRule>
  </conditionalFormatting>
  <conditionalFormatting sqref="E1870:E1871">
    <cfRule type="colorScale" priority="1270">
      <colorScale>
        <cfvo type="min"/>
        <cfvo type="percentile" val="50"/>
        <cfvo type="max"/>
        <color rgb="FFF8696B"/>
        <color rgb="FFFFEB84"/>
        <color rgb="FF63BE7B"/>
      </colorScale>
    </cfRule>
  </conditionalFormatting>
  <conditionalFormatting sqref="E1879:E1880">
    <cfRule type="colorScale" priority="1280">
      <colorScale>
        <cfvo type="min"/>
        <cfvo type="percentile" val="50"/>
        <cfvo type="max"/>
        <color rgb="FFF8696B"/>
        <color rgb="FFFFEB84"/>
        <color rgb="FF63BE7B"/>
      </colorScale>
    </cfRule>
  </conditionalFormatting>
  <conditionalFormatting sqref="E1884:E1885">
    <cfRule type="colorScale" priority="1285">
      <colorScale>
        <cfvo type="min"/>
        <cfvo type="percentile" val="50"/>
        <cfvo type="max"/>
        <color rgb="FFF8696B"/>
        <color rgb="FFFFEB84"/>
        <color rgb="FF63BE7B"/>
      </colorScale>
    </cfRule>
  </conditionalFormatting>
  <conditionalFormatting sqref="E1889:E1890">
    <cfRule type="colorScale" priority="1290">
      <colorScale>
        <cfvo type="min"/>
        <cfvo type="percentile" val="50"/>
        <cfvo type="max"/>
        <color rgb="FFF8696B"/>
        <color rgb="FFFFEB84"/>
        <color rgb="FF63BE7B"/>
      </colorScale>
    </cfRule>
  </conditionalFormatting>
  <conditionalFormatting sqref="E1894:E1895">
    <cfRule type="colorScale" priority="1295">
      <colorScale>
        <cfvo type="min"/>
        <cfvo type="percentile" val="50"/>
        <cfvo type="max"/>
        <color rgb="FFF8696B"/>
        <color rgb="FFFFEB84"/>
        <color rgb="FF63BE7B"/>
      </colorScale>
    </cfRule>
  </conditionalFormatting>
  <conditionalFormatting sqref="E1899:E1900">
    <cfRule type="colorScale" priority="1300">
      <colorScale>
        <cfvo type="min"/>
        <cfvo type="percentile" val="50"/>
        <cfvo type="max"/>
        <color rgb="FFF8696B"/>
        <color rgb="FFFFEB84"/>
        <color rgb="FF63BE7B"/>
      </colorScale>
    </cfRule>
  </conditionalFormatting>
  <conditionalFormatting sqref="E1904:E1905">
    <cfRule type="colorScale" priority="1305">
      <colorScale>
        <cfvo type="min"/>
        <cfvo type="percentile" val="50"/>
        <cfvo type="max"/>
        <color rgb="FFF8696B"/>
        <color rgb="FFFFEB84"/>
        <color rgb="FF63BE7B"/>
      </colorScale>
    </cfRule>
  </conditionalFormatting>
  <conditionalFormatting sqref="E1909:E1910">
    <cfRule type="colorScale" priority="1310">
      <colorScale>
        <cfvo type="min"/>
        <cfvo type="percentile" val="50"/>
        <cfvo type="max"/>
        <color rgb="FFF8696B"/>
        <color rgb="FFFFEB84"/>
        <color rgb="FF63BE7B"/>
      </colorScale>
    </cfRule>
  </conditionalFormatting>
  <conditionalFormatting sqref="E1914:E1915">
    <cfRule type="colorScale" priority="1315">
      <colorScale>
        <cfvo type="min"/>
        <cfvo type="percentile" val="50"/>
        <cfvo type="max"/>
        <color rgb="FFF8696B"/>
        <color rgb="FFFFEB84"/>
        <color rgb="FF63BE7B"/>
      </colorScale>
    </cfRule>
  </conditionalFormatting>
  <conditionalFormatting sqref="E1919">
    <cfRule type="colorScale" priority="1320">
      <colorScale>
        <cfvo type="min"/>
        <cfvo type="percentile" val="50"/>
        <cfvo type="max"/>
        <color rgb="FFF8696B"/>
        <color rgb="FFFFEB84"/>
        <color rgb="FF63BE7B"/>
      </colorScale>
    </cfRule>
  </conditionalFormatting>
  <conditionalFormatting sqref="E1923:E1924">
    <cfRule type="colorScale" priority="1325">
      <colorScale>
        <cfvo type="min"/>
        <cfvo type="percentile" val="50"/>
        <cfvo type="max"/>
        <color rgb="FFF8696B"/>
        <color rgb="FFFFEB84"/>
        <color rgb="FF63BE7B"/>
      </colorScale>
    </cfRule>
  </conditionalFormatting>
  <conditionalFormatting sqref="E1928:E1929">
    <cfRule type="colorScale" priority="1330">
      <colorScale>
        <cfvo type="min"/>
        <cfvo type="percentile" val="50"/>
        <cfvo type="max"/>
        <color rgb="FFF8696B"/>
        <color rgb="FFFFEB84"/>
        <color rgb="FF63BE7B"/>
      </colorScale>
    </cfRule>
  </conditionalFormatting>
  <conditionalFormatting sqref="E1933:E1936">
    <cfRule type="colorScale" priority="1335">
      <colorScale>
        <cfvo type="min"/>
        <cfvo type="percentile" val="50"/>
        <cfvo type="max"/>
        <color rgb="FFF8696B"/>
        <color rgb="FFFFEB84"/>
        <color rgb="FF63BE7B"/>
      </colorScale>
    </cfRule>
  </conditionalFormatting>
  <conditionalFormatting sqref="E2014">
    <cfRule type="colorScale" priority="1371">
      <colorScale>
        <cfvo type="min"/>
        <cfvo type="percentile" val="50"/>
        <cfvo type="max"/>
        <color rgb="FFF8696B"/>
        <color rgb="FFFFEB84"/>
        <color rgb="FF63BE7B"/>
      </colorScale>
    </cfRule>
  </conditionalFormatting>
  <conditionalFormatting sqref="E2018:E2019">
    <cfRule type="colorScale" priority="1375">
      <colorScale>
        <cfvo type="min"/>
        <cfvo type="percentile" val="50"/>
        <cfvo type="max"/>
        <color rgb="FFF8696B"/>
        <color rgb="FFFFEB84"/>
        <color rgb="FF63BE7B"/>
      </colorScale>
    </cfRule>
  </conditionalFormatting>
  <conditionalFormatting sqref="E2027:E2028">
    <cfRule type="colorScale" priority="1385">
      <colorScale>
        <cfvo type="min"/>
        <cfvo type="percentile" val="50"/>
        <cfvo type="max"/>
        <color rgb="FFF8696B"/>
        <color rgb="FFFFEB84"/>
        <color rgb="FF63BE7B"/>
      </colorScale>
    </cfRule>
  </conditionalFormatting>
  <conditionalFormatting sqref="E2032:E2033">
    <cfRule type="colorScale" priority="1390">
      <colorScale>
        <cfvo type="min"/>
        <cfvo type="percentile" val="50"/>
        <cfvo type="max"/>
        <color rgb="FFF8696B"/>
        <color rgb="FFFFEB84"/>
        <color rgb="FF63BE7B"/>
      </colorScale>
    </cfRule>
  </conditionalFormatting>
  <conditionalFormatting sqref="E2037:E2038">
    <cfRule type="colorScale" priority="1395">
      <colorScale>
        <cfvo type="min"/>
        <cfvo type="percentile" val="50"/>
        <cfvo type="max"/>
        <color rgb="FFF8696B"/>
        <color rgb="FFFFEB84"/>
        <color rgb="FF63BE7B"/>
      </colorScale>
    </cfRule>
  </conditionalFormatting>
  <conditionalFormatting sqref="E2042:E2043">
    <cfRule type="colorScale" priority="1400">
      <colorScale>
        <cfvo type="min"/>
        <cfvo type="percentile" val="50"/>
        <cfvo type="max"/>
        <color rgb="FFF8696B"/>
        <color rgb="FFFFEB84"/>
        <color rgb="FF63BE7B"/>
      </colorScale>
    </cfRule>
  </conditionalFormatting>
  <conditionalFormatting sqref="E2047:E2048">
    <cfRule type="colorScale" priority="1405">
      <colorScale>
        <cfvo type="min"/>
        <cfvo type="percentile" val="50"/>
        <cfvo type="max"/>
        <color rgb="FFF8696B"/>
        <color rgb="FFFFEB84"/>
        <color rgb="FF63BE7B"/>
      </colorScale>
    </cfRule>
  </conditionalFormatting>
  <conditionalFormatting sqref="E2052:E2053">
    <cfRule type="colorScale" priority="1410">
      <colorScale>
        <cfvo type="min"/>
        <cfvo type="percentile" val="50"/>
        <cfvo type="max"/>
        <color rgb="FFF8696B"/>
        <color rgb="FFFFEB84"/>
        <color rgb="FF63BE7B"/>
      </colorScale>
    </cfRule>
  </conditionalFormatting>
  <conditionalFormatting sqref="E2057:E2058">
    <cfRule type="colorScale" priority="1415">
      <colorScale>
        <cfvo type="min"/>
        <cfvo type="percentile" val="50"/>
        <cfvo type="max"/>
        <color rgb="FFF8696B"/>
        <color rgb="FFFFEB84"/>
        <color rgb="FF63BE7B"/>
      </colorScale>
    </cfRule>
  </conditionalFormatting>
  <conditionalFormatting sqref="E2062:E2063">
    <cfRule type="colorScale" priority="1420">
      <colorScale>
        <cfvo type="min"/>
        <cfvo type="percentile" val="50"/>
        <cfvo type="max"/>
        <color rgb="FFF8696B"/>
        <color rgb="FFFFEB84"/>
        <color rgb="FF63BE7B"/>
      </colorScale>
    </cfRule>
  </conditionalFormatting>
  <conditionalFormatting sqref="E2067">
    <cfRule type="colorScale" priority="1425">
      <colorScale>
        <cfvo type="min"/>
        <cfvo type="percentile" val="50"/>
        <cfvo type="max"/>
        <color rgb="FFF8696B"/>
        <color rgb="FFFFEB84"/>
        <color rgb="FF63BE7B"/>
      </colorScale>
    </cfRule>
  </conditionalFormatting>
  <conditionalFormatting sqref="E2071:E2072">
    <cfRule type="colorScale" priority="1430">
      <colorScale>
        <cfvo type="min"/>
        <cfvo type="percentile" val="50"/>
        <cfvo type="max"/>
        <color rgb="FFF8696B"/>
        <color rgb="FFFFEB84"/>
        <color rgb="FF63BE7B"/>
      </colorScale>
    </cfRule>
  </conditionalFormatting>
  <conditionalFormatting sqref="E2076:E2077">
    <cfRule type="colorScale" priority="1435">
      <colorScale>
        <cfvo type="min"/>
        <cfvo type="percentile" val="50"/>
        <cfvo type="max"/>
        <color rgb="FFF8696B"/>
        <color rgb="FFFFEB84"/>
        <color rgb="FF63BE7B"/>
      </colorScale>
    </cfRule>
  </conditionalFormatting>
  <conditionalFormatting sqref="E2081:E2084">
    <cfRule type="colorScale" priority="1440">
      <colorScale>
        <cfvo type="min"/>
        <cfvo type="percentile" val="50"/>
        <cfvo type="max"/>
        <color rgb="FFF8696B"/>
        <color rgb="FFFFEB84"/>
        <color rgb="FF63BE7B"/>
      </colorScale>
    </cfRule>
  </conditionalFormatting>
  <conditionalFormatting sqref="E2660">
    <cfRule type="colorScale" priority="1685">
      <colorScale>
        <cfvo type="min"/>
        <cfvo type="percentile" val="50"/>
        <cfvo type="max"/>
        <color rgb="FFF8696B"/>
        <color rgb="FFFFEB84"/>
        <color rgb="FF63BE7B"/>
      </colorScale>
    </cfRule>
    <cfRule type="notContainsBlanks" dxfId="831" priority="1686">
      <formula>LEN(TRIM(E2660))&gt;0</formula>
    </cfRule>
  </conditionalFormatting>
  <conditionalFormatting sqref="E2668">
    <cfRule type="notContainsBlanks" dxfId="830" priority="1690">
      <formula>LEN(TRIM(E2668))&gt;0</formula>
    </cfRule>
    <cfRule type="colorScale" priority="1689">
      <colorScale>
        <cfvo type="min"/>
        <cfvo type="percentile" val="50"/>
        <cfvo type="max"/>
        <color rgb="FFF8696B"/>
        <color rgb="FFFFEB84"/>
        <color rgb="FF63BE7B"/>
      </colorScale>
    </cfRule>
  </conditionalFormatting>
  <conditionalFormatting sqref="E2672">
    <cfRule type="colorScale" priority="1691">
      <colorScale>
        <cfvo type="min"/>
        <cfvo type="percentile" val="50"/>
        <cfvo type="max"/>
        <color rgb="FFF8696B"/>
        <color rgb="FFFFEB84"/>
        <color rgb="FF63BE7B"/>
      </colorScale>
    </cfRule>
    <cfRule type="notContainsBlanks" dxfId="829" priority="1692">
      <formula>LEN(TRIM(E2672))&gt;0</formula>
    </cfRule>
  </conditionalFormatting>
  <conditionalFormatting sqref="E2676">
    <cfRule type="colorScale" priority="1693">
      <colorScale>
        <cfvo type="min"/>
        <cfvo type="percentile" val="50"/>
        <cfvo type="max"/>
        <color rgb="FFF8696B"/>
        <color rgb="FFFFEB84"/>
        <color rgb="FF63BE7B"/>
      </colorScale>
    </cfRule>
    <cfRule type="notContainsBlanks" dxfId="828" priority="1694">
      <formula>LEN(TRIM(E2676))&gt;0</formula>
    </cfRule>
  </conditionalFormatting>
  <conditionalFormatting sqref="E2680">
    <cfRule type="colorScale" priority="1695">
      <colorScale>
        <cfvo type="min"/>
        <cfvo type="percentile" val="50"/>
        <cfvo type="max"/>
        <color rgb="FFF8696B"/>
        <color rgb="FFFFEB84"/>
        <color rgb="FF63BE7B"/>
      </colorScale>
    </cfRule>
    <cfRule type="notContainsBlanks" dxfId="827" priority="1696">
      <formula>LEN(TRIM(E2680))&gt;0</formula>
    </cfRule>
  </conditionalFormatting>
  <conditionalFormatting sqref="E2684">
    <cfRule type="notContainsBlanks" dxfId="826" priority="1698">
      <formula>LEN(TRIM(E2684))&gt;0</formula>
    </cfRule>
    <cfRule type="colorScale" priority="1697">
      <colorScale>
        <cfvo type="min"/>
        <cfvo type="percentile" val="50"/>
        <cfvo type="max"/>
        <color rgb="FFF8696B"/>
        <color rgb="FFFFEB84"/>
        <color rgb="FF63BE7B"/>
      </colorScale>
    </cfRule>
  </conditionalFormatting>
  <conditionalFormatting sqref="E2688">
    <cfRule type="notContainsBlanks" dxfId="825" priority="1700">
      <formula>LEN(TRIM(E2688))&gt;0</formula>
    </cfRule>
    <cfRule type="colorScale" priority="1699">
      <colorScale>
        <cfvo type="min"/>
        <cfvo type="percentile" val="50"/>
        <cfvo type="max"/>
        <color rgb="FFF8696B"/>
        <color rgb="FFFFEB84"/>
        <color rgb="FF63BE7B"/>
      </colorScale>
    </cfRule>
  </conditionalFormatting>
  <conditionalFormatting sqref="E2692">
    <cfRule type="colorScale" priority="1701">
      <colorScale>
        <cfvo type="min"/>
        <cfvo type="percentile" val="50"/>
        <cfvo type="max"/>
        <color rgb="FFF8696B"/>
        <color rgb="FFFFEB84"/>
        <color rgb="FF63BE7B"/>
      </colorScale>
    </cfRule>
    <cfRule type="notContainsBlanks" dxfId="824" priority="1702">
      <formula>LEN(TRIM(E2692))&gt;0</formula>
    </cfRule>
  </conditionalFormatting>
  <conditionalFormatting sqref="E2696">
    <cfRule type="notContainsBlanks" dxfId="823" priority="1704">
      <formula>LEN(TRIM(E2696))&gt;0</formula>
    </cfRule>
    <cfRule type="colorScale" priority="1703">
      <colorScale>
        <cfvo type="min"/>
        <cfvo type="percentile" val="50"/>
        <cfvo type="max"/>
        <color rgb="FFF8696B"/>
        <color rgb="FFFFEB84"/>
        <color rgb="FF63BE7B"/>
      </colorScale>
    </cfRule>
  </conditionalFormatting>
  <conditionalFormatting sqref="E2700">
    <cfRule type="notContainsBlanks" dxfId="822" priority="1706">
      <formula>LEN(TRIM(E2700))&gt;0</formula>
    </cfRule>
    <cfRule type="colorScale" priority="1705">
      <colorScale>
        <cfvo type="min"/>
        <cfvo type="percentile" val="50"/>
        <cfvo type="max"/>
        <color rgb="FFF8696B"/>
        <color rgb="FFFFEB84"/>
        <color rgb="FF63BE7B"/>
      </colorScale>
    </cfRule>
  </conditionalFormatting>
  <conditionalFormatting sqref="E2704">
    <cfRule type="colorScale" priority="1707">
      <colorScale>
        <cfvo type="min"/>
        <cfvo type="percentile" val="50"/>
        <cfvo type="max"/>
        <color rgb="FFF8696B"/>
        <color rgb="FFFFEB84"/>
        <color rgb="FF63BE7B"/>
      </colorScale>
    </cfRule>
    <cfRule type="notContainsBlanks" dxfId="821" priority="1708">
      <formula>LEN(TRIM(E2704))&gt;0</formula>
    </cfRule>
  </conditionalFormatting>
  <conditionalFormatting sqref="E2708">
    <cfRule type="notContainsBlanks" dxfId="820" priority="1710">
      <formula>LEN(TRIM(E2708))&gt;0</formula>
    </cfRule>
    <cfRule type="colorScale" priority="1709">
      <colorScale>
        <cfvo type="min"/>
        <cfvo type="percentile" val="50"/>
        <cfvo type="max"/>
        <color rgb="FFF8696B"/>
        <color rgb="FFFFEB84"/>
        <color rgb="FF63BE7B"/>
      </colorScale>
    </cfRule>
  </conditionalFormatting>
  <conditionalFormatting sqref="E2712">
    <cfRule type="colorScale" priority="1711">
      <colorScale>
        <cfvo type="min"/>
        <cfvo type="percentile" val="50"/>
        <cfvo type="max"/>
        <color rgb="FFF8696B"/>
        <color rgb="FFFFEB84"/>
        <color rgb="FF63BE7B"/>
      </colorScale>
    </cfRule>
    <cfRule type="notContainsBlanks" dxfId="819" priority="1712">
      <formula>LEN(TRIM(E2712))&gt;0</formula>
    </cfRule>
  </conditionalFormatting>
  <conditionalFormatting sqref="E2794">
    <cfRule type="notContainsBlanks" dxfId="818" priority="1746">
      <formula>LEN(TRIM(E2794))&gt;0</formula>
    </cfRule>
    <cfRule type="colorScale" priority="1745">
      <colorScale>
        <cfvo type="min"/>
        <cfvo type="percentile" val="50"/>
        <cfvo type="max"/>
        <color rgb="FFF8696B"/>
        <color rgb="FFFFEB84"/>
        <color rgb="FF63BE7B"/>
      </colorScale>
    </cfRule>
  </conditionalFormatting>
  <conditionalFormatting sqref="E2802">
    <cfRule type="colorScale" priority="1749">
      <colorScale>
        <cfvo type="min"/>
        <cfvo type="percentile" val="50"/>
        <cfvo type="max"/>
        <color rgb="FFF8696B"/>
        <color rgb="FFFFEB84"/>
        <color rgb="FF63BE7B"/>
      </colorScale>
    </cfRule>
    <cfRule type="notContainsBlanks" dxfId="817" priority="1750">
      <formula>LEN(TRIM(E2802))&gt;0</formula>
    </cfRule>
  </conditionalFormatting>
  <conditionalFormatting sqref="E2806">
    <cfRule type="notContainsBlanks" dxfId="816" priority="1752">
      <formula>LEN(TRIM(E2806))&gt;0</formula>
    </cfRule>
    <cfRule type="colorScale" priority="1751">
      <colorScale>
        <cfvo type="min"/>
        <cfvo type="percentile" val="50"/>
        <cfvo type="max"/>
        <color rgb="FFF8696B"/>
        <color rgb="FFFFEB84"/>
        <color rgb="FF63BE7B"/>
      </colorScale>
    </cfRule>
  </conditionalFormatting>
  <conditionalFormatting sqref="E2810">
    <cfRule type="colorScale" priority="1753">
      <colorScale>
        <cfvo type="min"/>
        <cfvo type="percentile" val="50"/>
        <cfvo type="max"/>
        <color rgb="FFF8696B"/>
        <color rgb="FFFFEB84"/>
        <color rgb="FF63BE7B"/>
      </colorScale>
    </cfRule>
    <cfRule type="notContainsBlanks" dxfId="815" priority="1754">
      <formula>LEN(TRIM(E2810))&gt;0</formula>
    </cfRule>
  </conditionalFormatting>
  <conditionalFormatting sqref="E2814">
    <cfRule type="notContainsBlanks" dxfId="814" priority="1756">
      <formula>LEN(TRIM(E2814))&gt;0</formula>
    </cfRule>
    <cfRule type="colorScale" priority="1755">
      <colorScale>
        <cfvo type="min"/>
        <cfvo type="percentile" val="50"/>
        <cfvo type="max"/>
        <color rgb="FFF8696B"/>
        <color rgb="FFFFEB84"/>
        <color rgb="FF63BE7B"/>
      </colorScale>
    </cfRule>
  </conditionalFormatting>
  <conditionalFormatting sqref="E2818">
    <cfRule type="notContainsBlanks" dxfId="813" priority="1758">
      <formula>LEN(TRIM(E2818))&gt;0</formula>
    </cfRule>
    <cfRule type="colorScale" priority="1757">
      <colorScale>
        <cfvo type="min"/>
        <cfvo type="percentile" val="50"/>
        <cfvo type="max"/>
        <color rgb="FFF8696B"/>
        <color rgb="FFFFEB84"/>
        <color rgb="FF63BE7B"/>
      </colorScale>
    </cfRule>
  </conditionalFormatting>
  <conditionalFormatting sqref="E2822">
    <cfRule type="colorScale" priority="1759">
      <colorScale>
        <cfvo type="min"/>
        <cfvo type="percentile" val="50"/>
        <cfvo type="max"/>
        <color rgb="FFF8696B"/>
        <color rgb="FFFFEB84"/>
        <color rgb="FF63BE7B"/>
      </colorScale>
    </cfRule>
    <cfRule type="notContainsBlanks" dxfId="812" priority="1760">
      <formula>LEN(TRIM(E2822))&gt;0</formula>
    </cfRule>
  </conditionalFormatting>
  <conditionalFormatting sqref="E2826">
    <cfRule type="notContainsBlanks" dxfId="811" priority="1762">
      <formula>LEN(TRIM(E2826))&gt;0</formula>
    </cfRule>
    <cfRule type="colorScale" priority="1761">
      <colorScale>
        <cfvo type="min"/>
        <cfvo type="percentile" val="50"/>
        <cfvo type="max"/>
        <color rgb="FFF8696B"/>
        <color rgb="FFFFEB84"/>
        <color rgb="FF63BE7B"/>
      </colorScale>
    </cfRule>
  </conditionalFormatting>
  <conditionalFormatting sqref="E2830">
    <cfRule type="colorScale" priority="1763">
      <colorScale>
        <cfvo type="min"/>
        <cfvo type="percentile" val="50"/>
        <cfvo type="max"/>
        <color rgb="FFF8696B"/>
        <color rgb="FFFFEB84"/>
        <color rgb="FF63BE7B"/>
      </colorScale>
    </cfRule>
    <cfRule type="notContainsBlanks" dxfId="810" priority="1764">
      <formula>LEN(TRIM(E2830))&gt;0</formula>
    </cfRule>
  </conditionalFormatting>
  <conditionalFormatting sqref="E2834">
    <cfRule type="notContainsBlanks" dxfId="809" priority="1766">
      <formula>LEN(TRIM(E2834))&gt;0</formula>
    </cfRule>
    <cfRule type="colorScale" priority="1765">
      <colorScale>
        <cfvo type="min"/>
        <cfvo type="percentile" val="50"/>
        <cfvo type="max"/>
        <color rgb="FFF8696B"/>
        <color rgb="FFFFEB84"/>
        <color rgb="FF63BE7B"/>
      </colorScale>
    </cfRule>
  </conditionalFormatting>
  <conditionalFormatting sqref="E2838">
    <cfRule type="colorScale" priority="1767">
      <colorScale>
        <cfvo type="min"/>
        <cfvo type="percentile" val="50"/>
        <cfvo type="max"/>
        <color rgb="FFF8696B"/>
        <color rgb="FFFFEB84"/>
        <color rgb="FF63BE7B"/>
      </colorScale>
    </cfRule>
    <cfRule type="notContainsBlanks" dxfId="808" priority="1768">
      <formula>LEN(TRIM(E2838))&gt;0</formula>
    </cfRule>
  </conditionalFormatting>
  <conditionalFormatting sqref="E2842">
    <cfRule type="notContainsBlanks" dxfId="807" priority="1770">
      <formula>LEN(TRIM(E2842))&gt;0</formula>
    </cfRule>
    <cfRule type="colorScale" priority="1769">
      <colorScale>
        <cfvo type="min"/>
        <cfvo type="percentile" val="50"/>
        <cfvo type="max"/>
        <color rgb="FFF8696B"/>
        <color rgb="FFFFEB84"/>
        <color rgb="FF63BE7B"/>
      </colorScale>
    </cfRule>
  </conditionalFormatting>
  <conditionalFormatting sqref="E2846">
    <cfRule type="colorScale" priority="1771">
      <colorScale>
        <cfvo type="min"/>
        <cfvo type="percentile" val="50"/>
        <cfvo type="max"/>
        <color rgb="FFF8696B"/>
        <color rgb="FFFFEB84"/>
        <color rgb="FF63BE7B"/>
      </colorScale>
    </cfRule>
    <cfRule type="notContainsBlanks" dxfId="806" priority="1772">
      <formula>LEN(TRIM(E2846))&gt;0</formula>
    </cfRule>
  </conditionalFormatting>
  <conditionalFormatting sqref="E4179">
    <cfRule type="colorScale" priority="2345">
      <colorScale>
        <cfvo type="min"/>
        <cfvo type="percentile" val="50"/>
        <cfvo type="max"/>
        <color rgb="FFF8696B"/>
        <color rgb="FFFFEB84"/>
        <color rgb="FF63BE7B"/>
      </colorScale>
    </cfRule>
    <cfRule type="notContainsBlanks" dxfId="805" priority="2346">
      <formula>LEN(TRIM(E4179))&gt;0</formula>
    </cfRule>
  </conditionalFormatting>
  <conditionalFormatting sqref="E4187">
    <cfRule type="notContainsBlanks" dxfId="804" priority="2350">
      <formula>LEN(TRIM(E4187))&gt;0</formula>
    </cfRule>
    <cfRule type="colorScale" priority="2349">
      <colorScale>
        <cfvo type="min"/>
        <cfvo type="percentile" val="50"/>
        <cfvo type="max"/>
        <color rgb="FFF8696B"/>
        <color rgb="FFFFEB84"/>
        <color rgb="FF63BE7B"/>
      </colorScale>
    </cfRule>
  </conditionalFormatting>
  <conditionalFormatting sqref="E4191">
    <cfRule type="notContainsBlanks" dxfId="803" priority="2352">
      <formula>LEN(TRIM(E4191))&gt;0</formula>
    </cfRule>
    <cfRule type="colorScale" priority="2351">
      <colorScale>
        <cfvo type="min"/>
        <cfvo type="percentile" val="50"/>
        <cfvo type="max"/>
        <color rgb="FFF8696B"/>
        <color rgb="FFFFEB84"/>
        <color rgb="FF63BE7B"/>
      </colorScale>
    </cfRule>
  </conditionalFormatting>
  <conditionalFormatting sqref="E4195">
    <cfRule type="notContainsBlanks" dxfId="802" priority="2354">
      <formula>LEN(TRIM(E4195))&gt;0</formula>
    </cfRule>
    <cfRule type="colorScale" priority="2353">
      <colorScale>
        <cfvo type="min"/>
        <cfvo type="percentile" val="50"/>
        <cfvo type="max"/>
        <color rgb="FFF8696B"/>
        <color rgb="FFFFEB84"/>
        <color rgb="FF63BE7B"/>
      </colorScale>
    </cfRule>
  </conditionalFormatting>
  <conditionalFormatting sqref="E4199">
    <cfRule type="notContainsBlanks" dxfId="801" priority="2356">
      <formula>LEN(TRIM(E4199))&gt;0</formula>
    </cfRule>
    <cfRule type="colorScale" priority="2355">
      <colorScale>
        <cfvo type="min"/>
        <cfvo type="percentile" val="50"/>
        <cfvo type="max"/>
        <color rgb="FFF8696B"/>
        <color rgb="FFFFEB84"/>
        <color rgb="FF63BE7B"/>
      </colorScale>
    </cfRule>
  </conditionalFormatting>
  <conditionalFormatting sqref="E4203">
    <cfRule type="colorScale" priority="2357">
      <colorScale>
        <cfvo type="min"/>
        <cfvo type="percentile" val="50"/>
        <cfvo type="max"/>
        <color rgb="FFF8696B"/>
        <color rgb="FFFFEB84"/>
        <color rgb="FF63BE7B"/>
      </colorScale>
    </cfRule>
    <cfRule type="notContainsBlanks" dxfId="800" priority="2358">
      <formula>LEN(TRIM(E4203))&gt;0</formula>
    </cfRule>
  </conditionalFormatting>
  <conditionalFormatting sqref="E4207">
    <cfRule type="notContainsBlanks" dxfId="799" priority="2360">
      <formula>LEN(TRIM(E4207))&gt;0</formula>
    </cfRule>
    <cfRule type="colorScale" priority="2359">
      <colorScale>
        <cfvo type="min"/>
        <cfvo type="percentile" val="50"/>
        <cfvo type="max"/>
        <color rgb="FFF8696B"/>
        <color rgb="FFFFEB84"/>
        <color rgb="FF63BE7B"/>
      </colorScale>
    </cfRule>
  </conditionalFormatting>
  <conditionalFormatting sqref="E4211">
    <cfRule type="colorScale" priority="2361">
      <colorScale>
        <cfvo type="min"/>
        <cfvo type="percentile" val="50"/>
        <cfvo type="max"/>
        <color rgb="FFF8696B"/>
        <color rgb="FFFFEB84"/>
        <color rgb="FF63BE7B"/>
      </colorScale>
    </cfRule>
    <cfRule type="notContainsBlanks" dxfId="798" priority="2362">
      <formula>LEN(TRIM(E4211))&gt;0</formula>
    </cfRule>
  </conditionalFormatting>
  <conditionalFormatting sqref="E4215">
    <cfRule type="notContainsBlanks" dxfId="797" priority="2364">
      <formula>LEN(TRIM(E4215))&gt;0</formula>
    </cfRule>
    <cfRule type="colorScale" priority="2363">
      <colorScale>
        <cfvo type="min"/>
        <cfvo type="percentile" val="50"/>
        <cfvo type="max"/>
        <color rgb="FFF8696B"/>
        <color rgb="FFFFEB84"/>
        <color rgb="FF63BE7B"/>
      </colorScale>
    </cfRule>
  </conditionalFormatting>
  <conditionalFormatting sqref="E4219">
    <cfRule type="notContainsBlanks" dxfId="796" priority="2366">
      <formula>LEN(TRIM(E4219))&gt;0</formula>
    </cfRule>
    <cfRule type="colorScale" priority="2365">
      <colorScale>
        <cfvo type="min"/>
        <cfvo type="percentile" val="50"/>
        <cfvo type="max"/>
        <color rgb="FFF8696B"/>
        <color rgb="FFFFEB84"/>
        <color rgb="FF63BE7B"/>
      </colorScale>
    </cfRule>
  </conditionalFormatting>
  <conditionalFormatting sqref="E4223">
    <cfRule type="colorScale" priority="2367">
      <colorScale>
        <cfvo type="min"/>
        <cfvo type="percentile" val="50"/>
        <cfvo type="max"/>
        <color rgb="FFF8696B"/>
        <color rgb="FFFFEB84"/>
        <color rgb="FF63BE7B"/>
      </colorScale>
    </cfRule>
    <cfRule type="notContainsBlanks" dxfId="795" priority="2368">
      <formula>LEN(TRIM(E4223))&gt;0</formula>
    </cfRule>
  </conditionalFormatting>
  <conditionalFormatting sqref="E4227">
    <cfRule type="notContainsBlanks" dxfId="794" priority="2370">
      <formula>LEN(TRIM(E4227))&gt;0</formula>
    </cfRule>
    <cfRule type="colorScale" priority="2369">
      <colorScale>
        <cfvo type="min"/>
        <cfvo type="percentile" val="50"/>
        <cfvo type="max"/>
        <color rgb="FFF8696B"/>
        <color rgb="FFFFEB84"/>
        <color rgb="FF63BE7B"/>
      </colorScale>
    </cfRule>
  </conditionalFormatting>
  <conditionalFormatting sqref="E4231">
    <cfRule type="colorScale" priority="2371">
      <colorScale>
        <cfvo type="min"/>
        <cfvo type="percentile" val="50"/>
        <cfvo type="max"/>
        <color rgb="FFF8696B"/>
        <color rgb="FFFFEB84"/>
        <color rgb="FF63BE7B"/>
      </colorScale>
    </cfRule>
    <cfRule type="notContainsBlanks" dxfId="793" priority="2372">
      <formula>LEN(TRIM(E4231))&gt;0</formula>
    </cfRule>
  </conditionalFormatting>
  <conditionalFormatting sqref="E4868">
    <cfRule type="colorScale" priority="2646">
      <colorScale>
        <cfvo type="min"/>
        <cfvo type="percentile" val="50"/>
        <cfvo type="max"/>
        <color rgb="FFF8696B"/>
        <color rgb="FFFFEB84"/>
        <color rgb="FF63BE7B"/>
      </colorScale>
    </cfRule>
  </conditionalFormatting>
  <conditionalFormatting sqref="E4872:E4873">
    <cfRule type="colorScale" priority="2650">
      <colorScale>
        <cfvo type="min"/>
        <cfvo type="percentile" val="50"/>
        <cfvo type="max"/>
        <color rgb="FFF8696B"/>
        <color rgb="FFFFEB84"/>
        <color rgb="FF63BE7B"/>
      </colorScale>
    </cfRule>
  </conditionalFormatting>
  <conditionalFormatting sqref="E4881">
    <cfRule type="colorScale" priority="2660">
      <colorScale>
        <cfvo type="min"/>
        <cfvo type="percentile" val="50"/>
        <cfvo type="max"/>
        <color rgb="FFF8696B"/>
        <color rgb="FFFFEB84"/>
        <color rgb="FF63BE7B"/>
      </colorScale>
    </cfRule>
  </conditionalFormatting>
  <conditionalFormatting sqref="E4885">
    <cfRule type="colorScale" priority="2665">
      <colorScale>
        <cfvo type="min"/>
        <cfvo type="percentile" val="50"/>
        <cfvo type="max"/>
        <color rgb="FFF8696B"/>
        <color rgb="FFFFEB84"/>
        <color rgb="FF63BE7B"/>
      </colorScale>
    </cfRule>
  </conditionalFormatting>
  <conditionalFormatting sqref="E4889:E4890">
    <cfRule type="colorScale" priority="2670">
      <colorScale>
        <cfvo type="min"/>
        <cfvo type="percentile" val="50"/>
        <cfvo type="max"/>
        <color rgb="FFF8696B"/>
        <color rgb="FFFFEB84"/>
        <color rgb="FF63BE7B"/>
      </colorScale>
    </cfRule>
  </conditionalFormatting>
  <conditionalFormatting sqref="E4894:E4895">
    <cfRule type="colorScale" priority="2675">
      <colorScale>
        <cfvo type="min"/>
        <cfvo type="percentile" val="50"/>
        <cfvo type="max"/>
        <color rgb="FFF8696B"/>
        <color rgb="FFFFEB84"/>
        <color rgb="FF63BE7B"/>
      </colorScale>
    </cfRule>
  </conditionalFormatting>
  <conditionalFormatting sqref="E4899:E4900">
    <cfRule type="colorScale" priority="2680">
      <colorScale>
        <cfvo type="min"/>
        <cfvo type="percentile" val="50"/>
        <cfvo type="max"/>
        <color rgb="FFF8696B"/>
        <color rgb="FFFFEB84"/>
        <color rgb="FF63BE7B"/>
      </colorScale>
    </cfRule>
  </conditionalFormatting>
  <conditionalFormatting sqref="E4904:E4905">
    <cfRule type="colorScale" priority="2685">
      <colorScale>
        <cfvo type="min"/>
        <cfvo type="percentile" val="50"/>
        <cfvo type="max"/>
        <color rgb="FFF8696B"/>
        <color rgb="FFFFEB84"/>
        <color rgb="FF63BE7B"/>
      </colorScale>
    </cfRule>
  </conditionalFormatting>
  <conditionalFormatting sqref="E4909:E4910">
    <cfRule type="colorScale" priority="2690">
      <colorScale>
        <cfvo type="min"/>
        <cfvo type="percentile" val="50"/>
        <cfvo type="max"/>
        <color rgb="FFF8696B"/>
        <color rgb="FFFFEB84"/>
        <color rgb="FF63BE7B"/>
      </colorScale>
    </cfRule>
  </conditionalFormatting>
  <conditionalFormatting sqref="E4914:E4915">
    <cfRule type="colorScale" priority="2695">
      <colorScale>
        <cfvo type="min"/>
        <cfvo type="percentile" val="50"/>
        <cfvo type="max"/>
        <color rgb="FFF8696B"/>
        <color rgb="FFFFEB84"/>
        <color rgb="FF63BE7B"/>
      </colorScale>
    </cfRule>
  </conditionalFormatting>
  <conditionalFormatting sqref="E4919">
    <cfRule type="colorScale" priority="2700">
      <colorScale>
        <cfvo type="min"/>
        <cfvo type="percentile" val="50"/>
        <cfvo type="max"/>
        <color rgb="FFF8696B"/>
        <color rgb="FFFFEB84"/>
        <color rgb="FF63BE7B"/>
      </colorScale>
    </cfRule>
  </conditionalFormatting>
  <conditionalFormatting sqref="E4923:E4924">
    <cfRule type="colorScale" priority="2705">
      <colorScale>
        <cfvo type="min"/>
        <cfvo type="percentile" val="50"/>
        <cfvo type="max"/>
        <color rgb="FFF8696B"/>
        <color rgb="FFFFEB84"/>
        <color rgb="FF63BE7B"/>
      </colorScale>
    </cfRule>
  </conditionalFormatting>
  <conditionalFormatting sqref="E4928:E4929">
    <cfRule type="colorScale" priority="2710">
      <colorScale>
        <cfvo type="min"/>
        <cfvo type="percentile" val="50"/>
        <cfvo type="max"/>
        <color rgb="FFF8696B"/>
        <color rgb="FFFFEB84"/>
        <color rgb="FF63BE7B"/>
      </colorScale>
    </cfRule>
  </conditionalFormatting>
  <conditionalFormatting sqref="E4933:E4936">
    <cfRule type="colorScale" priority="2715">
      <colorScale>
        <cfvo type="min"/>
        <cfvo type="percentile" val="50"/>
        <cfvo type="max"/>
        <color rgb="FFF8696B"/>
        <color rgb="FFFFEB84"/>
        <color rgb="FF63BE7B"/>
      </colorScale>
    </cfRule>
  </conditionalFormatting>
  <conditionalFormatting sqref="E4940">
    <cfRule type="colorScale" priority="2721">
      <colorScale>
        <cfvo type="min"/>
        <cfvo type="percentile" val="50"/>
        <cfvo type="max"/>
        <color rgb="FFF8696B"/>
        <color rgb="FFFFEB84"/>
        <color rgb="FF63BE7B"/>
      </colorScale>
    </cfRule>
  </conditionalFormatting>
  <conditionalFormatting sqref="E4944:E4945">
    <cfRule type="colorScale" priority="2725">
      <colorScale>
        <cfvo type="min"/>
        <cfvo type="percentile" val="50"/>
        <cfvo type="max"/>
        <color rgb="FFF8696B"/>
        <color rgb="FFFFEB84"/>
        <color rgb="FF63BE7B"/>
      </colorScale>
    </cfRule>
  </conditionalFormatting>
  <conditionalFormatting sqref="E4953:E4954">
    <cfRule type="colorScale" priority="2735">
      <colorScale>
        <cfvo type="min"/>
        <cfvo type="percentile" val="50"/>
        <cfvo type="max"/>
        <color rgb="FFF8696B"/>
        <color rgb="FFFFEB84"/>
        <color rgb="FF63BE7B"/>
      </colorScale>
    </cfRule>
  </conditionalFormatting>
  <conditionalFormatting sqref="E4958">
    <cfRule type="colorScale" priority="2740">
      <colorScale>
        <cfvo type="min"/>
        <cfvo type="percentile" val="50"/>
        <cfvo type="max"/>
        <color rgb="FFF8696B"/>
        <color rgb="FFFFEB84"/>
        <color rgb="FF63BE7B"/>
      </colorScale>
    </cfRule>
  </conditionalFormatting>
  <conditionalFormatting sqref="E4962:E4963">
    <cfRule type="colorScale" priority="2745">
      <colorScale>
        <cfvo type="min"/>
        <cfvo type="percentile" val="50"/>
        <cfvo type="max"/>
        <color rgb="FFF8696B"/>
        <color rgb="FFFFEB84"/>
        <color rgb="FF63BE7B"/>
      </colorScale>
    </cfRule>
  </conditionalFormatting>
  <conditionalFormatting sqref="E4967:E4968">
    <cfRule type="colorScale" priority="2750">
      <colorScale>
        <cfvo type="min"/>
        <cfvo type="percentile" val="50"/>
        <cfvo type="max"/>
        <color rgb="FFF8696B"/>
        <color rgb="FFFFEB84"/>
        <color rgb="FF63BE7B"/>
      </colorScale>
    </cfRule>
  </conditionalFormatting>
  <conditionalFormatting sqref="E4972:E4973">
    <cfRule type="colorScale" priority="2755">
      <colorScale>
        <cfvo type="min"/>
        <cfvo type="percentile" val="50"/>
        <cfvo type="max"/>
        <color rgb="FFF8696B"/>
        <color rgb="FFFFEB84"/>
        <color rgb="FF63BE7B"/>
      </colorScale>
    </cfRule>
  </conditionalFormatting>
  <conditionalFormatting sqref="E4977:E4978">
    <cfRule type="colorScale" priority="2760">
      <colorScale>
        <cfvo type="min"/>
        <cfvo type="percentile" val="50"/>
        <cfvo type="max"/>
        <color rgb="FFF8696B"/>
        <color rgb="FFFFEB84"/>
        <color rgb="FF63BE7B"/>
      </colorScale>
    </cfRule>
  </conditionalFormatting>
  <conditionalFormatting sqref="E4982:E4983">
    <cfRule type="colorScale" priority="2765">
      <colorScale>
        <cfvo type="min"/>
        <cfvo type="percentile" val="50"/>
        <cfvo type="max"/>
        <color rgb="FFF8696B"/>
        <color rgb="FFFFEB84"/>
        <color rgb="FF63BE7B"/>
      </colorScale>
    </cfRule>
  </conditionalFormatting>
  <conditionalFormatting sqref="E4987:E4988">
    <cfRule type="colorScale" priority="2770">
      <colorScale>
        <cfvo type="min"/>
        <cfvo type="percentile" val="50"/>
        <cfvo type="max"/>
        <color rgb="FFF8696B"/>
        <color rgb="FFFFEB84"/>
        <color rgb="FF63BE7B"/>
      </colorScale>
    </cfRule>
  </conditionalFormatting>
  <conditionalFormatting sqref="E4992">
    <cfRule type="colorScale" priority="2775">
      <colorScale>
        <cfvo type="min"/>
        <cfvo type="percentile" val="50"/>
        <cfvo type="max"/>
        <color rgb="FFF8696B"/>
        <color rgb="FFFFEB84"/>
        <color rgb="FF63BE7B"/>
      </colorScale>
    </cfRule>
  </conditionalFormatting>
  <conditionalFormatting sqref="E4996:E4997">
    <cfRule type="colorScale" priority="2780">
      <colorScale>
        <cfvo type="min"/>
        <cfvo type="percentile" val="50"/>
        <cfvo type="max"/>
        <color rgb="FFF8696B"/>
        <color rgb="FFFFEB84"/>
        <color rgb="FF63BE7B"/>
      </colorScale>
    </cfRule>
  </conditionalFormatting>
  <conditionalFormatting sqref="E5001:E5002">
    <cfRule type="colorScale" priority="2785">
      <colorScale>
        <cfvo type="min"/>
        <cfvo type="percentile" val="50"/>
        <cfvo type="max"/>
        <color rgb="FFF8696B"/>
        <color rgb="FFFFEB84"/>
        <color rgb="FF63BE7B"/>
      </colorScale>
    </cfRule>
  </conditionalFormatting>
  <conditionalFormatting sqref="E5006:E5009">
    <cfRule type="colorScale" priority="2790">
      <colorScale>
        <cfvo type="min"/>
        <cfvo type="percentile" val="50"/>
        <cfvo type="max"/>
        <color rgb="FFF8696B"/>
        <color rgb="FFFFEB84"/>
        <color rgb="FF63BE7B"/>
      </colorScale>
    </cfRule>
  </conditionalFormatting>
  <conditionalFormatting sqref="E5013">
    <cfRule type="colorScale" priority="2796">
      <colorScale>
        <cfvo type="min"/>
        <cfvo type="percentile" val="50"/>
        <cfvo type="max"/>
        <color rgb="FFF8696B"/>
        <color rgb="FFFFEB84"/>
        <color rgb="FF63BE7B"/>
      </colorScale>
    </cfRule>
  </conditionalFormatting>
  <conditionalFormatting sqref="E5017">
    <cfRule type="colorScale" priority="2800">
      <colorScale>
        <cfvo type="min"/>
        <cfvo type="percentile" val="50"/>
        <cfvo type="max"/>
        <color rgb="FFF8696B"/>
        <color rgb="FFFFEB84"/>
        <color rgb="FF63BE7B"/>
      </colorScale>
    </cfRule>
  </conditionalFormatting>
  <conditionalFormatting sqref="E5025">
    <cfRule type="colorScale" priority="2810">
      <colorScale>
        <cfvo type="min"/>
        <cfvo type="percentile" val="50"/>
        <cfvo type="max"/>
        <color rgb="FFF8696B"/>
        <color rgb="FFFFEB84"/>
        <color rgb="FF63BE7B"/>
      </colorScale>
    </cfRule>
  </conditionalFormatting>
  <conditionalFormatting sqref="E5029">
    <cfRule type="colorScale" priority="2815">
      <colorScale>
        <cfvo type="min"/>
        <cfvo type="percentile" val="50"/>
        <cfvo type="max"/>
        <color rgb="FFF8696B"/>
        <color rgb="FFFFEB84"/>
        <color rgb="FF63BE7B"/>
      </colorScale>
    </cfRule>
  </conditionalFormatting>
  <conditionalFormatting sqref="E5033:E5034">
    <cfRule type="colorScale" priority="2820">
      <colorScale>
        <cfvo type="min"/>
        <cfvo type="percentile" val="50"/>
        <cfvo type="max"/>
        <color rgb="FFF8696B"/>
        <color rgb="FFFFEB84"/>
        <color rgb="FF63BE7B"/>
      </colorScale>
    </cfRule>
  </conditionalFormatting>
  <conditionalFormatting sqref="E5038:E5039">
    <cfRule type="colorScale" priority="2825">
      <colorScale>
        <cfvo type="min"/>
        <cfvo type="percentile" val="50"/>
        <cfvo type="max"/>
        <color rgb="FFF8696B"/>
        <color rgb="FFFFEB84"/>
        <color rgb="FF63BE7B"/>
      </colorScale>
    </cfRule>
  </conditionalFormatting>
  <conditionalFormatting sqref="E5043:E5044">
    <cfRule type="colorScale" priority="2830">
      <colorScale>
        <cfvo type="min"/>
        <cfvo type="percentile" val="50"/>
        <cfvo type="max"/>
        <color rgb="FFF8696B"/>
        <color rgb="FFFFEB84"/>
        <color rgb="FF63BE7B"/>
      </colorScale>
    </cfRule>
  </conditionalFormatting>
  <conditionalFormatting sqref="E5048:E5049">
    <cfRule type="colorScale" priority="2835">
      <colorScale>
        <cfvo type="min"/>
        <cfvo type="percentile" val="50"/>
        <cfvo type="max"/>
        <color rgb="FFF8696B"/>
        <color rgb="FFFFEB84"/>
        <color rgb="FF63BE7B"/>
      </colorScale>
    </cfRule>
  </conditionalFormatting>
  <conditionalFormatting sqref="E5053:E5054">
    <cfRule type="colorScale" priority="2840">
      <colorScale>
        <cfvo type="min"/>
        <cfvo type="percentile" val="50"/>
        <cfvo type="max"/>
        <color rgb="FFF8696B"/>
        <color rgb="FFFFEB84"/>
        <color rgb="FF63BE7B"/>
      </colorScale>
    </cfRule>
  </conditionalFormatting>
  <conditionalFormatting sqref="E5058:E5059">
    <cfRule type="colorScale" priority="2845">
      <colorScale>
        <cfvo type="min"/>
        <cfvo type="percentile" val="50"/>
        <cfvo type="max"/>
        <color rgb="FFF8696B"/>
        <color rgb="FFFFEB84"/>
        <color rgb="FF63BE7B"/>
      </colorScale>
    </cfRule>
  </conditionalFormatting>
  <conditionalFormatting sqref="E5063">
    <cfRule type="colorScale" priority="2850">
      <colorScale>
        <cfvo type="min"/>
        <cfvo type="percentile" val="50"/>
        <cfvo type="max"/>
        <color rgb="FFF8696B"/>
        <color rgb="FFFFEB84"/>
        <color rgb="FF63BE7B"/>
      </colorScale>
    </cfRule>
  </conditionalFormatting>
  <conditionalFormatting sqref="E5067:E5068">
    <cfRule type="colorScale" priority="2855">
      <colorScale>
        <cfvo type="min"/>
        <cfvo type="percentile" val="50"/>
        <cfvo type="max"/>
        <color rgb="FFF8696B"/>
        <color rgb="FFFFEB84"/>
        <color rgb="FF63BE7B"/>
      </colorScale>
    </cfRule>
  </conditionalFormatting>
  <conditionalFormatting sqref="E5072:E5073">
    <cfRule type="colorScale" priority="2860">
      <colorScale>
        <cfvo type="min"/>
        <cfvo type="percentile" val="50"/>
        <cfvo type="max"/>
        <color rgb="FFF8696B"/>
        <color rgb="FFFFEB84"/>
        <color rgb="FF63BE7B"/>
      </colorScale>
    </cfRule>
  </conditionalFormatting>
  <conditionalFormatting sqref="E5077:E5080">
    <cfRule type="colorScale" priority="2865">
      <colorScale>
        <cfvo type="min"/>
        <cfvo type="percentile" val="50"/>
        <cfvo type="max"/>
        <color rgb="FFF8696B"/>
        <color rgb="FFFFEB84"/>
        <color rgb="FF63BE7B"/>
      </colorScale>
    </cfRule>
  </conditionalFormatting>
  <conditionalFormatting sqref="E5084">
    <cfRule type="colorScale" priority="2871">
      <colorScale>
        <cfvo type="min"/>
        <cfvo type="percentile" val="50"/>
        <cfvo type="max"/>
        <color rgb="FFF8696B"/>
        <color rgb="FFFFEB84"/>
        <color rgb="FF63BE7B"/>
      </colorScale>
    </cfRule>
  </conditionalFormatting>
  <conditionalFormatting sqref="E5088:E5089">
    <cfRule type="colorScale" priority="2875">
      <colorScale>
        <cfvo type="min"/>
        <cfvo type="percentile" val="50"/>
        <cfvo type="max"/>
        <color rgb="FFF8696B"/>
        <color rgb="FFFFEB84"/>
        <color rgb="FF63BE7B"/>
      </colorScale>
    </cfRule>
  </conditionalFormatting>
  <conditionalFormatting sqref="E5097">
    <cfRule type="colorScale" priority="2885">
      <colorScale>
        <cfvo type="min"/>
        <cfvo type="percentile" val="50"/>
        <cfvo type="max"/>
        <color rgb="FFF8696B"/>
        <color rgb="FFFFEB84"/>
        <color rgb="FF63BE7B"/>
      </colorScale>
    </cfRule>
  </conditionalFormatting>
  <conditionalFormatting sqref="E5101">
    <cfRule type="colorScale" priority="2890">
      <colorScale>
        <cfvo type="min"/>
        <cfvo type="percentile" val="50"/>
        <cfvo type="max"/>
        <color rgb="FFF8696B"/>
        <color rgb="FFFFEB84"/>
        <color rgb="FF63BE7B"/>
      </colorScale>
    </cfRule>
  </conditionalFormatting>
  <conditionalFormatting sqref="E5105:E5106">
    <cfRule type="colorScale" priority="2895">
      <colorScale>
        <cfvo type="min"/>
        <cfvo type="percentile" val="50"/>
        <cfvo type="max"/>
        <color rgb="FFF8696B"/>
        <color rgb="FFFFEB84"/>
        <color rgb="FF63BE7B"/>
      </colorScale>
    </cfRule>
  </conditionalFormatting>
  <conditionalFormatting sqref="E5110:E5111">
    <cfRule type="colorScale" priority="2900">
      <colorScale>
        <cfvo type="min"/>
        <cfvo type="percentile" val="50"/>
        <cfvo type="max"/>
        <color rgb="FFF8696B"/>
        <color rgb="FFFFEB84"/>
        <color rgb="FF63BE7B"/>
      </colorScale>
    </cfRule>
  </conditionalFormatting>
  <conditionalFormatting sqref="E5115:E5116">
    <cfRule type="colorScale" priority="2905">
      <colorScale>
        <cfvo type="min"/>
        <cfvo type="percentile" val="50"/>
        <cfvo type="max"/>
        <color rgb="FFF8696B"/>
        <color rgb="FFFFEB84"/>
        <color rgb="FF63BE7B"/>
      </colorScale>
    </cfRule>
  </conditionalFormatting>
  <conditionalFormatting sqref="E5120:E5121">
    <cfRule type="colorScale" priority="2910">
      <colorScale>
        <cfvo type="min"/>
        <cfvo type="percentile" val="50"/>
        <cfvo type="max"/>
        <color rgb="FFF8696B"/>
        <color rgb="FFFFEB84"/>
        <color rgb="FF63BE7B"/>
      </colorScale>
    </cfRule>
  </conditionalFormatting>
  <conditionalFormatting sqref="E5125:E5126">
    <cfRule type="colorScale" priority="2915">
      <colorScale>
        <cfvo type="min"/>
        <cfvo type="percentile" val="50"/>
        <cfvo type="max"/>
        <color rgb="FFF8696B"/>
        <color rgb="FFFFEB84"/>
        <color rgb="FF63BE7B"/>
      </colorScale>
    </cfRule>
  </conditionalFormatting>
  <conditionalFormatting sqref="E5130:E5131">
    <cfRule type="colorScale" priority="2920">
      <colorScale>
        <cfvo type="min"/>
        <cfvo type="percentile" val="50"/>
        <cfvo type="max"/>
        <color rgb="FFF8696B"/>
        <color rgb="FFFFEB84"/>
        <color rgb="FF63BE7B"/>
      </colorScale>
    </cfRule>
  </conditionalFormatting>
  <conditionalFormatting sqref="E5135">
    <cfRule type="colorScale" priority="2925">
      <colorScale>
        <cfvo type="min"/>
        <cfvo type="percentile" val="50"/>
        <cfvo type="max"/>
        <color rgb="FFF8696B"/>
        <color rgb="FFFFEB84"/>
        <color rgb="FF63BE7B"/>
      </colorScale>
    </cfRule>
  </conditionalFormatting>
  <conditionalFormatting sqref="E5139:E5140">
    <cfRule type="colorScale" priority="2930">
      <colorScale>
        <cfvo type="min"/>
        <cfvo type="percentile" val="50"/>
        <cfvo type="max"/>
        <color rgb="FFF8696B"/>
        <color rgb="FFFFEB84"/>
        <color rgb="FF63BE7B"/>
      </colorScale>
    </cfRule>
  </conditionalFormatting>
  <conditionalFormatting sqref="E5144:E5145">
    <cfRule type="colorScale" priority="2935">
      <colorScale>
        <cfvo type="min"/>
        <cfvo type="percentile" val="50"/>
        <cfvo type="max"/>
        <color rgb="FFF8696B"/>
        <color rgb="FFFFEB84"/>
        <color rgb="FF63BE7B"/>
      </colorScale>
    </cfRule>
  </conditionalFormatting>
  <conditionalFormatting sqref="E5149:E5152">
    <cfRule type="colorScale" priority="2940">
      <colorScale>
        <cfvo type="min"/>
        <cfvo type="percentile" val="50"/>
        <cfvo type="max"/>
        <color rgb="FFF8696B"/>
        <color rgb="FFFFEB84"/>
        <color rgb="FF63BE7B"/>
      </colorScale>
    </cfRule>
  </conditionalFormatting>
  <conditionalFormatting sqref="E5156">
    <cfRule type="colorScale" priority="2946">
      <colorScale>
        <cfvo type="min"/>
        <cfvo type="percentile" val="50"/>
        <cfvo type="max"/>
        <color rgb="FFF8696B"/>
        <color rgb="FFFFEB84"/>
        <color rgb="FF63BE7B"/>
      </colorScale>
    </cfRule>
  </conditionalFormatting>
  <conditionalFormatting sqref="E5160">
    <cfRule type="colorScale" priority="2950">
      <colorScale>
        <cfvo type="min"/>
        <cfvo type="percentile" val="50"/>
        <cfvo type="max"/>
        <color rgb="FFF8696B"/>
        <color rgb="FFFFEB84"/>
        <color rgb="FF63BE7B"/>
      </colorScale>
    </cfRule>
  </conditionalFormatting>
  <conditionalFormatting sqref="E5168:E5169">
    <cfRule type="colorScale" priority="2960">
      <colorScale>
        <cfvo type="min"/>
        <cfvo type="percentile" val="50"/>
        <cfvo type="max"/>
        <color rgb="FFF8696B"/>
        <color rgb="FFFFEB84"/>
        <color rgb="FF63BE7B"/>
      </colorScale>
    </cfRule>
  </conditionalFormatting>
  <conditionalFormatting sqref="E5173">
    <cfRule type="colorScale" priority="2965">
      <colorScale>
        <cfvo type="min"/>
        <cfvo type="percentile" val="50"/>
        <cfvo type="max"/>
        <color rgb="FFF8696B"/>
        <color rgb="FFFFEB84"/>
        <color rgb="FF63BE7B"/>
      </colorScale>
    </cfRule>
  </conditionalFormatting>
  <conditionalFormatting sqref="E5177:E5178">
    <cfRule type="colorScale" priority="2970">
      <colorScale>
        <cfvo type="min"/>
        <cfvo type="percentile" val="50"/>
        <cfvo type="max"/>
        <color rgb="FFF8696B"/>
        <color rgb="FFFFEB84"/>
        <color rgb="FF63BE7B"/>
      </colorScale>
    </cfRule>
  </conditionalFormatting>
  <conditionalFormatting sqref="E5182">
    <cfRule type="colorScale" priority="2975">
      <colorScale>
        <cfvo type="min"/>
        <cfvo type="percentile" val="50"/>
        <cfvo type="max"/>
        <color rgb="FFF8696B"/>
        <color rgb="FFFFEB84"/>
        <color rgb="FF63BE7B"/>
      </colorScale>
    </cfRule>
  </conditionalFormatting>
  <conditionalFormatting sqref="E5186:E5187">
    <cfRule type="colorScale" priority="2980">
      <colorScale>
        <cfvo type="min"/>
        <cfvo type="percentile" val="50"/>
        <cfvo type="max"/>
        <color rgb="FFF8696B"/>
        <color rgb="FFFFEB84"/>
        <color rgb="FF63BE7B"/>
      </colorScale>
    </cfRule>
  </conditionalFormatting>
  <conditionalFormatting sqref="E5191:E5192">
    <cfRule type="colorScale" priority="2985">
      <colorScale>
        <cfvo type="min"/>
        <cfvo type="percentile" val="50"/>
        <cfvo type="max"/>
        <color rgb="FFF8696B"/>
        <color rgb="FFFFEB84"/>
        <color rgb="FF63BE7B"/>
      </colorScale>
    </cfRule>
  </conditionalFormatting>
  <conditionalFormatting sqref="E5196:E5197">
    <cfRule type="colorScale" priority="2990">
      <colorScale>
        <cfvo type="min"/>
        <cfvo type="percentile" val="50"/>
        <cfvo type="max"/>
        <color rgb="FFF8696B"/>
        <color rgb="FFFFEB84"/>
        <color rgb="FF63BE7B"/>
      </colorScale>
    </cfRule>
  </conditionalFormatting>
  <conditionalFormatting sqref="E5201:E5202">
    <cfRule type="colorScale" priority="2995">
      <colorScale>
        <cfvo type="min"/>
        <cfvo type="percentile" val="50"/>
        <cfvo type="max"/>
        <color rgb="FFF8696B"/>
        <color rgb="FFFFEB84"/>
        <color rgb="FF63BE7B"/>
      </colorScale>
    </cfRule>
  </conditionalFormatting>
  <conditionalFormatting sqref="E5206">
    <cfRule type="colorScale" priority="3000">
      <colorScale>
        <cfvo type="min"/>
        <cfvo type="percentile" val="50"/>
        <cfvo type="max"/>
        <color rgb="FFF8696B"/>
        <color rgb="FFFFEB84"/>
        <color rgb="FF63BE7B"/>
      </colorScale>
    </cfRule>
  </conditionalFormatting>
  <conditionalFormatting sqref="E5210:E5211">
    <cfRule type="colorScale" priority="3005">
      <colorScale>
        <cfvo type="min"/>
        <cfvo type="percentile" val="50"/>
        <cfvo type="max"/>
        <color rgb="FFF8696B"/>
        <color rgb="FFFFEB84"/>
        <color rgb="FF63BE7B"/>
      </colorScale>
    </cfRule>
  </conditionalFormatting>
  <conditionalFormatting sqref="E5215:E5216">
    <cfRule type="colorScale" priority="3010">
      <colorScale>
        <cfvo type="min"/>
        <cfvo type="percentile" val="50"/>
        <cfvo type="max"/>
        <color rgb="FFF8696B"/>
        <color rgb="FFFFEB84"/>
        <color rgb="FF63BE7B"/>
      </colorScale>
    </cfRule>
  </conditionalFormatting>
  <conditionalFormatting sqref="E5220:E5223">
    <cfRule type="colorScale" priority="3015">
      <colorScale>
        <cfvo type="min"/>
        <cfvo type="percentile" val="50"/>
        <cfvo type="max"/>
        <color rgb="FFF8696B"/>
        <color rgb="FFFFEB84"/>
        <color rgb="FF63BE7B"/>
      </colorScale>
    </cfRule>
  </conditionalFormatting>
  <conditionalFormatting sqref="E5227">
    <cfRule type="colorScale" priority="3021">
      <colorScale>
        <cfvo type="min"/>
        <cfvo type="percentile" val="50"/>
        <cfvo type="max"/>
        <color rgb="FFF8696B"/>
        <color rgb="FFFFEB84"/>
        <color rgb="FF63BE7B"/>
      </colorScale>
    </cfRule>
  </conditionalFormatting>
  <conditionalFormatting sqref="E5231:E5232">
    <cfRule type="colorScale" priority="3025">
      <colorScale>
        <cfvo type="min"/>
        <cfvo type="percentile" val="50"/>
        <cfvo type="max"/>
        <color rgb="FFF8696B"/>
        <color rgb="FFFFEB84"/>
        <color rgb="FF63BE7B"/>
      </colorScale>
    </cfRule>
  </conditionalFormatting>
  <conditionalFormatting sqref="E5240:E5241">
    <cfRule type="colorScale" priority="3035">
      <colorScale>
        <cfvo type="min"/>
        <cfvo type="percentile" val="50"/>
        <cfvo type="max"/>
        <color rgb="FFF8696B"/>
        <color rgb="FFFFEB84"/>
        <color rgb="FF63BE7B"/>
      </colorScale>
    </cfRule>
  </conditionalFormatting>
  <conditionalFormatting sqref="E5245">
    <cfRule type="colorScale" priority="3040">
      <colorScale>
        <cfvo type="min"/>
        <cfvo type="percentile" val="50"/>
        <cfvo type="max"/>
        <color rgb="FFF8696B"/>
        <color rgb="FFFFEB84"/>
        <color rgb="FF63BE7B"/>
      </colorScale>
    </cfRule>
  </conditionalFormatting>
  <conditionalFormatting sqref="E5249:E5250">
    <cfRule type="colorScale" priority="3045">
      <colorScale>
        <cfvo type="min"/>
        <cfvo type="percentile" val="50"/>
        <cfvo type="max"/>
        <color rgb="FFF8696B"/>
        <color rgb="FFFFEB84"/>
        <color rgb="FF63BE7B"/>
      </colorScale>
    </cfRule>
  </conditionalFormatting>
  <conditionalFormatting sqref="E5254:E5255">
    <cfRule type="colorScale" priority="3050">
      <colorScale>
        <cfvo type="min"/>
        <cfvo type="percentile" val="50"/>
        <cfvo type="max"/>
        <color rgb="FFF8696B"/>
        <color rgb="FFFFEB84"/>
        <color rgb="FF63BE7B"/>
      </colorScale>
    </cfRule>
  </conditionalFormatting>
  <conditionalFormatting sqref="E5259:E5260">
    <cfRule type="colorScale" priority="3055">
      <colorScale>
        <cfvo type="min"/>
        <cfvo type="percentile" val="50"/>
        <cfvo type="max"/>
        <color rgb="FFF8696B"/>
        <color rgb="FFFFEB84"/>
        <color rgb="FF63BE7B"/>
      </colorScale>
    </cfRule>
  </conditionalFormatting>
  <conditionalFormatting sqref="E5264:E5265">
    <cfRule type="colorScale" priority="3060">
      <colorScale>
        <cfvo type="min"/>
        <cfvo type="percentile" val="50"/>
        <cfvo type="max"/>
        <color rgb="FFF8696B"/>
        <color rgb="FFFFEB84"/>
        <color rgb="FF63BE7B"/>
      </colorScale>
    </cfRule>
  </conditionalFormatting>
  <conditionalFormatting sqref="E5269:E5270">
    <cfRule type="colorScale" priority="3065">
      <colorScale>
        <cfvo type="min"/>
        <cfvo type="percentile" val="50"/>
        <cfvo type="max"/>
        <color rgb="FFF8696B"/>
        <color rgb="FFFFEB84"/>
        <color rgb="FF63BE7B"/>
      </colorScale>
    </cfRule>
  </conditionalFormatting>
  <conditionalFormatting sqref="E5274:E5275">
    <cfRule type="colorScale" priority="3070">
      <colorScale>
        <cfvo type="min"/>
        <cfvo type="percentile" val="50"/>
        <cfvo type="max"/>
        <color rgb="FFF8696B"/>
        <color rgb="FFFFEB84"/>
        <color rgb="FF63BE7B"/>
      </colorScale>
    </cfRule>
  </conditionalFormatting>
  <conditionalFormatting sqref="E5279">
    <cfRule type="colorScale" priority="3075">
      <colorScale>
        <cfvo type="min"/>
        <cfvo type="percentile" val="50"/>
        <cfvo type="max"/>
        <color rgb="FFF8696B"/>
        <color rgb="FFFFEB84"/>
        <color rgb="FF63BE7B"/>
      </colorScale>
    </cfRule>
  </conditionalFormatting>
  <conditionalFormatting sqref="E5283:E5284">
    <cfRule type="colorScale" priority="3080">
      <colorScale>
        <cfvo type="min"/>
        <cfvo type="percentile" val="50"/>
        <cfvo type="max"/>
        <color rgb="FFF8696B"/>
        <color rgb="FFFFEB84"/>
        <color rgb="FF63BE7B"/>
      </colorScale>
    </cfRule>
  </conditionalFormatting>
  <conditionalFormatting sqref="E5288:E5289">
    <cfRule type="colorScale" priority="3085">
      <colorScale>
        <cfvo type="min"/>
        <cfvo type="percentile" val="50"/>
        <cfvo type="max"/>
        <color rgb="FFF8696B"/>
        <color rgb="FFFFEB84"/>
        <color rgb="FF63BE7B"/>
      </colorScale>
    </cfRule>
  </conditionalFormatting>
  <conditionalFormatting sqref="E5293:E5296">
    <cfRule type="colorScale" priority="3090">
      <colorScale>
        <cfvo type="min"/>
        <cfvo type="percentile" val="50"/>
        <cfvo type="max"/>
        <color rgb="FFF8696B"/>
        <color rgb="FFFFEB84"/>
        <color rgb="FF63BE7B"/>
      </colorScale>
    </cfRule>
  </conditionalFormatting>
  <conditionalFormatting sqref="E5300">
    <cfRule type="colorScale" priority="3096">
      <colorScale>
        <cfvo type="min"/>
        <cfvo type="percentile" val="50"/>
        <cfvo type="max"/>
        <color rgb="FFF8696B"/>
        <color rgb="FFFFEB84"/>
        <color rgb="FF63BE7B"/>
      </colorScale>
    </cfRule>
  </conditionalFormatting>
  <conditionalFormatting sqref="E5304:E5305">
    <cfRule type="colorScale" priority="3100">
      <colorScale>
        <cfvo type="min"/>
        <cfvo type="percentile" val="50"/>
        <cfvo type="max"/>
        <color rgb="FFF8696B"/>
        <color rgb="FFFFEB84"/>
        <color rgb="FF63BE7B"/>
      </colorScale>
    </cfRule>
  </conditionalFormatting>
  <conditionalFormatting sqref="E5313:E5314">
    <cfRule type="colorScale" priority="3110">
      <colorScale>
        <cfvo type="min"/>
        <cfvo type="percentile" val="50"/>
        <cfvo type="max"/>
        <color rgb="FFF8696B"/>
        <color rgb="FFFFEB84"/>
        <color rgb="FF63BE7B"/>
      </colorScale>
    </cfRule>
  </conditionalFormatting>
  <conditionalFormatting sqref="E5318:E5319">
    <cfRule type="colorScale" priority="3115">
      <colorScale>
        <cfvo type="min"/>
        <cfvo type="percentile" val="50"/>
        <cfvo type="max"/>
        <color rgb="FFF8696B"/>
        <color rgb="FFFFEB84"/>
        <color rgb="FF63BE7B"/>
      </colorScale>
    </cfRule>
  </conditionalFormatting>
  <conditionalFormatting sqref="E5323:E5324">
    <cfRule type="colorScale" priority="3120">
      <colorScale>
        <cfvo type="min"/>
        <cfvo type="percentile" val="50"/>
        <cfvo type="max"/>
        <color rgb="FFF8696B"/>
        <color rgb="FFFFEB84"/>
        <color rgb="FF63BE7B"/>
      </colorScale>
    </cfRule>
  </conditionalFormatting>
  <conditionalFormatting sqref="E5328:E5329">
    <cfRule type="colorScale" priority="3125">
      <colorScale>
        <cfvo type="min"/>
        <cfvo type="percentile" val="50"/>
        <cfvo type="max"/>
        <color rgb="FFF8696B"/>
        <color rgb="FFFFEB84"/>
        <color rgb="FF63BE7B"/>
      </colorScale>
    </cfRule>
  </conditionalFormatting>
  <conditionalFormatting sqref="E5333:E5334">
    <cfRule type="colorScale" priority="3130">
      <colorScale>
        <cfvo type="min"/>
        <cfvo type="percentile" val="50"/>
        <cfvo type="max"/>
        <color rgb="FFF8696B"/>
        <color rgb="FFFFEB84"/>
        <color rgb="FF63BE7B"/>
      </colorScale>
    </cfRule>
  </conditionalFormatting>
  <conditionalFormatting sqref="E5338:E5339">
    <cfRule type="colorScale" priority="3135">
      <colorScale>
        <cfvo type="min"/>
        <cfvo type="percentile" val="50"/>
        <cfvo type="max"/>
        <color rgb="FFF8696B"/>
        <color rgb="FFFFEB84"/>
        <color rgb="FF63BE7B"/>
      </colorScale>
    </cfRule>
  </conditionalFormatting>
  <conditionalFormatting sqref="E5343:E5344">
    <cfRule type="colorScale" priority="3140">
      <colorScale>
        <cfvo type="min"/>
        <cfvo type="percentile" val="50"/>
        <cfvo type="max"/>
        <color rgb="FFF8696B"/>
        <color rgb="FFFFEB84"/>
        <color rgb="FF63BE7B"/>
      </colorScale>
    </cfRule>
  </conditionalFormatting>
  <conditionalFormatting sqref="E5348:E5349">
    <cfRule type="colorScale" priority="3145">
      <colorScale>
        <cfvo type="min"/>
        <cfvo type="percentile" val="50"/>
        <cfvo type="max"/>
        <color rgb="FFF8696B"/>
        <color rgb="FFFFEB84"/>
        <color rgb="FF63BE7B"/>
      </colorScale>
    </cfRule>
  </conditionalFormatting>
  <conditionalFormatting sqref="E5353">
    <cfRule type="colorScale" priority="3150">
      <colorScale>
        <cfvo type="min"/>
        <cfvo type="percentile" val="50"/>
        <cfvo type="max"/>
        <color rgb="FFF8696B"/>
        <color rgb="FFFFEB84"/>
        <color rgb="FF63BE7B"/>
      </colorScale>
    </cfRule>
  </conditionalFormatting>
  <conditionalFormatting sqref="E5357:E5358">
    <cfRule type="colorScale" priority="3155">
      <colorScale>
        <cfvo type="min"/>
        <cfvo type="percentile" val="50"/>
        <cfvo type="max"/>
        <color rgb="FFF8696B"/>
        <color rgb="FFFFEB84"/>
        <color rgb="FF63BE7B"/>
      </colorScale>
    </cfRule>
  </conditionalFormatting>
  <conditionalFormatting sqref="E5362:E5363">
    <cfRule type="colorScale" priority="3160">
      <colorScale>
        <cfvo type="min"/>
        <cfvo type="percentile" val="50"/>
        <cfvo type="max"/>
        <color rgb="FFF8696B"/>
        <color rgb="FFFFEB84"/>
        <color rgb="FF63BE7B"/>
      </colorScale>
    </cfRule>
  </conditionalFormatting>
  <conditionalFormatting sqref="E5367:E5370">
    <cfRule type="colorScale" priority="3165">
      <colorScale>
        <cfvo type="min"/>
        <cfvo type="percentile" val="50"/>
        <cfvo type="max"/>
        <color rgb="FFF8696B"/>
        <color rgb="FFFFEB84"/>
        <color rgb="FF63BE7B"/>
      </colorScale>
    </cfRule>
  </conditionalFormatting>
  <conditionalFormatting sqref="E5374">
    <cfRule type="colorScale" priority="3171">
      <colorScale>
        <cfvo type="min"/>
        <cfvo type="percentile" val="50"/>
        <cfvo type="max"/>
        <color rgb="FFF8696B"/>
        <color rgb="FFFFEB84"/>
        <color rgb="FF63BE7B"/>
      </colorScale>
    </cfRule>
  </conditionalFormatting>
  <conditionalFormatting sqref="E5378">
    <cfRule type="colorScale" priority="3175">
      <colorScale>
        <cfvo type="min"/>
        <cfvo type="percentile" val="50"/>
        <cfvo type="max"/>
        <color rgb="FFF8696B"/>
        <color rgb="FFFFEB84"/>
        <color rgb="FF63BE7B"/>
      </colorScale>
    </cfRule>
  </conditionalFormatting>
  <conditionalFormatting sqref="E5386">
    <cfRule type="colorScale" priority="3185">
      <colorScale>
        <cfvo type="min"/>
        <cfvo type="percentile" val="50"/>
        <cfvo type="max"/>
        <color rgb="FFF8696B"/>
        <color rgb="FFFFEB84"/>
        <color rgb="FF63BE7B"/>
      </colorScale>
    </cfRule>
  </conditionalFormatting>
  <conditionalFormatting sqref="E5390">
    <cfRule type="colorScale" priority="3190">
      <colorScale>
        <cfvo type="min"/>
        <cfvo type="percentile" val="50"/>
        <cfvo type="max"/>
        <color rgb="FFF8696B"/>
        <color rgb="FFFFEB84"/>
        <color rgb="FF63BE7B"/>
      </colorScale>
    </cfRule>
  </conditionalFormatting>
  <conditionalFormatting sqref="E5394">
    <cfRule type="colorScale" priority="3195">
      <colorScale>
        <cfvo type="min"/>
        <cfvo type="percentile" val="50"/>
        <cfvo type="max"/>
        <color rgb="FFF8696B"/>
        <color rgb="FFFFEB84"/>
        <color rgb="FF63BE7B"/>
      </colorScale>
    </cfRule>
  </conditionalFormatting>
  <conditionalFormatting sqref="E5398">
    <cfRule type="colorScale" priority="3200">
      <colorScale>
        <cfvo type="min"/>
        <cfvo type="percentile" val="50"/>
        <cfvo type="max"/>
        <color rgb="FFF8696B"/>
        <color rgb="FFFFEB84"/>
        <color rgb="FF63BE7B"/>
      </colorScale>
    </cfRule>
  </conditionalFormatting>
  <conditionalFormatting sqref="E5402">
    <cfRule type="colorScale" priority="3205">
      <colorScale>
        <cfvo type="min"/>
        <cfvo type="percentile" val="50"/>
        <cfvo type="max"/>
        <color rgb="FFF8696B"/>
        <color rgb="FFFFEB84"/>
        <color rgb="FF63BE7B"/>
      </colorScale>
    </cfRule>
  </conditionalFormatting>
  <conditionalFormatting sqref="E5406:E5407">
    <cfRule type="colorScale" priority="3210">
      <colorScale>
        <cfvo type="min"/>
        <cfvo type="percentile" val="50"/>
        <cfvo type="max"/>
        <color rgb="FFF8696B"/>
        <color rgb="FFFFEB84"/>
        <color rgb="FF63BE7B"/>
      </colorScale>
    </cfRule>
  </conditionalFormatting>
  <conditionalFormatting sqref="E5411">
    <cfRule type="colorScale" priority="3215">
      <colorScale>
        <cfvo type="min"/>
        <cfvo type="percentile" val="50"/>
        <cfvo type="max"/>
        <color rgb="FFF8696B"/>
        <color rgb="FFFFEB84"/>
        <color rgb="FF63BE7B"/>
      </colorScale>
    </cfRule>
  </conditionalFormatting>
  <conditionalFormatting sqref="E5415">
    <cfRule type="colorScale" priority="3220">
      <colorScale>
        <cfvo type="min"/>
        <cfvo type="percentile" val="50"/>
        <cfvo type="max"/>
        <color rgb="FFF8696B"/>
        <color rgb="FFFFEB84"/>
        <color rgb="FF63BE7B"/>
      </colorScale>
    </cfRule>
  </conditionalFormatting>
  <conditionalFormatting sqref="E5419">
    <cfRule type="colorScale" priority="3225">
      <colorScale>
        <cfvo type="min"/>
        <cfvo type="percentile" val="50"/>
        <cfvo type="max"/>
        <color rgb="FFF8696B"/>
        <color rgb="FFFFEB84"/>
        <color rgb="FF63BE7B"/>
      </colorScale>
    </cfRule>
  </conditionalFormatting>
  <conditionalFormatting sqref="E5423:E5424">
    <cfRule type="colorScale" priority="3230">
      <colorScale>
        <cfvo type="min"/>
        <cfvo type="percentile" val="50"/>
        <cfvo type="max"/>
        <color rgb="FFF8696B"/>
        <color rgb="FFFFEB84"/>
        <color rgb="FF63BE7B"/>
      </colorScale>
    </cfRule>
  </conditionalFormatting>
  <conditionalFormatting sqref="E5428">
    <cfRule type="colorScale" priority="3235">
      <colorScale>
        <cfvo type="min"/>
        <cfvo type="percentile" val="50"/>
        <cfvo type="max"/>
        <color rgb="FFF8696B"/>
        <color rgb="FFFFEB84"/>
        <color rgb="FF63BE7B"/>
      </colorScale>
    </cfRule>
  </conditionalFormatting>
  <conditionalFormatting sqref="E5432:E5433">
    <cfRule type="colorScale" priority="3240">
      <colorScale>
        <cfvo type="min"/>
        <cfvo type="percentile" val="50"/>
        <cfvo type="max"/>
        <color rgb="FFF8696B"/>
        <color rgb="FFFFEB84"/>
        <color rgb="FF63BE7B"/>
      </colorScale>
    </cfRule>
  </conditionalFormatting>
  <conditionalFormatting sqref="E5437">
    <cfRule type="colorScale" priority="3246">
      <colorScale>
        <cfvo type="min"/>
        <cfvo type="percentile" val="50"/>
        <cfvo type="max"/>
        <color rgb="FFF8696B"/>
        <color rgb="FFFFEB84"/>
        <color rgb="FF63BE7B"/>
      </colorScale>
    </cfRule>
  </conditionalFormatting>
  <conditionalFormatting sqref="E5441:E5442">
    <cfRule type="colorScale" priority="3250">
      <colorScale>
        <cfvo type="min"/>
        <cfvo type="percentile" val="50"/>
        <cfvo type="max"/>
        <color rgb="FFF8696B"/>
        <color rgb="FFFFEB84"/>
        <color rgb="FF63BE7B"/>
      </colorScale>
    </cfRule>
  </conditionalFormatting>
  <conditionalFormatting sqref="E5450:E5451">
    <cfRule type="colorScale" priority="3260">
      <colorScale>
        <cfvo type="min"/>
        <cfvo type="percentile" val="50"/>
        <cfvo type="max"/>
        <color rgb="FFF8696B"/>
        <color rgb="FFFFEB84"/>
        <color rgb="FF63BE7B"/>
      </colorScale>
    </cfRule>
  </conditionalFormatting>
  <conditionalFormatting sqref="E5455:E5456">
    <cfRule type="colorScale" priority="3265">
      <colorScale>
        <cfvo type="min"/>
        <cfvo type="percentile" val="50"/>
        <cfvo type="max"/>
        <color rgb="FFF8696B"/>
        <color rgb="FFFFEB84"/>
        <color rgb="FF63BE7B"/>
      </colorScale>
    </cfRule>
  </conditionalFormatting>
  <conditionalFormatting sqref="E5460:E5461">
    <cfRule type="colorScale" priority="3270">
      <colorScale>
        <cfvo type="min"/>
        <cfvo type="percentile" val="50"/>
        <cfvo type="max"/>
        <color rgb="FFF8696B"/>
        <color rgb="FFFFEB84"/>
        <color rgb="FF63BE7B"/>
      </colorScale>
    </cfRule>
  </conditionalFormatting>
  <conditionalFormatting sqref="E5465:E5466">
    <cfRule type="colorScale" priority="3275">
      <colorScale>
        <cfvo type="min"/>
        <cfvo type="percentile" val="50"/>
        <cfvo type="max"/>
        <color rgb="FFF8696B"/>
        <color rgb="FFFFEB84"/>
        <color rgb="FF63BE7B"/>
      </colorScale>
    </cfRule>
  </conditionalFormatting>
  <conditionalFormatting sqref="E5470:E5471">
    <cfRule type="colorScale" priority="3280">
      <colorScale>
        <cfvo type="min"/>
        <cfvo type="percentile" val="50"/>
        <cfvo type="max"/>
        <color rgb="FFF8696B"/>
        <color rgb="FFFFEB84"/>
        <color rgb="FF63BE7B"/>
      </colorScale>
    </cfRule>
  </conditionalFormatting>
  <conditionalFormatting sqref="E5475:E5476">
    <cfRule type="colorScale" priority="3285">
      <colorScale>
        <cfvo type="min"/>
        <cfvo type="percentile" val="50"/>
        <cfvo type="max"/>
        <color rgb="FFF8696B"/>
        <color rgb="FFFFEB84"/>
        <color rgb="FF63BE7B"/>
      </colorScale>
    </cfRule>
  </conditionalFormatting>
  <conditionalFormatting sqref="E5480:E5481">
    <cfRule type="colorScale" priority="3290">
      <colorScale>
        <cfvo type="min"/>
        <cfvo type="percentile" val="50"/>
        <cfvo type="max"/>
        <color rgb="FFF8696B"/>
        <color rgb="FFFFEB84"/>
        <color rgb="FF63BE7B"/>
      </colorScale>
    </cfRule>
  </conditionalFormatting>
  <conditionalFormatting sqref="E5485:E5486">
    <cfRule type="colorScale" priority="3295">
      <colorScale>
        <cfvo type="min"/>
        <cfvo type="percentile" val="50"/>
        <cfvo type="max"/>
        <color rgb="FFF8696B"/>
        <color rgb="FFFFEB84"/>
        <color rgb="FF63BE7B"/>
      </colorScale>
    </cfRule>
  </conditionalFormatting>
  <conditionalFormatting sqref="E5490">
    <cfRule type="colorScale" priority="3300">
      <colorScale>
        <cfvo type="min"/>
        <cfvo type="percentile" val="50"/>
        <cfvo type="max"/>
        <color rgb="FFF8696B"/>
        <color rgb="FFFFEB84"/>
        <color rgb="FF63BE7B"/>
      </colorScale>
    </cfRule>
  </conditionalFormatting>
  <conditionalFormatting sqref="E5494:E5495">
    <cfRule type="colorScale" priority="3305">
      <colorScale>
        <cfvo type="min"/>
        <cfvo type="percentile" val="50"/>
        <cfvo type="max"/>
        <color rgb="FFF8696B"/>
        <color rgb="FFFFEB84"/>
        <color rgb="FF63BE7B"/>
      </colorScale>
    </cfRule>
  </conditionalFormatting>
  <conditionalFormatting sqref="E5499:E5500">
    <cfRule type="colorScale" priority="3310">
      <colorScale>
        <cfvo type="min"/>
        <cfvo type="percentile" val="50"/>
        <cfvo type="max"/>
        <color rgb="FFF8696B"/>
        <color rgb="FFFFEB84"/>
        <color rgb="FF63BE7B"/>
      </colorScale>
    </cfRule>
  </conditionalFormatting>
  <conditionalFormatting sqref="E5504:E5507">
    <cfRule type="colorScale" priority="3315">
      <colorScale>
        <cfvo type="min"/>
        <cfvo type="percentile" val="50"/>
        <cfvo type="max"/>
        <color rgb="FFF8696B"/>
        <color rgb="FFFFEB84"/>
        <color rgb="FF63BE7B"/>
      </colorScale>
    </cfRule>
  </conditionalFormatting>
  <conditionalFormatting sqref="E5511">
    <cfRule type="colorScale" priority="3321">
      <colorScale>
        <cfvo type="min"/>
        <cfvo type="percentile" val="50"/>
        <cfvo type="max"/>
        <color rgb="FFF8696B"/>
        <color rgb="FFFFEB84"/>
        <color rgb="FF63BE7B"/>
      </colorScale>
    </cfRule>
  </conditionalFormatting>
  <conditionalFormatting sqref="E5515">
    <cfRule type="colorScale" priority="3325">
      <colorScale>
        <cfvo type="min"/>
        <cfvo type="percentile" val="50"/>
        <cfvo type="max"/>
        <color rgb="FFF8696B"/>
        <color rgb="FFFFEB84"/>
        <color rgb="FF63BE7B"/>
      </colorScale>
    </cfRule>
  </conditionalFormatting>
  <conditionalFormatting sqref="E5523">
    <cfRule type="colorScale" priority="3335">
      <colorScale>
        <cfvo type="min"/>
        <cfvo type="percentile" val="50"/>
        <cfvo type="max"/>
        <color rgb="FFF8696B"/>
        <color rgb="FFFFEB84"/>
        <color rgb="FF63BE7B"/>
      </colorScale>
    </cfRule>
  </conditionalFormatting>
  <conditionalFormatting sqref="E5527">
    <cfRule type="colorScale" priority="3340">
      <colorScale>
        <cfvo type="min"/>
        <cfvo type="percentile" val="50"/>
        <cfvo type="max"/>
        <color rgb="FFF8696B"/>
        <color rgb="FFFFEB84"/>
        <color rgb="FF63BE7B"/>
      </colorScale>
    </cfRule>
  </conditionalFormatting>
  <conditionalFormatting sqref="E5531">
    <cfRule type="colorScale" priority="3345">
      <colorScale>
        <cfvo type="min"/>
        <cfvo type="percentile" val="50"/>
        <cfvo type="max"/>
        <color rgb="FFF8696B"/>
        <color rgb="FFFFEB84"/>
        <color rgb="FF63BE7B"/>
      </colorScale>
    </cfRule>
  </conditionalFormatting>
  <conditionalFormatting sqref="E5535">
    <cfRule type="colorScale" priority="3350">
      <colorScale>
        <cfvo type="min"/>
        <cfvo type="percentile" val="50"/>
        <cfvo type="max"/>
        <color rgb="FFF8696B"/>
        <color rgb="FFFFEB84"/>
        <color rgb="FF63BE7B"/>
      </colorScale>
    </cfRule>
  </conditionalFormatting>
  <conditionalFormatting sqref="E5539:E5540">
    <cfRule type="colorScale" priority="3355">
      <colorScale>
        <cfvo type="min"/>
        <cfvo type="percentile" val="50"/>
        <cfvo type="max"/>
        <color rgb="FFF8696B"/>
        <color rgb="FFFFEB84"/>
        <color rgb="FF63BE7B"/>
      </colorScale>
    </cfRule>
  </conditionalFormatting>
  <conditionalFormatting sqref="E5544:E5545">
    <cfRule type="colorScale" priority="3360">
      <colorScale>
        <cfvo type="min"/>
        <cfvo type="percentile" val="50"/>
        <cfvo type="max"/>
        <color rgb="FFF8696B"/>
        <color rgb="FFFFEB84"/>
        <color rgb="FF63BE7B"/>
      </colorScale>
    </cfRule>
  </conditionalFormatting>
  <conditionalFormatting sqref="E5549:E5550">
    <cfRule type="colorScale" priority="3365">
      <colorScale>
        <cfvo type="min"/>
        <cfvo type="percentile" val="50"/>
        <cfvo type="max"/>
        <color rgb="FFF8696B"/>
        <color rgb="FFFFEB84"/>
        <color rgb="FF63BE7B"/>
      </colorScale>
    </cfRule>
  </conditionalFormatting>
  <conditionalFormatting sqref="E5554:E5555">
    <cfRule type="colorScale" priority="3370">
      <colorScale>
        <cfvo type="min"/>
        <cfvo type="percentile" val="50"/>
        <cfvo type="max"/>
        <color rgb="FFF8696B"/>
        <color rgb="FFFFEB84"/>
        <color rgb="FF63BE7B"/>
      </colorScale>
    </cfRule>
  </conditionalFormatting>
  <conditionalFormatting sqref="E5559">
    <cfRule type="colorScale" priority="3375">
      <colorScale>
        <cfvo type="min"/>
        <cfvo type="percentile" val="50"/>
        <cfvo type="max"/>
        <color rgb="FFF8696B"/>
        <color rgb="FFFFEB84"/>
        <color rgb="FF63BE7B"/>
      </colorScale>
    </cfRule>
  </conditionalFormatting>
  <conditionalFormatting sqref="E5563:E5564">
    <cfRule type="colorScale" priority="3380">
      <colorScale>
        <cfvo type="min"/>
        <cfvo type="percentile" val="50"/>
        <cfvo type="max"/>
        <color rgb="FFF8696B"/>
        <color rgb="FFFFEB84"/>
        <color rgb="FF63BE7B"/>
      </colorScale>
    </cfRule>
  </conditionalFormatting>
  <conditionalFormatting sqref="E5568:E5569">
    <cfRule type="colorScale" priority="3385">
      <colorScale>
        <cfvo type="min"/>
        <cfvo type="percentile" val="50"/>
        <cfvo type="max"/>
        <color rgb="FFF8696B"/>
        <color rgb="FFFFEB84"/>
        <color rgb="FF63BE7B"/>
      </colorScale>
    </cfRule>
  </conditionalFormatting>
  <conditionalFormatting sqref="E5573:E5574">
    <cfRule type="colorScale" priority="3390">
      <colorScale>
        <cfvo type="min"/>
        <cfvo type="percentile" val="50"/>
        <cfvo type="max"/>
        <color rgb="FFF8696B"/>
        <color rgb="FFFFEB84"/>
        <color rgb="FF63BE7B"/>
      </colorScale>
    </cfRule>
  </conditionalFormatting>
  <conditionalFormatting sqref="E5578">
    <cfRule type="colorScale" priority="3396">
      <colorScale>
        <cfvo type="min"/>
        <cfvo type="percentile" val="50"/>
        <cfvo type="max"/>
        <color rgb="FFF8696B"/>
        <color rgb="FFFFEB84"/>
        <color rgb="FF63BE7B"/>
      </colorScale>
    </cfRule>
  </conditionalFormatting>
  <conditionalFormatting sqref="E5582:E5583">
    <cfRule type="colorScale" priority="3400">
      <colorScale>
        <cfvo type="min"/>
        <cfvo type="percentile" val="50"/>
        <cfvo type="max"/>
        <color rgb="FFF8696B"/>
        <color rgb="FFFFEB84"/>
        <color rgb="FF63BE7B"/>
      </colorScale>
    </cfRule>
  </conditionalFormatting>
  <conditionalFormatting sqref="E5591:E5592">
    <cfRule type="colorScale" priority="3410">
      <colorScale>
        <cfvo type="min"/>
        <cfvo type="percentile" val="50"/>
        <cfvo type="max"/>
        <color rgb="FFF8696B"/>
        <color rgb="FFFFEB84"/>
        <color rgb="FF63BE7B"/>
      </colorScale>
    </cfRule>
  </conditionalFormatting>
  <conditionalFormatting sqref="E5596">
    <cfRule type="colorScale" priority="3415">
      <colorScale>
        <cfvo type="min"/>
        <cfvo type="percentile" val="50"/>
        <cfvo type="max"/>
        <color rgb="FFF8696B"/>
        <color rgb="FFFFEB84"/>
        <color rgb="FF63BE7B"/>
      </colorScale>
    </cfRule>
  </conditionalFormatting>
  <conditionalFormatting sqref="E5600:E5601">
    <cfRule type="colorScale" priority="3420">
      <colorScale>
        <cfvo type="min"/>
        <cfvo type="percentile" val="50"/>
        <cfvo type="max"/>
        <color rgb="FFF8696B"/>
        <color rgb="FFFFEB84"/>
        <color rgb="FF63BE7B"/>
      </colorScale>
    </cfRule>
  </conditionalFormatting>
  <conditionalFormatting sqref="E5605:E5606">
    <cfRule type="colorScale" priority="3425">
      <colorScale>
        <cfvo type="min"/>
        <cfvo type="percentile" val="50"/>
        <cfvo type="max"/>
        <color rgb="FFF8696B"/>
        <color rgb="FFFFEB84"/>
        <color rgb="FF63BE7B"/>
      </colorScale>
    </cfRule>
  </conditionalFormatting>
  <conditionalFormatting sqref="E5610:E5611">
    <cfRule type="colorScale" priority="3430">
      <colorScale>
        <cfvo type="min"/>
        <cfvo type="percentile" val="50"/>
        <cfvo type="max"/>
        <color rgb="FFF8696B"/>
        <color rgb="FFFFEB84"/>
        <color rgb="FF63BE7B"/>
      </colorScale>
    </cfRule>
  </conditionalFormatting>
  <conditionalFormatting sqref="E5615:E5616">
    <cfRule type="colorScale" priority="3435">
      <colorScale>
        <cfvo type="min"/>
        <cfvo type="percentile" val="50"/>
        <cfvo type="max"/>
        <color rgb="FFF8696B"/>
        <color rgb="FFFFEB84"/>
        <color rgb="FF63BE7B"/>
      </colorScale>
    </cfRule>
  </conditionalFormatting>
  <conditionalFormatting sqref="E5620">
    <cfRule type="colorScale" priority="3440">
      <colorScale>
        <cfvo type="min"/>
        <cfvo type="percentile" val="50"/>
        <cfvo type="max"/>
        <color rgb="FFF8696B"/>
        <color rgb="FFFFEB84"/>
        <color rgb="FF63BE7B"/>
      </colorScale>
    </cfRule>
  </conditionalFormatting>
  <conditionalFormatting sqref="E5624:E5625">
    <cfRule type="colorScale" priority="3445">
      <colorScale>
        <cfvo type="min"/>
        <cfvo type="percentile" val="50"/>
        <cfvo type="max"/>
        <color rgb="FFF8696B"/>
        <color rgb="FFFFEB84"/>
        <color rgb="FF63BE7B"/>
      </colorScale>
    </cfRule>
  </conditionalFormatting>
  <conditionalFormatting sqref="E5629">
    <cfRule type="colorScale" priority="3450">
      <colorScale>
        <cfvo type="min"/>
        <cfvo type="percentile" val="50"/>
        <cfvo type="max"/>
        <color rgb="FFF8696B"/>
        <color rgb="FFFFEB84"/>
        <color rgb="FF63BE7B"/>
      </colorScale>
    </cfRule>
  </conditionalFormatting>
  <conditionalFormatting sqref="E5633:E5634">
    <cfRule type="colorScale" priority="3455">
      <colorScale>
        <cfvo type="min"/>
        <cfvo type="percentile" val="50"/>
        <cfvo type="max"/>
        <color rgb="FFF8696B"/>
        <color rgb="FFFFEB84"/>
        <color rgb="FF63BE7B"/>
      </colorScale>
    </cfRule>
  </conditionalFormatting>
  <conditionalFormatting sqref="E5638">
    <cfRule type="colorScale" priority="3460">
      <colorScale>
        <cfvo type="min"/>
        <cfvo type="percentile" val="50"/>
        <cfvo type="max"/>
        <color rgb="FFF8696B"/>
        <color rgb="FFFFEB84"/>
        <color rgb="FF63BE7B"/>
      </colorScale>
    </cfRule>
  </conditionalFormatting>
  <conditionalFormatting sqref="E5642:E5645">
    <cfRule type="colorScale" priority="3465">
      <colorScale>
        <cfvo type="min"/>
        <cfvo type="percentile" val="50"/>
        <cfvo type="max"/>
        <color rgb="FFF8696B"/>
        <color rgb="FFFFEB84"/>
        <color rgb="FF63BE7B"/>
      </colorScale>
    </cfRule>
  </conditionalFormatting>
  <conditionalFormatting sqref="E5649">
    <cfRule type="colorScale" priority="3471">
      <colorScale>
        <cfvo type="min"/>
        <cfvo type="percentile" val="50"/>
        <cfvo type="max"/>
        <color rgb="FFF8696B"/>
        <color rgb="FFFFEB84"/>
        <color rgb="FF63BE7B"/>
      </colorScale>
    </cfRule>
  </conditionalFormatting>
  <conditionalFormatting sqref="E5653">
    <cfRule type="colorScale" priority="3475">
      <colorScale>
        <cfvo type="min"/>
        <cfvo type="percentile" val="50"/>
        <cfvo type="max"/>
        <color rgb="FFF8696B"/>
        <color rgb="FFFFEB84"/>
        <color rgb="FF63BE7B"/>
      </colorScale>
    </cfRule>
  </conditionalFormatting>
  <conditionalFormatting sqref="E5661">
    <cfRule type="colorScale" priority="3485">
      <colorScale>
        <cfvo type="min"/>
        <cfvo type="percentile" val="50"/>
        <cfvo type="max"/>
        <color rgb="FFF8696B"/>
        <color rgb="FFFFEB84"/>
        <color rgb="FF63BE7B"/>
      </colorScale>
    </cfRule>
  </conditionalFormatting>
  <conditionalFormatting sqref="E5665">
    <cfRule type="colorScale" priority="3490">
      <colorScale>
        <cfvo type="min"/>
        <cfvo type="percentile" val="50"/>
        <cfvo type="max"/>
        <color rgb="FFF8696B"/>
        <color rgb="FFFFEB84"/>
        <color rgb="FF63BE7B"/>
      </colorScale>
    </cfRule>
  </conditionalFormatting>
  <conditionalFormatting sqref="E5669">
    <cfRule type="colorScale" priority="3495">
      <colorScale>
        <cfvo type="min"/>
        <cfvo type="percentile" val="50"/>
        <cfvo type="max"/>
        <color rgb="FFF8696B"/>
        <color rgb="FFFFEB84"/>
        <color rgb="FF63BE7B"/>
      </colorScale>
    </cfRule>
  </conditionalFormatting>
  <conditionalFormatting sqref="E5673">
    <cfRule type="colorScale" priority="3500">
      <colorScale>
        <cfvo type="min"/>
        <cfvo type="percentile" val="50"/>
        <cfvo type="max"/>
        <color rgb="FFF8696B"/>
        <color rgb="FFFFEB84"/>
        <color rgb="FF63BE7B"/>
      </colorScale>
    </cfRule>
  </conditionalFormatting>
  <conditionalFormatting sqref="E5677">
    <cfRule type="colorScale" priority="3505">
      <colorScale>
        <cfvo type="min"/>
        <cfvo type="percentile" val="50"/>
        <cfvo type="max"/>
        <color rgb="FFF8696B"/>
        <color rgb="FFFFEB84"/>
        <color rgb="FF63BE7B"/>
      </colorScale>
    </cfRule>
  </conditionalFormatting>
  <conditionalFormatting sqref="E5681">
    <cfRule type="colorScale" priority="3510">
      <colorScale>
        <cfvo type="min"/>
        <cfvo type="percentile" val="50"/>
        <cfvo type="max"/>
        <color rgb="FFF8696B"/>
        <color rgb="FFFFEB84"/>
        <color rgb="FF63BE7B"/>
      </colorScale>
    </cfRule>
  </conditionalFormatting>
  <conditionalFormatting sqref="E5685">
    <cfRule type="colorScale" priority="3515">
      <colorScale>
        <cfvo type="min"/>
        <cfvo type="percentile" val="50"/>
        <cfvo type="max"/>
        <color rgb="FFF8696B"/>
        <color rgb="FFFFEB84"/>
        <color rgb="FF63BE7B"/>
      </colorScale>
    </cfRule>
  </conditionalFormatting>
  <conditionalFormatting sqref="E5689">
    <cfRule type="colorScale" priority="3520">
      <colorScale>
        <cfvo type="min"/>
        <cfvo type="percentile" val="50"/>
        <cfvo type="max"/>
        <color rgb="FFF8696B"/>
        <color rgb="FFFFEB84"/>
        <color rgb="FF63BE7B"/>
      </colorScale>
    </cfRule>
  </conditionalFormatting>
  <conditionalFormatting sqref="E5693">
    <cfRule type="colorScale" priority="3525">
      <colorScale>
        <cfvo type="min"/>
        <cfvo type="percentile" val="50"/>
        <cfvo type="max"/>
        <color rgb="FFF8696B"/>
        <color rgb="FFFFEB84"/>
        <color rgb="FF63BE7B"/>
      </colorScale>
    </cfRule>
  </conditionalFormatting>
  <conditionalFormatting sqref="E5697">
    <cfRule type="colorScale" priority="3530">
      <colorScale>
        <cfvo type="min"/>
        <cfvo type="percentile" val="50"/>
        <cfvo type="max"/>
        <color rgb="FFF8696B"/>
        <color rgb="FFFFEB84"/>
        <color rgb="FF63BE7B"/>
      </colorScale>
    </cfRule>
  </conditionalFormatting>
  <conditionalFormatting sqref="E5701">
    <cfRule type="colorScale" priority="3535">
      <colorScale>
        <cfvo type="min"/>
        <cfvo type="percentile" val="50"/>
        <cfvo type="max"/>
        <color rgb="FFF8696B"/>
        <color rgb="FFFFEB84"/>
        <color rgb="FF63BE7B"/>
      </colorScale>
    </cfRule>
  </conditionalFormatting>
  <conditionalFormatting sqref="E5705">
    <cfRule type="colorScale" priority="3540">
      <colorScale>
        <cfvo type="min"/>
        <cfvo type="percentile" val="50"/>
        <cfvo type="max"/>
        <color rgb="FFF8696B"/>
        <color rgb="FFFFEB84"/>
        <color rgb="FF63BE7B"/>
      </colorScale>
    </cfRule>
  </conditionalFormatting>
  <conditionalFormatting sqref="E5709">
    <cfRule type="colorScale" priority="3546">
      <colorScale>
        <cfvo type="min"/>
        <cfvo type="percentile" val="50"/>
        <cfvo type="max"/>
        <color rgb="FFF8696B"/>
        <color rgb="FFFFEB84"/>
        <color rgb="FF63BE7B"/>
      </colorScale>
    </cfRule>
  </conditionalFormatting>
  <conditionalFormatting sqref="E5713:E5714">
    <cfRule type="colorScale" priority="3550">
      <colorScale>
        <cfvo type="min"/>
        <cfvo type="percentile" val="50"/>
        <cfvo type="max"/>
        <color rgb="FFF8696B"/>
        <color rgb="FFFFEB84"/>
        <color rgb="FF63BE7B"/>
      </colorScale>
    </cfRule>
  </conditionalFormatting>
  <conditionalFormatting sqref="E5722:E5723">
    <cfRule type="colorScale" priority="3560">
      <colorScale>
        <cfvo type="min"/>
        <cfvo type="percentile" val="50"/>
        <cfvo type="max"/>
        <color rgb="FFF8696B"/>
        <color rgb="FFFFEB84"/>
        <color rgb="FF63BE7B"/>
      </colorScale>
    </cfRule>
  </conditionalFormatting>
  <conditionalFormatting sqref="E5727:E5728">
    <cfRule type="colorScale" priority="3565">
      <colorScale>
        <cfvo type="min"/>
        <cfvo type="percentile" val="50"/>
        <cfvo type="max"/>
        <color rgb="FFF8696B"/>
        <color rgb="FFFFEB84"/>
        <color rgb="FF63BE7B"/>
      </colorScale>
    </cfRule>
  </conditionalFormatting>
  <conditionalFormatting sqref="E5732:E5733">
    <cfRule type="colorScale" priority="3570">
      <colorScale>
        <cfvo type="min"/>
        <cfvo type="percentile" val="50"/>
        <cfvo type="max"/>
        <color rgb="FFF8696B"/>
        <color rgb="FFFFEB84"/>
        <color rgb="FF63BE7B"/>
      </colorScale>
    </cfRule>
  </conditionalFormatting>
  <conditionalFormatting sqref="E5737:E5738">
    <cfRule type="colorScale" priority="3575">
      <colorScale>
        <cfvo type="min"/>
        <cfvo type="percentile" val="50"/>
        <cfvo type="max"/>
        <color rgb="FFF8696B"/>
        <color rgb="FFFFEB84"/>
        <color rgb="FF63BE7B"/>
      </colorScale>
    </cfRule>
  </conditionalFormatting>
  <conditionalFormatting sqref="E5742:E5743">
    <cfRule type="colorScale" priority="3580">
      <colorScale>
        <cfvo type="min"/>
        <cfvo type="percentile" val="50"/>
        <cfvo type="max"/>
        <color rgb="FFF8696B"/>
        <color rgb="FFFFEB84"/>
        <color rgb="FF63BE7B"/>
      </colorScale>
    </cfRule>
  </conditionalFormatting>
  <conditionalFormatting sqref="E5747:E5748">
    <cfRule type="colorScale" priority="3585">
      <colorScale>
        <cfvo type="min"/>
        <cfvo type="percentile" val="50"/>
        <cfvo type="max"/>
        <color rgb="FFF8696B"/>
        <color rgb="FFFFEB84"/>
        <color rgb="FF63BE7B"/>
      </colorScale>
    </cfRule>
  </conditionalFormatting>
  <conditionalFormatting sqref="E5752:E5753">
    <cfRule type="colorScale" priority="3590">
      <colorScale>
        <cfvo type="min"/>
        <cfvo type="percentile" val="50"/>
        <cfvo type="max"/>
        <color rgb="FFF8696B"/>
        <color rgb="FFFFEB84"/>
        <color rgb="FF63BE7B"/>
      </colorScale>
    </cfRule>
  </conditionalFormatting>
  <conditionalFormatting sqref="E5757:E5758">
    <cfRule type="colorScale" priority="3595">
      <colorScale>
        <cfvo type="min"/>
        <cfvo type="percentile" val="50"/>
        <cfvo type="max"/>
        <color rgb="FFF8696B"/>
        <color rgb="FFFFEB84"/>
        <color rgb="FF63BE7B"/>
      </colorScale>
    </cfRule>
  </conditionalFormatting>
  <conditionalFormatting sqref="E5762">
    <cfRule type="colorScale" priority="3600">
      <colorScale>
        <cfvo type="min"/>
        <cfvo type="percentile" val="50"/>
        <cfvo type="max"/>
        <color rgb="FFF8696B"/>
        <color rgb="FFFFEB84"/>
        <color rgb="FF63BE7B"/>
      </colorScale>
    </cfRule>
  </conditionalFormatting>
  <conditionalFormatting sqref="E5766:E5767">
    <cfRule type="colorScale" priority="3605">
      <colorScale>
        <cfvo type="min"/>
        <cfvo type="percentile" val="50"/>
        <cfvo type="max"/>
        <color rgb="FFF8696B"/>
        <color rgb="FFFFEB84"/>
        <color rgb="FF63BE7B"/>
      </colorScale>
    </cfRule>
  </conditionalFormatting>
  <conditionalFormatting sqref="E5771:E5772">
    <cfRule type="colorScale" priority="3610">
      <colorScale>
        <cfvo type="min"/>
        <cfvo type="percentile" val="50"/>
        <cfvo type="max"/>
        <color rgb="FFF8696B"/>
        <color rgb="FFFFEB84"/>
        <color rgb="FF63BE7B"/>
      </colorScale>
    </cfRule>
  </conditionalFormatting>
  <conditionalFormatting sqref="E5776:E5779">
    <cfRule type="colorScale" priority="3615">
      <colorScale>
        <cfvo type="min"/>
        <cfvo type="percentile" val="50"/>
        <cfvo type="max"/>
        <color rgb="FFF8696B"/>
        <color rgb="FFFFEB84"/>
        <color rgb="FF63BE7B"/>
      </colorScale>
    </cfRule>
  </conditionalFormatting>
  <conditionalFormatting sqref="E5783">
    <cfRule type="colorScale" priority="3621">
      <colorScale>
        <cfvo type="min"/>
        <cfvo type="percentile" val="50"/>
        <cfvo type="max"/>
        <color rgb="FFF8696B"/>
        <color rgb="FFFFEB84"/>
        <color rgb="FF63BE7B"/>
      </colorScale>
    </cfRule>
  </conditionalFormatting>
  <conditionalFormatting sqref="E5787:E5788">
    <cfRule type="colorScale" priority="3625">
      <colorScale>
        <cfvo type="min"/>
        <cfvo type="percentile" val="50"/>
        <cfvo type="max"/>
        <color rgb="FFF8696B"/>
        <color rgb="FFFFEB84"/>
        <color rgb="FF63BE7B"/>
      </colorScale>
    </cfRule>
  </conditionalFormatting>
  <conditionalFormatting sqref="E5796">
    <cfRule type="colorScale" priority="3635">
      <colorScale>
        <cfvo type="min"/>
        <cfvo type="percentile" val="50"/>
        <cfvo type="max"/>
        <color rgb="FFF8696B"/>
        <color rgb="FFFFEB84"/>
        <color rgb="FF63BE7B"/>
      </colorScale>
    </cfRule>
  </conditionalFormatting>
  <conditionalFormatting sqref="E5800">
    <cfRule type="colorScale" priority="3640">
      <colorScale>
        <cfvo type="min"/>
        <cfvo type="percentile" val="50"/>
        <cfvo type="max"/>
        <color rgb="FFF8696B"/>
        <color rgb="FFFFEB84"/>
        <color rgb="FF63BE7B"/>
      </colorScale>
    </cfRule>
  </conditionalFormatting>
  <conditionalFormatting sqref="E5804:E5805">
    <cfRule type="colorScale" priority="3645">
      <colorScale>
        <cfvo type="min"/>
        <cfvo type="percentile" val="50"/>
        <cfvo type="max"/>
        <color rgb="FFF8696B"/>
        <color rgb="FFFFEB84"/>
        <color rgb="FF63BE7B"/>
      </colorScale>
    </cfRule>
  </conditionalFormatting>
  <conditionalFormatting sqref="E5809">
    <cfRule type="colorScale" priority="3650">
      <colorScale>
        <cfvo type="min"/>
        <cfvo type="percentile" val="50"/>
        <cfvo type="max"/>
        <color rgb="FFF8696B"/>
        <color rgb="FFFFEB84"/>
        <color rgb="FF63BE7B"/>
      </colorScale>
    </cfRule>
  </conditionalFormatting>
  <conditionalFormatting sqref="E5813:E5814">
    <cfRule type="colorScale" priority="3655">
      <colorScale>
        <cfvo type="min"/>
        <cfvo type="percentile" val="50"/>
        <cfvo type="max"/>
        <color rgb="FFF8696B"/>
        <color rgb="FFFFEB84"/>
        <color rgb="FF63BE7B"/>
      </colorScale>
    </cfRule>
  </conditionalFormatting>
  <conditionalFormatting sqref="E5818">
    <cfRule type="colorScale" priority="3660">
      <colorScale>
        <cfvo type="min"/>
        <cfvo type="percentile" val="50"/>
        <cfvo type="max"/>
        <color rgb="FFF8696B"/>
        <color rgb="FFFFEB84"/>
        <color rgb="FF63BE7B"/>
      </colorScale>
    </cfRule>
  </conditionalFormatting>
  <conditionalFormatting sqref="E5822:E5823">
    <cfRule type="colorScale" priority="3665">
      <colorScale>
        <cfvo type="min"/>
        <cfvo type="percentile" val="50"/>
        <cfvo type="max"/>
        <color rgb="FFF8696B"/>
        <color rgb="FFFFEB84"/>
        <color rgb="FF63BE7B"/>
      </colorScale>
    </cfRule>
  </conditionalFormatting>
  <conditionalFormatting sqref="E5827">
    <cfRule type="colorScale" priority="3670">
      <colorScale>
        <cfvo type="min"/>
        <cfvo type="percentile" val="50"/>
        <cfvo type="max"/>
        <color rgb="FFF8696B"/>
        <color rgb="FFFFEB84"/>
        <color rgb="FF63BE7B"/>
      </colorScale>
    </cfRule>
  </conditionalFormatting>
  <conditionalFormatting sqref="E5831">
    <cfRule type="colorScale" priority="3675">
      <colorScale>
        <cfvo type="min"/>
        <cfvo type="percentile" val="50"/>
        <cfvo type="max"/>
        <color rgb="FFF8696B"/>
        <color rgb="FFFFEB84"/>
        <color rgb="FF63BE7B"/>
      </colorScale>
    </cfRule>
  </conditionalFormatting>
  <conditionalFormatting sqref="E5835:E5836">
    <cfRule type="colorScale" priority="3680">
      <colorScale>
        <cfvo type="min"/>
        <cfvo type="percentile" val="50"/>
        <cfvo type="max"/>
        <color rgb="FFF8696B"/>
        <color rgb="FFFFEB84"/>
        <color rgb="FF63BE7B"/>
      </colorScale>
    </cfRule>
  </conditionalFormatting>
  <conditionalFormatting sqref="E5840:E5841">
    <cfRule type="colorScale" priority="3685">
      <colorScale>
        <cfvo type="min"/>
        <cfvo type="percentile" val="50"/>
        <cfvo type="max"/>
        <color rgb="FFF8696B"/>
        <color rgb="FFFFEB84"/>
        <color rgb="FF63BE7B"/>
      </colorScale>
    </cfRule>
  </conditionalFormatting>
  <conditionalFormatting sqref="E5845:E5847">
    <cfRule type="colorScale" priority="3690">
      <colorScale>
        <cfvo type="min"/>
        <cfvo type="percentile" val="50"/>
        <cfvo type="max"/>
        <color rgb="FFF8696B"/>
        <color rgb="FFFFEB84"/>
        <color rgb="FF63BE7B"/>
      </colorScale>
    </cfRule>
  </conditionalFormatting>
  <conditionalFormatting sqref="E5851">
    <cfRule type="colorScale" priority="3696">
      <colorScale>
        <cfvo type="min"/>
        <cfvo type="percentile" val="50"/>
        <cfvo type="max"/>
        <color rgb="FFF8696B"/>
        <color rgb="FFFFEB84"/>
        <color rgb="FF63BE7B"/>
      </colorScale>
    </cfRule>
  </conditionalFormatting>
  <conditionalFormatting sqref="E5855:E5856">
    <cfRule type="colorScale" priority="3700">
      <colorScale>
        <cfvo type="min"/>
        <cfvo type="percentile" val="50"/>
        <cfvo type="max"/>
        <color rgb="FFF8696B"/>
        <color rgb="FFFFEB84"/>
        <color rgb="FF63BE7B"/>
      </colorScale>
    </cfRule>
  </conditionalFormatting>
  <conditionalFormatting sqref="E5864:E5865">
    <cfRule type="colorScale" priority="3710">
      <colorScale>
        <cfvo type="min"/>
        <cfvo type="percentile" val="50"/>
        <cfvo type="max"/>
        <color rgb="FFF8696B"/>
        <color rgb="FFFFEB84"/>
        <color rgb="FF63BE7B"/>
      </colorScale>
    </cfRule>
  </conditionalFormatting>
  <conditionalFormatting sqref="E5869">
    <cfRule type="colorScale" priority="3715">
      <colorScale>
        <cfvo type="min"/>
        <cfvo type="percentile" val="50"/>
        <cfvo type="max"/>
        <color rgb="FFF8696B"/>
        <color rgb="FFFFEB84"/>
        <color rgb="FF63BE7B"/>
      </colorScale>
    </cfRule>
  </conditionalFormatting>
  <conditionalFormatting sqref="E5873:E5874">
    <cfRule type="colorScale" priority="3720">
      <colorScale>
        <cfvo type="min"/>
        <cfvo type="percentile" val="50"/>
        <cfvo type="max"/>
        <color rgb="FFF8696B"/>
        <color rgb="FFFFEB84"/>
        <color rgb="FF63BE7B"/>
      </colorScale>
    </cfRule>
  </conditionalFormatting>
  <conditionalFormatting sqref="E5878:E5879">
    <cfRule type="colorScale" priority="3725">
      <colorScale>
        <cfvo type="min"/>
        <cfvo type="percentile" val="50"/>
        <cfvo type="max"/>
        <color rgb="FFF8696B"/>
        <color rgb="FFFFEB84"/>
        <color rgb="FF63BE7B"/>
      </colorScale>
    </cfRule>
  </conditionalFormatting>
  <conditionalFormatting sqref="E5883:E5884">
    <cfRule type="colorScale" priority="3730">
      <colorScale>
        <cfvo type="min"/>
        <cfvo type="percentile" val="50"/>
        <cfvo type="max"/>
        <color rgb="FFF8696B"/>
        <color rgb="FFFFEB84"/>
        <color rgb="FF63BE7B"/>
      </colorScale>
    </cfRule>
  </conditionalFormatting>
  <conditionalFormatting sqref="E5888:E5889">
    <cfRule type="colorScale" priority="3735">
      <colorScale>
        <cfvo type="min"/>
        <cfvo type="percentile" val="50"/>
        <cfvo type="max"/>
        <color rgb="FFF8696B"/>
        <color rgb="FFFFEB84"/>
        <color rgb="FF63BE7B"/>
      </colorScale>
    </cfRule>
  </conditionalFormatting>
  <conditionalFormatting sqref="E5893:E5894">
    <cfRule type="colorScale" priority="3740">
      <colorScale>
        <cfvo type="min"/>
        <cfvo type="percentile" val="50"/>
        <cfvo type="max"/>
        <color rgb="FFF8696B"/>
        <color rgb="FFFFEB84"/>
        <color rgb="FF63BE7B"/>
      </colorScale>
    </cfRule>
  </conditionalFormatting>
  <conditionalFormatting sqref="E5898:E5899">
    <cfRule type="colorScale" priority="3745">
      <colorScale>
        <cfvo type="min"/>
        <cfvo type="percentile" val="50"/>
        <cfvo type="max"/>
        <color rgb="FFF8696B"/>
        <color rgb="FFFFEB84"/>
        <color rgb="FF63BE7B"/>
      </colorScale>
    </cfRule>
  </conditionalFormatting>
  <conditionalFormatting sqref="E5903">
    <cfRule type="colorScale" priority="3750">
      <colorScale>
        <cfvo type="min"/>
        <cfvo type="percentile" val="50"/>
        <cfvo type="max"/>
        <color rgb="FFF8696B"/>
        <color rgb="FFFFEB84"/>
        <color rgb="FF63BE7B"/>
      </colorScale>
    </cfRule>
  </conditionalFormatting>
  <conditionalFormatting sqref="E5907:E5908">
    <cfRule type="colorScale" priority="3755">
      <colorScale>
        <cfvo type="min"/>
        <cfvo type="percentile" val="50"/>
        <cfvo type="max"/>
        <color rgb="FFF8696B"/>
        <color rgb="FFFFEB84"/>
        <color rgb="FF63BE7B"/>
      </colorScale>
    </cfRule>
  </conditionalFormatting>
  <conditionalFormatting sqref="E5912:E5913">
    <cfRule type="colorScale" priority="3760">
      <colorScale>
        <cfvo type="min"/>
        <cfvo type="percentile" val="50"/>
        <cfvo type="max"/>
        <color rgb="FFF8696B"/>
        <color rgb="FFFFEB84"/>
        <color rgb="FF63BE7B"/>
      </colorScale>
    </cfRule>
  </conditionalFormatting>
  <conditionalFormatting sqref="E5917:E5920">
    <cfRule type="colorScale" priority="3765">
      <colorScale>
        <cfvo type="min"/>
        <cfvo type="percentile" val="50"/>
        <cfvo type="max"/>
        <color rgb="FFF8696B"/>
        <color rgb="FFFFEB84"/>
        <color rgb="FF63BE7B"/>
      </colorScale>
    </cfRule>
  </conditionalFormatting>
  <conditionalFormatting sqref="E5924">
    <cfRule type="colorScale" priority="3771">
      <colorScale>
        <cfvo type="min"/>
        <cfvo type="percentile" val="50"/>
        <cfvo type="max"/>
        <color rgb="FFF8696B"/>
        <color rgb="FFFFEB84"/>
        <color rgb="FF63BE7B"/>
      </colorScale>
    </cfRule>
  </conditionalFormatting>
  <conditionalFormatting sqref="E5928">
    <cfRule type="colorScale" priority="3775">
      <colorScale>
        <cfvo type="min"/>
        <cfvo type="percentile" val="50"/>
        <cfvo type="max"/>
        <color rgb="FFF8696B"/>
        <color rgb="FFFFEB84"/>
        <color rgb="FF63BE7B"/>
      </colorScale>
    </cfRule>
  </conditionalFormatting>
  <conditionalFormatting sqref="E5936">
    <cfRule type="colorScale" priority="3785">
      <colorScale>
        <cfvo type="min"/>
        <cfvo type="percentile" val="50"/>
        <cfvo type="max"/>
        <color rgb="FFF8696B"/>
        <color rgb="FFFFEB84"/>
        <color rgb="FF63BE7B"/>
      </colorScale>
    </cfRule>
  </conditionalFormatting>
  <conditionalFormatting sqref="E5940">
    <cfRule type="colorScale" priority="3790">
      <colorScale>
        <cfvo type="min"/>
        <cfvo type="percentile" val="50"/>
        <cfvo type="max"/>
        <color rgb="FFF8696B"/>
        <color rgb="FFFFEB84"/>
        <color rgb="FF63BE7B"/>
      </colorScale>
    </cfRule>
  </conditionalFormatting>
  <conditionalFormatting sqref="E5944">
    <cfRule type="colorScale" priority="3795">
      <colorScale>
        <cfvo type="min"/>
        <cfvo type="percentile" val="50"/>
        <cfvo type="max"/>
        <color rgb="FFF8696B"/>
        <color rgb="FFFFEB84"/>
        <color rgb="FF63BE7B"/>
      </colorScale>
    </cfRule>
  </conditionalFormatting>
  <conditionalFormatting sqref="E5948:E5949">
    <cfRule type="colorScale" priority="3800">
      <colorScale>
        <cfvo type="min"/>
        <cfvo type="percentile" val="50"/>
        <cfvo type="max"/>
        <color rgb="FFF8696B"/>
        <color rgb="FFFFEB84"/>
        <color rgb="FF63BE7B"/>
      </colorScale>
    </cfRule>
  </conditionalFormatting>
  <conditionalFormatting sqref="E5953:E5954">
    <cfRule type="colorScale" priority="3805">
      <colorScale>
        <cfvo type="min"/>
        <cfvo type="percentile" val="50"/>
        <cfvo type="max"/>
        <color rgb="FFF8696B"/>
        <color rgb="FFFFEB84"/>
        <color rgb="FF63BE7B"/>
      </colorScale>
    </cfRule>
  </conditionalFormatting>
  <conditionalFormatting sqref="E5958:E5959">
    <cfRule type="colorScale" priority="3810">
      <colorScale>
        <cfvo type="min"/>
        <cfvo type="percentile" val="50"/>
        <cfvo type="max"/>
        <color rgb="FFF8696B"/>
        <color rgb="FFFFEB84"/>
        <color rgb="FF63BE7B"/>
      </colorScale>
    </cfRule>
  </conditionalFormatting>
  <conditionalFormatting sqref="E5963:E5964">
    <cfRule type="colorScale" priority="3815">
      <colorScale>
        <cfvo type="min"/>
        <cfvo type="percentile" val="50"/>
        <cfvo type="max"/>
        <color rgb="FFF8696B"/>
        <color rgb="FFFFEB84"/>
        <color rgb="FF63BE7B"/>
      </colorScale>
    </cfRule>
  </conditionalFormatting>
  <conditionalFormatting sqref="E5968:E5969">
    <cfRule type="colorScale" priority="3820">
      <colorScale>
        <cfvo type="min"/>
        <cfvo type="percentile" val="50"/>
        <cfvo type="max"/>
        <color rgb="FFF8696B"/>
        <color rgb="FFFFEB84"/>
        <color rgb="FF63BE7B"/>
      </colorScale>
    </cfRule>
  </conditionalFormatting>
  <conditionalFormatting sqref="E5973">
    <cfRule type="colorScale" priority="3825">
      <colorScale>
        <cfvo type="min"/>
        <cfvo type="percentile" val="50"/>
        <cfvo type="max"/>
        <color rgb="FFF8696B"/>
        <color rgb="FFFFEB84"/>
        <color rgb="FF63BE7B"/>
      </colorScale>
    </cfRule>
  </conditionalFormatting>
  <conditionalFormatting sqref="E5977:E5978">
    <cfRule type="colorScale" priority="3830">
      <colorScale>
        <cfvo type="min"/>
        <cfvo type="percentile" val="50"/>
        <cfvo type="max"/>
        <color rgb="FFF8696B"/>
        <color rgb="FFFFEB84"/>
        <color rgb="FF63BE7B"/>
      </colorScale>
    </cfRule>
  </conditionalFormatting>
  <conditionalFormatting sqref="E5982:E5983">
    <cfRule type="colorScale" priority="3835">
      <colorScale>
        <cfvo type="min"/>
        <cfvo type="percentile" val="50"/>
        <cfvo type="max"/>
        <color rgb="FFF8696B"/>
        <color rgb="FFFFEB84"/>
        <color rgb="FF63BE7B"/>
      </colorScale>
    </cfRule>
  </conditionalFormatting>
  <conditionalFormatting sqref="E5987:E5990">
    <cfRule type="colorScale" priority="3840">
      <colorScale>
        <cfvo type="min"/>
        <cfvo type="percentile" val="50"/>
        <cfvo type="max"/>
        <color rgb="FFF8696B"/>
        <color rgb="FFFFEB84"/>
        <color rgb="FF63BE7B"/>
      </colorScale>
    </cfRule>
  </conditionalFormatting>
  <conditionalFormatting sqref="E5994">
    <cfRule type="colorScale" priority="3846">
      <colorScale>
        <cfvo type="min"/>
        <cfvo type="percentile" val="50"/>
        <cfvo type="max"/>
        <color rgb="FFF8696B"/>
        <color rgb="FFFFEB84"/>
        <color rgb="FF63BE7B"/>
      </colorScale>
    </cfRule>
  </conditionalFormatting>
  <conditionalFormatting sqref="E5998">
    <cfRule type="colorScale" priority="3850">
      <colorScale>
        <cfvo type="min"/>
        <cfvo type="percentile" val="50"/>
        <cfvo type="max"/>
        <color rgb="FFF8696B"/>
        <color rgb="FFFFEB84"/>
        <color rgb="FF63BE7B"/>
      </colorScale>
    </cfRule>
  </conditionalFormatting>
  <conditionalFormatting sqref="E6006">
    <cfRule type="colorScale" priority="3860">
      <colorScale>
        <cfvo type="min"/>
        <cfvo type="percentile" val="50"/>
        <cfvo type="max"/>
        <color rgb="FFF8696B"/>
        <color rgb="FFFFEB84"/>
        <color rgb="FF63BE7B"/>
      </colorScale>
    </cfRule>
  </conditionalFormatting>
  <conditionalFormatting sqref="E6010">
    <cfRule type="colorScale" priority="3865">
      <colorScale>
        <cfvo type="min"/>
        <cfvo type="percentile" val="50"/>
        <cfvo type="max"/>
        <color rgb="FFF8696B"/>
        <color rgb="FFFFEB84"/>
        <color rgb="FF63BE7B"/>
      </colorScale>
    </cfRule>
  </conditionalFormatting>
  <conditionalFormatting sqref="E6014">
    <cfRule type="colorScale" priority="3870">
      <colorScale>
        <cfvo type="min"/>
        <cfvo type="percentile" val="50"/>
        <cfvo type="max"/>
        <color rgb="FFF8696B"/>
        <color rgb="FFFFEB84"/>
        <color rgb="FF63BE7B"/>
      </colorScale>
    </cfRule>
  </conditionalFormatting>
  <conditionalFormatting sqref="E6018">
    <cfRule type="colorScale" priority="3875">
      <colorScale>
        <cfvo type="min"/>
        <cfvo type="percentile" val="50"/>
        <cfvo type="max"/>
        <color rgb="FFF8696B"/>
        <color rgb="FFFFEB84"/>
        <color rgb="FF63BE7B"/>
      </colorScale>
    </cfRule>
  </conditionalFormatting>
  <conditionalFormatting sqref="E6022:E6023">
    <cfRule type="colorScale" priority="3880">
      <colorScale>
        <cfvo type="min"/>
        <cfvo type="percentile" val="50"/>
        <cfvo type="max"/>
        <color rgb="FFF8696B"/>
        <color rgb="FFFFEB84"/>
        <color rgb="FF63BE7B"/>
      </colorScale>
    </cfRule>
  </conditionalFormatting>
  <conditionalFormatting sqref="E6027">
    <cfRule type="colorScale" priority="3885">
      <colorScale>
        <cfvo type="min"/>
        <cfvo type="percentile" val="50"/>
        <cfvo type="max"/>
        <color rgb="FFF8696B"/>
        <color rgb="FFFFEB84"/>
        <color rgb="FF63BE7B"/>
      </colorScale>
    </cfRule>
  </conditionalFormatting>
  <conditionalFormatting sqref="E6031:E6032">
    <cfRule type="colorScale" priority="3890">
      <colorScale>
        <cfvo type="min"/>
        <cfvo type="percentile" val="50"/>
        <cfvo type="max"/>
        <color rgb="FFF8696B"/>
        <color rgb="FFFFEB84"/>
        <color rgb="FF63BE7B"/>
      </colorScale>
    </cfRule>
  </conditionalFormatting>
  <conditionalFormatting sqref="E6036">
    <cfRule type="colorScale" priority="3895">
      <colorScale>
        <cfvo type="min"/>
        <cfvo type="percentile" val="50"/>
        <cfvo type="max"/>
        <color rgb="FFF8696B"/>
        <color rgb="FFFFEB84"/>
        <color rgb="FF63BE7B"/>
      </colorScale>
    </cfRule>
  </conditionalFormatting>
  <conditionalFormatting sqref="E6040">
    <cfRule type="colorScale" priority="3900">
      <colorScale>
        <cfvo type="min"/>
        <cfvo type="percentile" val="50"/>
        <cfvo type="max"/>
        <color rgb="FFF8696B"/>
        <color rgb="FFFFEB84"/>
        <color rgb="FF63BE7B"/>
      </colorScale>
    </cfRule>
  </conditionalFormatting>
  <conditionalFormatting sqref="E6044:E6045">
    <cfRule type="colorScale" priority="3905">
      <colorScale>
        <cfvo type="min"/>
        <cfvo type="percentile" val="50"/>
        <cfvo type="max"/>
        <color rgb="FFF8696B"/>
        <color rgb="FFFFEB84"/>
        <color rgb="FF63BE7B"/>
      </colorScale>
    </cfRule>
  </conditionalFormatting>
  <conditionalFormatting sqref="E6049:E6050">
    <cfRule type="colorScale" priority="3910">
      <colorScale>
        <cfvo type="min"/>
        <cfvo type="percentile" val="50"/>
        <cfvo type="max"/>
        <color rgb="FFF8696B"/>
        <color rgb="FFFFEB84"/>
        <color rgb="FF63BE7B"/>
      </colorScale>
    </cfRule>
  </conditionalFormatting>
  <conditionalFormatting sqref="E6054:E6056">
    <cfRule type="colorScale" priority="3915">
      <colorScale>
        <cfvo type="min"/>
        <cfvo type="percentile" val="50"/>
        <cfvo type="max"/>
        <color rgb="FFF8696B"/>
        <color rgb="FFFFEB84"/>
        <color rgb="FF63BE7B"/>
      </colorScale>
    </cfRule>
  </conditionalFormatting>
  <conditionalFormatting sqref="E6060">
    <cfRule type="colorScale" priority="3921">
      <colorScale>
        <cfvo type="min"/>
        <cfvo type="percentile" val="50"/>
        <cfvo type="max"/>
        <color rgb="FFF8696B"/>
        <color rgb="FFFFEB84"/>
        <color rgb="FF63BE7B"/>
      </colorScale>
    </cfRule>
  </conditionalFormatting>
  <conditionalFormatting sqref="E6064:E6065">
    <cfRule type="colorScale" priority="3925">
      <colorScale>
        <cfvo type="min"/>
        <cfvo type="percentile" val="50"/>
        <cfvo type="max"/>
        <color rgb="FFF8696B"/>
        <color rgb="FFFFEB84"/>
        <color rgb="FF63BE7B"/>
      </colorScale>
    </cfRule>
  </conditionalFormatting>
  <conditionalFormatting sqref="E6073:E6074">
    <cfRule type="colorScale" priority="3935">
      <colorScale>
        <cfvo type="min"/>
        <cfvo type="percentile" val="50"/>
        <cfvo type="max"/>
        <color rgb="FFF8696B"/>
        <color rgb="FFFFEB84"/>
        <color rgb="FF63BE7B"/>
      </colorScale>
    </cfRule>
  </conditionalFormatting>
  <conditionalFormatting sqref="E6078">
    <cfRule type="colorScale" priority="3940">
      <colorScale>
        <cfvo type="min"/>
        <cfvo type="percentile" val="50"/>
        <cfvo type="max"/>
        <color rgb="FFF8696B"/>
        <color rgb="FFFFEB84"/>
        <color rgb="FF63BE7B"/>
      </colorScale>
    </cfRule>
  </conditionalFormatting>
  <conditionalFormatting sqref="E6082:E6083">
    <cfRule type="colorScale" priority="3945">
      <colorScale>
        <cfvo type="min"/>
        <cfvo type="percentile" val="50"/>
        <cfvo type="max"/>
        <color rgb="FFF8696B"/>
        <color rgb="FFFFEB84"/>
        <color rgb="FF63BE7B"/>
      </colorScale>
    </cfRule>
  </conditionalFormatting>
  <conditionalFormatting sqref="E6087">
    <cfRule type="colorScale" priority="3950">
      <colorScale>
        <cfvo type="min"/>
        <cfvo type="percentile" val="50"/>
        <cfvo type="max"/>
        <color rgb="FFF8696B"/>
        <color rgb="FFFFEB84"/>
        <color rgb="FF63BE7B"/>
      </colorScale>
    </cfRule>
  </conditionalFormatting>
  <conditionalFormatting sqref="E6091:E6092">
    <cfRule type="colorScale" priority="3955">
      <colorScale>
        <cfvo type="min"/>
        <cfvo type="percentile" val="50"/>
        <cfvo type="max"/>
        <color rgb="FFF8696B"/>
        <color rgb="FFFFEB84"/>
        <color rgb="FF63BE7B"/>
      </colorScale>
    </cfRule>
  </conditionalFormatting>
  <conditionalFormatting sqref="E6096:E6097">
    <cfRule type="colorScale" priority="3960">
      <colorScale>
        <cfvo type="min"/>
        <cfvo type="percentile" val="50"/>
        <cfvo type="max"/>
        <color rgb="FFF8696B"/>
        <color rgb="FFFFEB84"/>
        <color rgb="FF63BE7B"/>
      </colorScale>
    </cfRule>
  </conditionalFormatting>
  <conditionalFormatting sqref="E6101:E6102">
    <cfRule type="colorScale" priority="3965">
      <colorScale>
        <cfvo type="min"/>
        <cfvo type="percentile" val="50"/>
        <cfvo type="max"/>
        <color rgb="FFF8696B"/>
        <color rgb="FFFFEB84"/>
        <color rgb="FF63BE7B"/>
      </colorScale>
    </cfRule>
  </conditionalFormatting>
  <conditionalFormatting sqref="E6106">
    <cfRule type="colorScale" priority="3970">
      <colorScale>
        <cfvo type="min"/>
        <cfvo type="percentile" val="50"/>
        <cfvo type="max"/>
        <color rgb="FFF8696B"/>
        <color rgb="FFFFEB84"/>
        <color rgb="FF63BE7B"/>
      </colorScale>
    </cfRule>
  </conditionalFormatting>
  <conditionalFormatting sqref="E6110">
    <cfRule type="colorScale" priority="3975">
      <colorScale>
        <cfvo type="min"/>
        <cfvo type="percentile" val="50"/>
        <cfvo type="max"/>
        <color rgb="FFF8696B"/>
        <color rgb="FFFFEB84"/>
        <color rgb="FF63BE7B"/>
      </colorScale>
    </cfRule>
  </conditionalFormatting>
  <conditionalFormatting sqref="E6114:E6115">
    <cfRule type="colorScale" priority="3980">
      <colorScale>
        <cfvo type="min"/>
        <cfvo type="percentile" val="50"/>
        <cfvo type="max"/>
        <color rgb="FFF8696B"/>
        <color rgb="FFFFEB84"/>
        <color rgb="FF63BE7B"/>
      </colorScale>
    </cfRule>
  </conditionalFormatting>
  <conditionalFormatting sqref="E6119:E6120">
    <cfRule type="colorScale" priority="3985">
      <colorScale>
        <cfvo type="min"/>
        <cfvo type="percentile" val="50"/>
        <cfvo type="max"/>
        <color rgb="FFF8696B"/>
        <color rgb="FFFFEB84"/>
        <color rgb="FF63BE7B"/>
      </colorScale>
    </cfRule>
  </conditionalFormatting>
  <conditionalFormatting sqref="E6124:E6127">
    <cfRule type="colorScale" priority="3990">
      <colorScale>
        <cfvo type="min"/>
        <cfvo type="percentile" val="50"/>
        <cfvo type="max"/>
        <color rgb="FFF8696B"/>
        <color rgb="FFFFEB84"/>
        <color rgb="FF63BE7B"/>
      </colorScale>
    </cfRule>
  </conditionalFormatting>
  <conditionalFormatting sqref="E6131">
    <cfRule type="colorScale" priority="3996">
      <colorScale>
        <cfvo type="min"/>
        <cfvo type="percentile" val="50"/>
        <cfvo type="max"/>
        <color rgb="FFF8696B"/>
        <color rgb="FFFFEB84"/>
        <color rgb="FF63BE7B"/>
      </colorScale>
    </cfRule>
  </conditionalFormatting>
  <conditionalFormatting sqref="E6135:E6136">
    <cfRule type="colorScale" priority="4000">
      <colorScale>
        <cfvo type="min"/>
        <cfvo type="percentile" val="50"/>
        <cfvo type="max"/>
        <color rgb="FFF8696B"/>
        <color rgb="FFFFEB84"/>
        <color rgb="FF63BE7B"/>
      </colorScale>
    </cfRule>
  </conditionalFormatting>
  <conditionalFormatting sqref="E6144:E6145">
    <cfRule type="colorScale" priority="4010">
      <colorScale>
        <cfvo type="min"/>
        <cfvo type="percentile" val="50"/>
        <cfvo type="max"/>
        <color rgb="FFF8696B"/>
        <color rgb="FFFFEB84"/>
        <color rgb="FF63BE7B"/>
      </colorScale>
    </cfRule>
  </conditionalFormatting>
  <conditionalFormatting sqref="E6149">
    <cfRule type="colorScale" priority="4015">
      <colorScale>
        <cfvo type="min"/>
        <cfvo type="percentile" val="50"/>
        <cfvo type="max"/>
        <color rgb="FFF8696B"/>
        <color rgb="FFFFEB84"/>
        <color rgb="FF63BE7B"/>
      </colorScale>
    </cfRule>
  </conditionalFormatting>
  <conditionalFormatting sqref="E6153:E6154">
    <cfRule type="colorScale" priority="4020">
      <colorScale>
        <cfvo type="min"/>
        <cfvo type="percentile" val="50"/>
        <cfvo type="max"/>
        <color rgb="FFF8696B"/>
        <color rgb="FFFFEB84"/>
        <color rgb="FF63BE7B"/>
      </colorScale>
    </cfRule>
  </conditionalFormatting>
  <conditionalFormatting sqref="E6158:E6159">
    <cfRule type="colorScale" priority="4025">
      <colorScale>
        <cfvo type="min"/>
        <cfvo type="percentile" val="50"/>
        <cfvo type="max"/>
        <color rgb="FFF8696B"/>
        <color rgb="FFFFEB84"/>
        <color rgb="FF63BE7B"/>
      </colorScale>
    </cfRule>
  </conditionalFormatting>
  <conditionalFormatting sqref="E6163:E6164">
    <cfRule type="colorScale" priority="4030">
      <colorScale>
        <cfvo type="min"/>
        <cfvo type="percentile" val="50"/>
        <cfvo type="max"/>
        <color rgb="FFF8696B"/>
        <color rgb="FFFFEB84"/>
        <color rgb="FF63BE7B"/>
      </colorScale>
    </cfRule>
  </conditionalFormatting>
  <conditionalFormatting sqref="E6168:E6169">
    <cfRule type="colorScale" priority="4035">
      <colorScale>
        <cfvo type="min"/>
        <cfvo type="percentile" val="50"/>
        <cfvo type="max"/>
        <color rgb="FFF8696B"/>
        <color rgb="FFFFEB84"/>
        <color rgb="FF63BE7B"/>
      </colorScale>
    </cfRule>
  </conditionalFormatting>
  <conditionalFormatting sqref="E6173:E6174">
    <cfRule type="colorScale" priority="4040">
      <colorScale>
        <cfvo type="min"/>
        <cfvo type="percentile" val="50"/>
        <cfvo type="max"/>
        <color rgb="FFF8696B"/>
        <color rgb="FFFFEB84"/>
        <color rgb="FF63BE7B"/>
      </colorScale>
    </cfRule>
  </conditionalFormatting>
  <conditionalFormatting sqref="E6178:E6179">
    <cfRule type="colorScale" priority="4045">
      <colorScale>
        <cfvo type="min"/>
        <cfvo type="percentile" val="50"/>
        <cfvo type="max"/>
        <color rgb="FFF8696B"/>
        <color rgb="FFFFEB84"/>
        <color rgb="FF63BE7B"/>
      </colorScale>
    </cfRule>
  </conditionalFormatting>
  <conditionalFormatting sqref="E6183">
    <cfRule type="colorScale" priority="4050">
      <colorScale>
        <cfvo type="min"/>
        <cfvo type="percentile" val="50"/>
        <cfvo type="max"/>
        <color rgb="FFF8696B"/>
        <color rgb="FFFFEB84"/>
        <color rgb="FF63BE7B"/>
      </colorScale>
    </cfRule>
  </conditionalFormatting>
  <conditionalFormatting sqref="E6187:E6188">
    <cfRule type="colorScale" priority="4055">
      <colorScale>
        <cfvo type="min"/>
        <cfvo type="percentile" val="50"/>
        <cfvo type="max"/>
        <color rgb="FFF8696B"/>
        <color rgb="FFFFEB84"/>
        <color rgb="FF63BE7B"/>
      </colorScale>
    </cfRule>
  </conditionalFormatting>
  <conditionalFormatting sqref="E6192:E6193">
    <cfRule type="colorScale" priority="4060">
      <colorScale>
        <cfvo type="min"/>
        <cfvo type="percentile" val="50"/>
        <cfvo type="max"/>
        <color rgb="FFF8696B"/>
        <color rgb="FFFFEB84"/>
        <color rgb="FF63BE7B"/>
      </colorScale>
    </cfRule>
  </conditionalFormatting>
  <conditionalFormatting sqref="E6197:E6200">
    <cfRule type="colorScale" priority="4065">
      <colorScale>
        <cfvo type="min"/>
        <cfvo type="percentile" val="50"/>
        <cfvo type="max"/>
        <color rgb="FFF8696B"/>
        <color rgb="FFFFEB84"/>
        <color rgb="FF63BE7B"/>
      </colorScale>
    </cfRule>
  </conditionalFormatting>
  <conditionalFormatting sqref="E6204">
    <cfRule type="colorScale" priority="4071">
      <colorScale>
        <cfvo type="min"/>
        <cfvo type="percentile" val="50"/>
        <cfvo type="max"/>
        <color rgb="FFF8696B"/>
        <color rgb="FFFFEB84"/>
        <color rgb="FF63BE7B"/>
      </colorScale>
    </cfRule>
  </conditionalFormatting>
  <conditionalFormatting sqref="E6208">
    <cfRule type="colorScale" priority="4075">
      <colorScale>
        <cfvo type="min"/>
        <cfvo type="percentile" val="50"/>
        <cfvo type="max"/>
        <color rgb="FFF8696B"/>
        <color rgb="FFFFEB84"/>
        <color rgb="FF63BE7B"/>
      </colorScale>
    </cfRule>
  </conditionalFormatting>
  <conditionalFormatting sqref="E6216">
    <cfRule type="colorScale" priority="4085">
      <colorScale>
        <cfvo type="min"/>
        <cfvo type="percentile" val="50"/>
        <cfvo type="max"/>
        <color rgb="FFF8696B"/>
        <color rgb="FFFFEB84"/>
        <color rgb="FF63BE7B"/>
      </colorScale>
    </cfRule>
  </conditionalFormatting>
  <conditionalFormatting sqref="E6220">
    <cfRule type="colorScale" priority="4090">
      <colorScale>
        <cfvo type="min"/>
        <cfvo type="percentile" val="50"/>
        <cfvo type="max"/>
        <color rgb="FFF8696B"/>
        <color rgb="FFFFEB84"/>
        <color rgb="FF63BE7B"/>
      </colorScale>
    </cfRule>
  </conditionalFormatting>
  <conditionalFormatting sqref="E6224:E6225">
    <cfRule type="colorScale" priority="4095">
      <colorScale>
        <cfvo type="min"/>
        <cfvo type="percentile" val="50"/>
        <cfvo type="max"/>
        <color rgb="FFF8696B"/>
        <color rgb="FFFFEB84"/>
        <color rgb="FF63BE7B"/>
      </colorScale>
    </cfRule>
  </conditionalFormatting>
  <conditionalFormatting sqref="E6229">
    <cfRule type="colorScale" priority="4100">
      <colorScale>
        <cfvo type="min"/>
        <cfvo type="percentile" val="50"/>
        <cfvo type="max"/>
        <color rgb="FFF8696B"/>
        <color rgb="FFFFEB84"/>
        <color rgb="FF63BE7B"/>
      </colorScale>
    </cfRule>
  </conditionalFormatting>
  <conditionalFormatting sqref="E6233:E6234">
    <cfRule type="colorScale" priority="4105">
      <colorScale>
        <cfvo type="min"/>
        <cfvo type="percentile" val="50"/>
        <cfvo type="max"/>
        <color rgb="FFF8696B"/>
        <color rgb="FFFFEB84"/>
        <color rgb="FF63BE7B"/>
      </colorScale>
    </cfRule>
  </conditionalFormatting>
  <conditionalFormatting sqref="E6238:E6239">
    <cfRule type="colorScale" priority="4110">
      <colorScale>
        <cfvo type="min"/>
        <cfvo type="percentile" val="50"/>
        <cfvo type="max"/>
        <color rgb="FFF8696B"/>
        <color rgb="FFFFEB84"/>
        <color rgb="FF63BE7B"/>
      </colorScale>
    </cfRule>
  </conditionalFormatting>
  <conditionalFormatting sqref="E6243:E6244">
    <cfRule type="colorScale" priority="4115">
      <colorScale>
        <cfvo type="min"/>
        <cfvo type="percentile" val="50"/>
        <cfvo type="max"/>
        <color rgb="FFF8696B"/>
        <color rgb="FFFFEB84"/>
        <color rgb="FF63BE7B"/>
      </colorScale>
    </cfRule>
  </conditionalFormatting>
  <conditionalFormatting sqref="E6248:E6249">
    <cfRule type="colorScale" priority="4120">
      <colorScale>
        <cfvo type="min"/>
        <cfvo type="percentile" val="50"/>
        <cfvo type="max"/>
        <color rgb="FFF8696B"/>
        <color rgb="FFFFEB84"/>
        <color rgb="FF63BE7B"/>
      </colorScale>
    </cfRule>
  </conditionalFormatting>
  <conditionalFormatting sqref="E6253">
    <cfRule type="colorScale" priority="4125">
      <colorScale>
        <cfvo type="min"/>
        <cfvo type="percentile" val="50"/>
        <cfvo type="max"/>
        <color rgb="FFF8696B"/>
        <color rgb="FFFFEB84"/>
        <color rgb="FF63BE7B"/>
      </colorScale>
    </cfRule>
  </conditionalFormatting>
  <conditionalFormatting sqref="E6257:E6258">
    <cfRule type="colorScale" priority="4130">
      <colorScale>
        <cfvo type="min"/>
        <cfvo type="percentile" val="50"/>
        <cfvo type="max"/>
        <color rgb="FFF8696B"/>
        <color rgb="FFFFEB84"/>
        <color rgb="FF63BE7B"/>
      </colorScale>
    </cfRule>
  </conditionalFormatting>
  <conditionalFormatting sqref="E6262:E6263">
    <cfRule type="colorScale" priority="4135">
      <colorScale>
        <cfvo type="min"/>
        <cfvo type="percentile" val="50"/>
        <cfvo type="max"/>
        <color rgb="FFF8696B"/>
        <color rgb="FFFFEB84"/>
        <color rgb="FF63BE7B"/>
      </colorScale>
    </cfRule>
  </conditionalFormatting>
  <conditionalFormatting sqref="E6267:E6270">
    <cfRule type="colorScale" priority="4140">
      <colorScale>
        <cfvo type="min"/>
        <cfvo type="percentile" val="50"/>
        <cfvo type="max"/>
        <color rgb="FFF8696B"/>
        <color rgb="FFFFEB84"/>
        <color rgb="FF63BE7B"/>
      </colorScale>
    </cfRule>
  </conditionalFormatting>
  <conditionalFormatting sqref="E6866">
    <cfRule type="colorScale" priority="4386">
      <colorScale>
        <cfvo type="min"/>
        <cfvo type="percentile" val="50"/>
        <cfvo type="max"/>
        <color rgb="FFF8696B"/>
        <color rgb="FFFFEB84"/>
        <color rgb="FF63BE7B"/>
      </colorScale>
    </cfRule>
  </conditionalFormatting>
  <conditionalFormatting sqref="E6870:E6871">
    <cfRule type="colorScale" priority="4390">
      <colorScale>
        <cfvo type="min"/>
        <cfvo type="percentile" val="50"/>
        <cfvo type="max"/>
        <color rgb="FFF8696B"/>
        <color rgb="FFFFEB84"/>
        <color rgb="FF63BE7B"/>
      </colorScale>
    </cfRule>
  </conditionalFormatting>
  <conditionalFormatting sqref="E6879:E6880">
    <cfRule type="colorScale" priority="4400">
      <colorScale>
        <cfvo type="min"/>
        <cfvo type="percentile" val="50"/>
        <cfvo type="max"/>
        <color rgb="FFF8696B"/>
        <color rgb="FFFFEB84"/>
        <color rgb="FF63BE7B"/>
      </colorScale>
    </cfRule>
  </conditionalFormatting>
  <conditionalFormatting sqref="E6884:E6885">
    <cfRule type="colorScale" priority="4405">
      <colorScale>
        <cfvo type="min"/>
        <cfvo type="percentile" val="50"/>
        <cfvo type="max"/>
        <color rgb="FFF8696B"/>
        <color rgb="FFFFEB84"/>
        <color rgb="FF63BE7B"/>
      </colorScale>
    </cfRule>
  </conditionalFormatting>
  <conditionalFormatting sqref="E6889:E6890">
    <cfRule type="colorScale" priority="4410">
      <colorScale>
        <cfvo type="min"/>
        <cfvo type="percentile" val="50"/>
        <cfvo type="max"/>
        <color rgb="FFF8696B"/>
        <color rgb="FFFFEB84"/>
        <color rgb="FF63BE7B"/>
      </colorScale>
    </cfRule>
  </conditionalFormatting>
  <conditionalFormatting sqref="E6894:E6895">
    <cfRule type="colorScale" priority="4415">
      <colorScale>
        <cfvo type="min"/>
        <cfvo type="percentile" val="50"/>
        <cfvo type="max"/>
        <color rgb="FFF8696B"/>
        <color rgb="FFFFEB84"/>
        <color rgb="FF63BE7B"/>
      </colorScale>
    </cfRule>
  </conditionalFormatting>
  <conditionalFormatting sqref="E6899:E6900">
    <cfRule type="colorScale" priority="4420">
      <colorScale>
        <cfvo type="min"/>
        <cfvo type="percentile" val="50"/>
        <cfvo type="max"/>
        <color rgb="FFF8696B"/>
        <color rgb="FFFFEB84"/>
        <color rgb="FF63BE7B"/>
      </colorScale>
    </cfRule>
  </conditionalFormatting>
  <conditionalFormatting sqref="E6904:E6905">
    <cfRule type="colorScale" priority="4425">
      <colorScale>
        <cfvo type="min"/>
        <cfvo type="percentile" val="50"/>
        <cfvo type="max"/>
        <color rgb="FFF8696B"/>
        <color rgb="FFFFEB84"/>
        <color rgb="FF63BE7B"/>
      </colorScale>
    </cfRule>
  </conditionalFormatting>
  <conditionalFormatting sqref="E6909:E6910">
    <cfRule type="colorScale" priority="4430">
      <colorScale>
        <cfvo type="min"/>
        <cfvo type="percentile" val="50"/>
        <cfvo type="max"/>
        <color rgb="FFF8696B"/>
        <color rgb="FFFFEB84"/>
        <color rgb="FF63BE7B"/>
      </colorScale>
    </cfRule>
  </conditionalFormatting>
  <conditionalFormatting sqref="E6914:E6915">
    <cfRule type="colorScale" priority="4435">
      <colorScale>
        <cfvo type="min"/>
        <cfvo type="percentile" val="50"/>
        <cfvo type="max"/>
        <color rgb="FFF8696B"/>
        <color rgb="FFFFEB84"/>
        <color rgb="FF63BE7B"/>
      </colorScale>
    </cfRule>
  </conditionalFormatting>
  <conditionalFormatting sqref="E6919">
    <cfRule type="colorScale" priority="4440">
      <colorScale>
        <cfvo type="min"/>
        <cfvo type="percentile" val="50"/>
        <cfvo type="max"/>
        <color rgb="FFF8696B"/>
        <color rgb="FFFFEB84"/>
        <color rgb="FF63BE7B"/>
      </colorScale>
    </cfRule>
  </conditionalFormatting>
  <conditionalFormatting sqref="E6923:E6924">
    <cfRule type="colorScale" priority="4445">
      <colorScale>
        <cfvo type="min"/>
        <cfvo type="percentile" val="50"/>
        <cfvo type="max"/>
        <color rgb="FFF8696B"/>
        <color rgb="FFFFEB84"/>
        <color rgb="FF63BE7B"/>
      </colorScale>
    </cfRule>
  </conditionalFormatting>
  <conditionalFormatting sqref="E6928:E6929">
    <cfRule type="colorScale" priority="4450">
      <colorScale>
        <cfvo type="min"/>
        <cfvo type="percentile" val="50"/>
        <cfvo type="max"/>
        <color rgb="FFF8696B"/>
        <color rgb="FFFFEB84"/>
        <color rgb="FF63BE7B"/>
      </colorScale>
    </cfRule>
  </conditionalFormatting>
  <conditionalFormatting sqref="E6933:E6936">
    <cfRule type="colorScale" priority="4455">
      <colorScale>
        <cfvo type="min"/>
        <cfvo type="percentile" val="50"/>
        <cfvo type="max"/>
        <color rgb="FFF8696B"/>
        <color rgb="FFFFEB84"/>
        <color rgb="FF63BE7B"/>
      </colorScale>
    </cfRule>
  </conditionalFormatting>
  <conditionalFormatting sqref="E6940">
    <cfRule type="colorScale" priority="4461">
      <colorScale>
        <cfvo type="min"/>
        <cfvo type="percentile" val="50"/>
        <cfvo type="max"/>
        <color rgb="FFF8696B"/>
        <color rgb="FFFFEB84"/>
        <color rgb="FF63BE7B"/>
      </colorScale>
    </cfRule>
  </conditionalFormatting>
  <conditionalFormatting sqref="E6944:E6945">
    <cfRule type="colorScale" priority="4465">
      <colorScale>
        <cfvo type="min"/>
        <cfvo type="percentile" val="50"/>
        <cfvo type="max"/>
        <color rgb="FFF8696B"/>
        <color rgb="FFFFEB84"/>
        <color rgb="FF63BE7B"/>
      </colorScale>
    </cfRule>
  </conditionalFormatting>
  <conditionalFormatting sqref="E6953:E6954">
    <cfRule type="colorScale" priority="4475">
      <colorScale>
        <cfvo type="min"/>
        <cfvo type="percentile" val="50"/>
        <cfvo type="max"/>
        <color rgb="FFF8696B"/>
        <color rgb="FFFFEB84"/>
        <color rgb="FF63BE7B"/>
      </colorScale>
    </cfRule>
  </conditionalFormatting>
  <conditionalFormatting sqref="E6958:E6959">
    <cfRule type="colorScale" priority="4480">
      <colorScale>
        <cfvo type="min"/>
        <cfvo type="percentile" val="50"/>
        <cfvo type="max"/>
        <color rgb="FFF8696B"/>
        <color rgb="FFFFEB84"/>
        <color rgb="FF63BE7B"/>
      </colorScale>
    </cfRule>
  </conditionalFormatting>
  <conditionalFormatting sqref="E6963:E6964">
    <cfRule type="colorScale" priority="4485">
      <colorScale>
        <cfvo type="min"/>
        <cfvo type="percentile" val="50"/>
        <cfvo type="max"/>
        <color rgb="FFF8696B"/>
        <color rgb="FFFFEB84"/>
        <color rgb="FF63BE7B"/>
      </colorScale>
    </cfRule>
  </conditionalFormatting>
  <conditionalFormatting sqref="E6968:E6969">
    <cfRule type="colorScale" priority="4490">
      <colorScale>
        <cfvo type="min"/>
        <cfvo type="percentile" val="50"/>
        <cfvo type="max"/>
        <color rgb="FFF8696B"/>
        <color rgb="FFFFEB84"/>
        <color rgb="FF63BE7B"/>
      </colorScale>
    </cfRule>
  </conditionalFormatting>
  <conditionalFormatting sqref="E6973:E6974">
    <cfRule type="colorScale" priority="4495">
      <colorScale>
        <cfvo type="min"/>
        <cfvo type="percentile" val="50"/>
        <cfvo type="max"/>
        <color rgb="FFF8696B"/>
        <color rgb="FFFFEB84"/>
        <color rgb="FF63BE7B"/>
      </colorScale>
    </cfRule>
  </conditionalFormatting>
  <conditionalFormatting sqref="E6978:E6979">
    <cfRule type="colorScale" priority="4500">
      <colorScale>
        <cfvo type="min"/>
        <cfvo type="percentile" val="50"/>
        <cfvo type="max"/>
        <color rgb="FFF8696B"/>
        <color rgb="FFFFEB84"/>
        <color rgb="FF63BE7B"/>
      </colorScale>
    </cfRule>
  </conditionalFormatting>
  <conditionalFormatting sqref="E6983:E6984">
    <cfRule type="colorScale" priority="4505">
      <colorScale>
        <cfvo type="min"/>
        <cfvo type="percentile" val="50"/>
        <cfvo type="max"/>
        <color rgb="FFF8696B"/>
        <color rgb="FFFFEB84"/>
        <color rgb="FF63BE7B"/>
      </colorScale>
    </cfRule>
  </conditionalFormatting>
  <conditionalFormatting sqref="E6988:E6989">
    <cfRule type="colorScale" priority="4510">
      <colorScale>
        <cfvo type="min"/>
        <cfvo type="percentile" val="50"/>
        <cfvo type="max"/>
        <color rgb="FFF8696B"/>
        <color rgb="FFFFEB84"/>
        <color rgb="FF63BE7B"/>
      </colorScale>
    </cfRule>
  </conditionalFormatting>
  <conditionalFormatting sqref="E6993">
    <cfRule type="colorScale" priority="4515">
      <colorScale>
        <cfvo type="min"/>
        <cfvo type="percentile" val="50"/>
        <cfvo type="max"/>
        <color rgb="FFF8696B"/>
        <color rgb="FFFFEB84"/>
        <color rgb="FF63BE7B"/>
      </colorScale>
    </cfRule>
  </conditionalFormatting>
  <conditionalFormatting sqref="E6997:E6998">
    <cfRule type="colorScale" priority="4520">
      <colorScale>
        <cfvo type="min"/>
        <cfvo type="percentile" val="50"/>
        <cfvo type="max"/>
        <color rgb="FFF8696B"/>
        <color rgb="FFFFEB84"/>
        <color rgb="FF63BE7B"/>
      </colorScale>
    </cfRule>
  </conditionalFormatting>
  <conditionalFormatting sqref="E7002:E7003">
    <cfRule type="colorScale" priority="4525">
      <colorScale>
        <cfvo type="min"/>
        <cfvo type="percentile" val="50"/>
        <cfvo type="max"/>
        <color rgb="FFF8696B"/>
        <color rgb="FFFFEB84"/>
        <color rgb="FF63BE7B"/>
      </colorScale>
    </cfRule>
  </conditionalFormatting>
  <conditionalFormatting sqref="E7007:E7010">
    <cfRule type="colorScale" priority="4530">
      <colorScale>
        <cfvo type="min"/>
        <cfvo type="percentile" val="50"/>
        <cfvo type="max"/>
        <color rgb="FFF8696B"/>
        <color rgb="FFFFEB84"/>
        <color rgb="FF63BE7B"/>
      </colorScale>
    </cfRule>
  </conditionalFormatting>
  <conditionalFormatting sqref="E7088">
    <cfRule type="colorScale" priority="4566">
      <colorScale>
        <cfvo type="min"/>
        <cfvo type="percentile" val="50"/>
        <cfvo type="max"/>
        <color rgb="FFF8696B"/>
        <color rgb="FFFFEB84"/>
        <color rgb="FF63BE7B"/>
      </colorScale>
    </cfRule>
  </conditionalFormatting>
  <conditionalFormatting sqref="E7092">
    <cfRule type="colorScale" priority="4570">
      <colorScale>
        <cfvo type="min"/>
        <cfvo type="percentile" val="50"/>
        <cfvo type="max"/>
        <color rgb="FFF8696B"/>
        <color rgb="FFFFEB84"/>
        <color rgb="FF63BE7B"/>
      </colorScale>
    </cfRule>
  </conditionalFormatting>
  <conditionalFormatting sqref="E7100">
    <cfRule type="colorScale" priority="4580">
      <colorScale>
        <cfvo type="min"/>
        <cfvo type="percentile" val="50"/>
        <cfvo type="max"/>
        <color rgb="FFF8696B"/>
        <color rgb="FFFFEB84"/>
        <color rgb="FF63BE7B"/>
      </colorScale>
    </cfRule>
  </conditionalFormatting>
  <conditionalFormatting sqref="E7104">
    <cfRule type="colorScale" priority="4585">
      <colorScale>
        <cfvo type="min"/>
        <cfvo type="percentile" val="50"/>
        <cfvo type="max"/>
        <color rgb="FFF8696B"/>
        <color rgb="FFFFEB84"/>
        <color rgb="FF63BE7B"/>
      </colorScale>
    </cfRule>
  </conditionalFormatting>
  <conditionalFormatting sqref="E7108">
    <cfRule type="colorScale" priority="4590">
      <colorScale>
        <cfvo type="min"/>
        <cfvo type="percentile" val="50"/>
        <cfvo type="max"/>
        <color rgb="FFF8696B"/>
        <color rgb="FFFFEB84"/>
        <color rgb="FF63BE7B"/>
      </colorScale>
    </cfRule>
  </conditionalFormatting>
  <conditionalFormatting sqref="E7112">
    <cfRule type="colorScale" priority="4595">
      <colorScale>
        <cfvo type="min"/>
        <cfvo type="percentile" val="50"/>
        <cfvo type="max"/>
        <color rgb="FFF8696B"/>
        <color rgb="FFFFEB84"/>
        <color rgb="FF63BE7B"/>
      </colorScale>
    </cfRule>
  </conditionalFormatting>
  <conditionalFormatting sqref="E7116:E7117">
    <cfRule type="colorScale" priority="4600">
      <colorScale>
        <cfvo type="min"/>
        <cfvo type="percentile" val="50"/>
        <cfvo type="max"/>
        <color rgb="FFF8696B"/>
        <color rgb="FFFFEB84"/>
        <color rgb="FF63BE7B"/>
      </colorScale>
    </cfRule>
  </conditionalFormatting>
  <conditionalFormatting sqref="E7121:E7122">
    <cfRule type="colorScale" priority="4605">
      <colorScale>
        <cfvo type="min"/>
        <cfvo type="percentile" val="50"/>
        <cfvo type="max"/>
        <color rgb="FFF8696B"/>
        <color rgb="FFFFEB84"/>
        <color rgb="FF63BE7B"/>
      </colorScale>
    </cfRule>
  </conditionalFormatting>
  <conditionalFormatting sqref="E7126">
    <cfRule type="colorScale" priority="4610">
      <colorScale>
        <cfvo type="min"/>
        <cfvo type="percentile" val="50"/>
        <cfvo type="max"/>
        <color rgb="FFF8696B"/>
        <color rgb="FFFFEB84"/>
        <color rgb="FF63BE7B"/>
      </colorScale>
    </cfRule>
  </conditionalFormatting>
  <conditionalFormatting sqref="E7130">
    <cfRule type="colorScale" priority="4615">
      <colorScale>
        <cfvo type="min"/>
        <cfvo type="percentile" val="50"/>
        <cfvo type="max"/>
        <color rgb="FFF8696B"/>
        <color rgb="FFFFEB84"/>
        <color rgb="FF63BE7B"/>
      </colorScale>
    </cfRule>
  </conditionalFormatting>
  <conditionalFormatting sqref="E7134">
    <cfRule type="colorScale" priority="4620">
      <colorScale>
        <cfvo type="min"/>
        <cfvo type="percentile" val="50"/>
        <cfvo type="max"/>
        <color rgb="FFF8696B"/>
        <color rgb="FFFFEB84"/>
        <color rgb="FF63BE7B"/>
      </colorScale>
    </cfRule>
  </conditionalFormatting>
  <conditionalFormatting sqref="E7138:E7139">
    <cfRule type="colorScale" priority="4625">
      <colorScale>
        <cfvo type="min"/>
        <cfvo type="percentile" val="50"/>
        <cfvo type="max"/>
        <color rgb="FFF8696B"/>
        <color rgb="FFFFEB84"/>
        <color rgb="FF63BE7B"/>
      </colorScale>
    </cfRule>
  </conditionalFormatting>
  <conditionalFormatting sqref="E7143:E7144">
    <cfRule type="colorScale" priority="4630">
      <colorScale>
        <cfvo type="min"/>
        <cfvo type="percentile" val="50"/>
        <cfvo type="max"/>
        <color rgb="FFF8696B"/>
        <color rgb="FFFFEB84"/>
        <color rgb="FF63BE7B"/>
      </colorScale>
    </cfRule>
  </conditionalFormatting>
  <conditionalFormatting sqref="E7148:E7150">
    <cfRule type="colorScale" priority="4635">
      <colorScale>
        <cfvo type="min"/>
        <cfvo type="percentile" val="50"/>
        <cfvo type="max"/>
        <color rgb="FFF8696B"/>
        <color rgb="FFFFEB84"/>
        <color rgb="FF63BE7B"/>
      </colorScale>
    </cfRule>
  </conditionalFormatting>
  <conditionalFormatting sqref="E7154">
    <cfRule type="colorScale" priority="4641">
      <colorScale>
        <cfvo type="min"/>
        <cfvo type="percentile" val="50"/>
        <cfvo type="max"/>
        <color rgb="FFF8696B"/>
        <color rgb="FFFFEB84"/>
        <color rgb="FF63BE7B"/>
      </colorScale>
    </cfRule>
  </conditionalFormatting>
  <conditionalFormatting sqref="E7158:E7159">
    <cfRule type="colorScale" priority="4645">
      <colorScale>
        <cfvo type="min"/>
        <cfvo type="percentile" val="50"/>
        <cfvo type="max"/>
        <color rgb="FFF8696B"/>
        <color rgb="FFFFEB84"/>
        <color rgb="FF63BE7B"/>
      </colorScale>
    </cfRule>
  </conditionalFormatting>
  <conditionalFormatting sqref="E7167:E7168">
    <cfRule type="colorScale" priority="4655">
      <colorScale>
        <cfvo type="min"/>
        <cfvo type="percentile" val="50"/>
        <cfvo type="max"/>
        <color rgb="FFF8696B"/>
        <color rgb="FFFFEB84"/>
        <color rgb="FF63BE7B"/>
      </colorScale>
    </cfRule>
  </conditionalFormatting>
  <conditionalFormatting sqref="E7172:E7173">
    <cfRule type="colorScale" priority="4660">
      <colorScale>
        <cfvo type="min"/>
        <cfvo type="percentile" val="50"/>
        <cfvo type="max"/>
        <color rgb="FFF8696B"/>
        <color rgb="FFFFEB84"/>
        <color rgb="FF63BE7B"/>
      </colorScale>
    </cfRule>
  </conditionalFormatting>
  <conditionalFormatting sqref="E7177:E7178">
    <cfRule type="colorScale" priority="4665">
      <colorScale>
        <cfvo type="min"/>
        <cfvo type="percentile" val="50"/>
        <cfvo type="max"/>
        <color rgb="FFF8696B"/>
        <color rgb="FFFFEB84"/>
        <color rgb="FF63BE7B"/>
      </colorScale>
    </cfRule>
  </conditionalFormatting>
  <conditionalFormatting sqref="E7182:E7183">
    <cfRule type="colorScale" priority="4670">
      <colorScale>
        <cfvo type="min"/>
        <cfvo type="percentile" val="50"/>
        <cfvo type="max"/>
        <color rgb="FFF8696B"/>
        <color rgb="FFFFEB84"/>
        <color rgb="FF63BE7B"/>
      </colorScale>
    </cfRule>
  </conditionalFormatting>
  <conditionalFormatting sqref="E7187:E7188">
    <cfRule type="colorScale" priority="4675">
      <colorScale>
        <cfvo type="min"/>
        <cfvo type="percentile" val="50"/>
        <cfvo type="max"/>
        <color rgb="FFF8696B"/>
        <color rgb="FFFFEB84"/>
        <color rgb="FF63BE7B"/>
      </colorScale>
    </cfRule>
  </conditionalFormatting>
  <conditionalFormatting sqref="E7192:E7193">
    <cfRule type="colorScale" priority="4680">
      <colorScale>
        <cfvo type="min"/>
        <cfvo type="percentile" val="50"/>
        <cfvo type="max"/>
        <color rgb="FFF8696B"/>
        <color rgb="FFFFEB84"/>
        <color rgb="FF63BE7B"/>
      </colorScale>
    </cfRule>
  </conditionalFormatting>
  <conditionalFormatting sqref="E7197:E7198">
    <cfRule type="colorScale" priority="4685">
      <colorScale>
        <cfvo type="min"/>
        <cfvo type="percentile" val="50"/>
        <cfvo type="max"/>
        <color rgb="FFF8696B"/>
        <color rgb="FFFFEB84"/>
        <color rgb="FF63BE7B"/>
      </colorScale>
    </cfRule>
  </conditionalFormatting>
  <conditionalFormatting sqref="E7202:E7203">
    <cfRule type="colorScale" priority="4690">
      <colorScale>
        <cfvo type="min"/>
        <cfvo type="percentile" val="50"/>
        <cfvo type="max"/>
        <color rgb="FFF8696B"/>
        <color rgb="FFFFEB84"/>
        <color rgb="FF63BE7B"/>
      </colorScale>
    </cfRule>
  </conditionalFormatting>
  <conditionalFormatting sqref="E7207">
    <cfRule type="colorScale" priority="4695">
      <colorScale>
        <cfvo type="min"/>
        <cfvo type="percentile" val="50"/>
        <cfvo type="max"/>
        <color rgb="FFF8696B"/>
        <color rgb="FFFFEB84"/>
        <color rgb="FF63BE7B"/>
      </colorScale>
    </cfRule>
  </conditionalFormatting>
  <conditionalFormatting sqref="E7211:E7212">
    <cfRule type="colorScale" priority="4700">
      <colorScale>
        <cfvo type="min"/>
        <cfvo type="percentile" val="50"/>
        <cfvo type="max"/>
        <color rgb="FFF8696B"/>
        <color rgb="FFFFEB84"/>
        <color rgb="FF63BE7B"/>
      </colorScale>
    </cfRule>
  </conditionalFormatting>
  <conditionalFormatting sqref="E7216:E7217">
    <cfRule type="colorScale" priority="4705">
      <colorScale>
        <cfvo type="min"/>
        <cfvo type="percentile" val="50"/>
        <cfvo type="max"/>
        <color rgb="FFF8696B"/>
        <color rgb="FFFFEB84"/>
        <color rgb="FF63BE7B"/>
      </colorScale>
    </cfRule>
  </conditionalFormatting>
  <conditionalFormatting sqref="E7221:E7224">
    <cfRule type="colorScale" priority="4710">
      <colorScale>
        <cfvo type="min"/>
        <cfvo type="percentile" val="50"/>
        <cfvo type="max"/>
        <color rgb="FFF8696B"/>
        <color rgb="FFFFEB84"/>
        <color rgb="FF63BE7B"/>
      </colorScale>
    </cfRule>
  </conditionalFormatting>
  <conditionalFormatting sqref="E7228">
    <cfRule type="colorScale" priority="4716">
      <colorScale>
        <cfvo type="min"/>
        <cfvo type="percentile" val="50"/>
        <cfvo type="max"/>
        <color rgb="FFF8696B"/>
        <color rgb="FFFFEB84"/>
        <color rgb="FF63BE7B"/>
      </colorScale>
    </cfRule>
  </conditionalFormatting>
  <conditionalFormatting sqref="E7232:E7233">
    <cfRule type="colorScale" priority="4720">
      <colorScale>
        <cfvo type="min"/>
        <cfvo type="percentile" val="50"/>
        <cfvo type="max"/>
        <color rgb="FFF8696B"/>
        <color rgb="FFFFEB84"/>
        <color rgb="FF63BE7B"/>
      </colorScale>
    </cfRule>
  </conditionalFormatting>
  <conditionalFormatting sqref="E7241:E7242">
    <cfRule type="colorScale" priority="4730">
      <colorScale>
        <cfvo type="min"/>
        <cfvo type="percentile" val="50"/>
        <cfvo type="max"/>
        <color rgb="FFF8696B"/>
        <color rgb="FFFFEB84"/>
        <color rgb="FF63BE7B"/>
      </colorScale>
    </cfRule>
  </conditionalFormatting>
  <conditionalFormatting sqref="E7246">
    <cfRule type="colorScale" priority="4735">
      <colorScale>
        <cfvo type="min"/>
        <cfvo type="percentile" val="50"/>
        <cfvo type="max"/>
        <color rgb="FFF8696B"/>
        <color rgb="FFFFEB84"/>
        <color rgb="FF63BE7B"/>
      </colorScale>
    </cfRule>
  </conditionalFormatting>
  <conditionalFormatting sqref="E7250:E7251">
    <cfRule type="colorScale" priority="4740">
      <colorScale>
        <cfvo type="min"/>
        <cfvo type="percentile" val="50"/>
        <cfvo type="max"/>
        <color rgb="FFF8696B"/>
        <color rgb="FFFFEB84"/>
        <color rgb="FF63BE7B"/>
      </colorScale>
    </cfRule>
  </conditionalFormatting>
  <conditionalFormatting sqref="E7255:E7256">
    <cfRule type="colorScale" priority="4745">
      <colorScale>
        <cfvo type="min"/>
        <cfvo type="percentile" val="50"/>
        <cfvo type="max"/>
        <color rgb="FFF8696B"/>
        <color rgb="FFFFEB84"/>
        <color rgb="FF63BE7B"/>
      </colorScale>
    </cfRule>
  </conditionalFormatting>
  <conditionalFormatting sqref="E7260:E7261">
    <cfRule type="colorScale" priority="4750">
      <colorScale>
        <cfvo type="min"/>
        <cfvo type="percentile" val="50"/>
        <cfvo type="max"/>
        <color rgb="FFF8696B"/>
        <color rgb="FFFFEB84"/>
        <color rgb="FF63BE7B"/>
      </colorScale>
    </cfRule>
  </conditionalFormatting>
  <conditionalFormatting sqref="E7265:E7266">
    <cfRule type="colorScale" priority="4755">
      <colorScale>
        <cfvo type="min"/>
        <cfvo type="percentile" val="50"/>
        <cfvo type="max"/>
        <color rgb="FFF8696B"/>
        <color rgb="FFFFEB84"/>
        <color rgb="FF63BE7B"/>
      </colorScale>
    </cfRule>
  </conditionalFormatting>
  <conditionalFormatting sqref="E7270:E7271">
    <cfRule type="colorScale" priority="4760">
      <colorScale>
        <cfvo type="min"/>
        <cfvo type="percentile" val="50"/>
        <cfvo type="max"/>
        <color rgb="FFF8696B"/>
        <color rgb="FFFFEB84"/>
        <color rgb="FF63BE7B"/>
      </colorScale>
    </cfRule>
  </conditionalFormatting>
  <conditionalFormatting sqref="E7275:E7276">
    <cfRule type="colorScale" priority="4765">
      <colorScale>
        <cfvo type="min"/>
        <cfvo type="percentile" val="50"/>
        <cfvo type="max"/>
        <color rgb="FFF8696B"/>
        <color rgb="FFFFEB84"/>
        <color rgb="FF63BE7B"/>
      </colorScale>
    </cfRule>
  </conditionalFormatting>
  <conditionalFormatting sqref="E7280">
    <cfRule type="colorScale" priority="4770">
      <colorScale>
        <cfvo type="min"/>
        <cfvo type="percentile" val="50"/>
        <cfvo type="max"/>
        <color rgb="FFF8696B"/>
        <color rgb="FFFFEB84"/>
        <color rgb="FF63BE7B"/>
      </colorScale>
    </cfRule>
  </conditionalFormatting>
  <conditionalFormatting sqref="E7284:E7285">
    <cfRule type="colorScale" priority="4775">
      <colorScale>
        <cfvo type="min"/>
        <cfvo type="percentile" val="50"/>
        <cfvo type="max"/>
        <color rgb="FFF8696B"/>
        <color rgb="FFFFEB84"/>
        <color rgb="FF63BE7B"/>
      </colorScale>
    </cfRule>
  </conditionalFormatting>
  <conditionalFormatting sqref="E7289:E7290">
    <cfRule type="colorScale" priority="4780">
      <colorScale>
        <cfvo type="min"/>
        <cfvo type="percentile" val="50"/>
        <cfvo type="max"/>
        <color rgb="FFF8696B"/>
        <color rgb="FFFFEB84"/>
        <color rgb="FF63BE7B"/>
      </colorScale>
    </cfRule>
  </conditionalFormatting>
  <conditionalFormatting sqref="E7294:E7297">
    <cfRule type="colorScale" priority="4785">
      <colorScale>
        <cfvo type="min"/>
        <cfvo type="percentile" val="50"/>
        <cfvo type="max"/>
        <color rgb="FFF8696B"/>
        <color rgb="FFFFEB84"/>
        <color rgb="FF63BE7B"/>
      </colorScale>
    </cfRule>
  </conditionalFormatting>
  <conditionalFormatting sqref="E7301">
    <cfRule type="colorScale" priority="4791">
      <colorScale>
        <cfvo type="min"/>
        <cfvo type="percentile" val="50"/>
        <cfvo type="max"/>
        <color rgb="FFF8696B"/>
        <color rgb="FFFFEB84"/>
        <color rgb="FF63BE7B"/>
      </colorScale>
    </cfRule>
  </conditionalFormatting>
  <conditionalFormatting sqref="E7305:E7306">
    <cfRule type="colorScale" priority="4795">
      <colorScale>
        <cfvo type="min"/>
        <cfvo type="percentile" val="50"/>
        <cfvo type="max"/>
        <color rgb="FFF8696B"/>
        <color rgb="FFFFEB84"/>
        <color rgb="FF63BE7B"/>
      </colorScale>
    </cfRule>
  </conditionalFormatting>
  <conditionalFormatting sqref="E7314:E7315">
    <cfRule type="colorScale" priority="4805">
      <colorScale>
        <cfvo type="min"/>
        <cfvo type="percentile" val="50"/>
        <cfvo type="max"/>
        <color rgb="FFF8696B"/>
        <color rgb="FFFFEB84"/>
        <color rgb="FF63BE7B"/>
      </colorScale>
    </cfRule>
  </conditionalFormatting>
  <conditionalFormatting sqref="E7319">
    <cfRule type="colorScale" priority="4810">
      <colorScale>
        <cfvo type="min"/>
        <cfvo type="percentile" val="50"/>
        <cfvo type="max"/>
        <color rgb="FFF8696B"/>
        <color rgb="FFFFEB84"/>
        <color rgb="FF63BE7B"/>
      </colorScale>
    </cfRule>
  </conditionalFormatting>
  <conditionalFormatting sqref="E7323:E7324">
    <cfRule type="colorScale" priority="4815">
      <colorScale>
        <cfvo type="min"/>
        <cfvo type="percentile" val="50"/>
        <cfvo type="max"/>
        <color rgb="FFF8696B"/>
        <color rgb="FFFFEB84"/>
        <color rgb="FF63BE7B"/>
      </colorScale>
    </cfRule>
  </conditionalFormatting>
  <conditionalFormatting sqref="E7328:E7329">
    <cfRule type="colorScale" priority="4820">
      <colorScale>
        <cfvo type="min"/>
        <cfvo type="percentile" val="50"/>
        <cfvo type="max"/>
        <color rgb="FFF8696B"/>
        <color rgb="FFFFEB84"/>
        <color rgb="FF63BE7B"/>
      </colorScale>
    </cfRule>
  </conditionalFormatting>
  <conditionalFormatting sqref="E7333:E7334">
    <cfRule type="colorScale" priority="4825">
      <colorScale>
        <cfvo type="min"/>
        <cfvo type="percentile" val="50"/>
        <cfvo type="max"/>
        <color rgb="FFF8696B"/>
        <color rgb="FFFFEB84"/>
        <color rgb="FF63BE7B"/>
      </colorScale>
    </cfRule>
  </conditionalFormatting>
  <conditionalFormatting sqref="E7338:E7339">
    <cfRule type="colorScale" priority="4830">
      <colorScale>
        <cfvo type="min"/>
        <cfvo type="percentile" val="50"/>
        <cfvo type="max"/>
        <color rgb="FFF8696B"/>
        <color rgb="FFFFEB84"/>
        <color rgb="FF63BE7B"/>
      </colorScale>
    </cfRule>
  </conditionalFormatting>
  <conditionalFormatting sqref="E7343:E7344">
    <cfRule type="colorScale" priority="4835">
      <colorScale>
        <cfvo type="min"/>
        <cfvo type="percentile" val="50"/>
        <cfvo type="max"/>
        <color rgb="FFF8696B"/>
        <color rgb="FFFFEB84"/>
        <color rgb="FF63BE7B"/>
      </colorScale>
    </cfRule>
  </conditionalFormatting>
  <conditionalFormatting sqref="E7348:E7349">
    <cfRule type="colorScale" priority="4840">
      <colorScale>
        <cfvo type="min"/>
        <cfvo type="percentile" val="50"/>
        <cfvo type="max"/>
        <color rgb="FFF8696B"/>
        <color rgb="FFFFEB84"/>
        <color rgb="FF63BE7B"/>
      </colorScale>
    </cfRule>
  </conditionalFormatting>
  <conditionalFormatting sqref="E7353">
    <cfRule type="colorScale" priority="4845">
      <colorScale>
        <cfvo type="min"/>
        <cfvo type="percentile" val="50"/>
        <cfvo type="max"/>
        <color rgb="FFF8696B"/>
        <color rgb="FFFFEB84"/>
        <color rgb="FF63BE7B"/>
      </colorScale>
    </cfRule>
  </conditionalFormatting>
  <conditionalFormatting sqref="E7357:E7358">
    <cfRule type="colorScale" priority="4850">
      <colorScale>
        <cfvo type="min"/>
        <cfvo type="percentile" val="50"/>
        <cfvo type="max"/>
        <color rgb="FFF8696B"/>
        <color rgb="FFFFEB84"/>
        <color rgb="FF63BE7B"/>
      </colorScale>
    </cfRule>
  </conditionalFormatting>
  <conditionalFormatting sqref="E7362:E7363">
    <cfRule type="colorScale" priority="4855">
      <colorScale>
        <cfvo type="min"/>
        <cfvo type="percentile" val="50"/>
        <cfvo type="max"/>
        <color rgb="FFF8696B"/>
        <color rgb="FFFFEB84"/>
        <color rgb="FF63BE7B"/>
      </colorScale>
    </cfRule>
  </conditionalFormatting>
  <conditionalFormatting sqref="E7367:E7370">
    <cfRule type="colorScale" priority="4860">
      <colorScale>
        <cfvo type="min"/>
        <cfvo type="percentile" val="50"/>
        <cfvo type="max"/>
        <color rgb="FFF8696B"/>
        <color rgb="FFFFEB84"/>
        <color rgb="FF63BE7B"/>
      </colorScale>
    </cfRule>
  </conditionalFormatting>
  <conditionalFormatting sqref="E7374">
    <cfRule type="colorScale" priority="4866">
      <colorScale>
        <cfvo type="min"/>
        <cfvo type="percentile" val="50"/>
        <cfvo type="max"/>
        <color rgb="FFF8696B"/>
        <color rgb="FFFFEB84"/>
        <color rgb="FF63BE7B"/>
      </colorScale>
    </cfRule>
  </conditionalFormatting>
  <conditionalFormatting sqref="E7378:E7379">
    <cfRule type="colorScale" priority="4870">
      <colorScale>
        <cfvo type="min"/>
        <cfvo type="percentile" val="50"/>
        <cfvo type="max"/>
        <color rgb="FFF8696B"/>
        <color rgb="FFFFEB84"/>
        <color rgb="FF63BE7B"/>
      </colorScale>
    </cfRule>
  </conditionalFormatting>
  <conditionalFormatting sqref="E7387">
    <cfRule type="colorScale" priority="4880">
      <colorScale>
        <cfvo type="min"/>
        <cfvo type="percentile" val="50"/>
        <cfvo type="max"/>
        <color rgb="FFF8696B"/>
        <color rgb="FFFFEB84"/>
        <color rgb="FF63BE7B"/>
      </colorScale>
    </cfRule>
  </conditionalFormatting>
  <conditionalFormatting sqref="E7391">
    <cfRule type="colorScale" priority="4885">
      <colorScale>
        <cfvo type="min"/>
        <cfvo type="percentile" val="50"/>
        <cfvo type="max"/>
        <color rgb="FFF8696B"/>
        <color rgb="FFFFEB84"/>
        <color rgb="FF63BE7B"/>
      </colorScale>
    </cfRule>
  </conditionalFormatting>
  <conditionalFormatting sqref="E7395">
    <cfRule type="colorScale" priority="4890">
      <colorScale>
        <cfvo type="min"/>
        <cfvo type="percentile" val="50"/>
        <cfvo type="max"/>
        <color rgb="FFF8696B"/>
        <color rgb="FFFFEB84"/>
        <color rgb="FF63BE7B"/>
      </colorScale>
    </cfRule>
  </conditionalFormatting>
  <conditionalFormatting sqref="E7399">
    <cfRule type="colorScale" priority="4895">
      <colorScale>
        <cfvo type="min"/>
        <cfvo type="percentile" val="50"/>
        <cfvo type="max"/>
        <color rgb="FFF8696B"/>
        <color rgb="FFFFEB84"/>
        <color rgb="FF63BE7B"/>
      </colorScale>
    </cfRule>
  </conditionalFormatting>
  <conditionalFormatting sqref="E7403:E7404">
    <cfRule type="colorScale" priority="4900">
      <colorScale>
        <cfvo type="min"/>
        <cfvo type="percentile" val="50"/>
        <cfvo type="max"/>
        <color rgb="FFF8696B"/>
        <color rgb="FFFFEB84"/>
        <color rgb="FF63BE7B"/>
      </colorScale>
    </cfRule>
  </conditionalFormatting>
  <conditionalFormatting sqref="E7408:E7409">
    <cfRule type="colorScale" priority="4905">
      <colorScale>
        <cfvo type="min"/>
        <cfvo type="percentile" val="50"/>
        <cfvo type="max"/>
        <color rgb="FFF8696B"/>
        <color rgb="FFFFEB84"/>
        <color rgb="FF63BE7B"/>
      </colorScale>
    </cfRule>
  </conditionalFormatting>
  <conditionalFormatting sqref="E7413:E7414">
    <cfRule type="colorScale" priority="4910">
      <colorScale>
        <cfvo type="min"/>
        <cfvo type="percentile" val="50"/>
        <cfvo type="max"/>
        <color rgb="FFF8696B"/>
        <color rgb="FFFFEB84"/>
        <color rgb="FF63BE7B"/>
      </colorScale>
    </cfRule>
  </conditionalFormatting>
  <conditionalFormatting sqref="E7418:E7419">
    <cfRule type="colorScale" priority="4915">
      <colorScale>
        <cfvo type="min"/>
        <cfvo type="percentile" val="50"/>
        <cfvo type="max"/>
        <color rgb="FFF8696B"/>
        <color rgb="FFFFEB84"/>
        <color rgb="FF63BE7B"/>
      </colorScale>
    </cfRule>
  </conditionalFormatting>
  <conditionalFormatting sqref="E7423">
    <cfRule type="colorScale" priority="4920">
      <colorScale>
        <cfvo type="min"/>
        <cfvo type="percentile" val="50"/>
        <cfvo type="max"/>
        <color rgb="FFF8696B"/>
        <color rgb="FFFFEB84"/>
        <color rgb="FF63BE7B"/>
      </colorScale>
    </cfRule>
  </conditionalFormatting>
  <conditionalFormatting sqref="E7427:E7428">
    <cfRule type="colorScale" priority="4925">
      <colorScale>
        <cfvo type="min"/>
        <cfvo type="percentile" val="50"/>
        <cfvo type="max"/>
        <color rgb="FFF8696B"/>
        <color rgb="FFFFEB84"/>
        <color rgb="FF63BE7B"/>
      </colorScale>
    </cfRule>
  </conditionalFormatting>
  <conditionalFormatting sqref="E7432:E7433">
    <cfRule type="colorScale" priority="4930">
      <colorScale>
        <cfvo type="min"/>
        <cfvo type="percentile" val="50"/>
        <cfvo type="max"/>
        <color rgb="FFF8696B"/>
        <color rgb="FFFFEB84"/>
        <color rgb="FF63BE7B"/>
      </colorScale>
    </cfRule>
  </conditionalFormatting>
  <conditionalFormatting sqref="E7437:E7440">
    <cfRule type="colorScale" priority="4935">
      <colorScale>
        <cfvo type="min"/>
        <cfvo type="percentile" val="50"/>
        <cfvo type="max"/>
        <color rgb="FFF8696B"/>
        <color rgb="FFFFEB84"/>
        <color rgb="FF63BE7B"/>
      </colorScale>
    </cfRule>
  </conditionalFormatting>
  <conditionalFormatting sqref="E7444">
    <cfRule type="colorScale" priority="4941">
      <colorScale>
        <cfvo type="min"/>
        <cfvo type="percentile" val="50"/>
        <cfvo type="max"/>
        <color rgb="FFF8696B"/>
        <color rgb="FFFFEB84"/>
        <color rgb="FF63BE7B"/>
      </colorScale>
    </cfRule>
  </conditionalFormatting>
  <conditionalFormatting sqref="E7448:E7449">
    <cfRule type="colorScale" priority="4945">
      <colorScale>
        <cfvo type="min"/>
        <cfvo type="percentile" val="50"/>
        <cfvo type="max"/>
        <color rgb="FFF8696B"/>
        <color rgb="FFFFEB84"/>
        <color rgb="FF63BE7B"/>
      </colorScale>
    </cfRule>
  </conditionalFormatting>
  <conditionalFormatting sqref="E7457:E7458">
    <cfRule type="colorScale" priority="4955">
      <colorScale>
        <cfvo type="min"/>
        <cfvo type="percentile" val="50"/>
        <cfvo type="max"/>
        <color rgb="FFF8696B"/>
        <color rgb="FFFFEB84"/>
        <color rgb="FF63BE7B"/>
      </colorScale>
    </cfRule>
  </conditionalFormatting>
  <conditionalFormatting sqref="E7462">
    <cfRule type="colorScale" priority="4960">
      <colorScale>
        <cfvo type="min"/>
        <cfvo type="percentile" val="50"/>
        <cfvo type="max"/>
        <color rgb="FFF8696B"/>
        <color rgb="FFFFEB84"/>
        <color rgb="FF63BE7B"/>
      </colorScale>
    </cfRule>
  </conditionalFormatting>
  <conditionalFormatting sqref="E7466:E7467">
    <cfRule type="colorScale" priority="4965">
      <colorScale>
        <cfvo type="min"/>
        <cfvo type="percentile" val="50"/>
        <cfvo type="max"/>
        <color rgb="FFF8696B"/>
        <color rgb="FFFFEB84"/>
        <color rgb="FF63BE7B"/>
      </colorScale>
    </cfRule>
  </conditionalFormatting>
  <conditionalFormatting sqref="E7471:E7472">
    <cfRule type="colorScale" priority="4970">
      <colorScale>
        <cfvo type="min"/>
        <cfvo type="percentile" val="50"/>
        <cfvo type="max"/>
        <color rgb="FFF8696B"/>
        <color rgb="FFFFEB84"/>
        <color rgb="FF63BE7B"/>
      </colorScale>
    </cfRule>
  </conditionalFormatting>
  <conditionalFormatting sqref="E7476:E7477">
    <cfRule type="colorScale" priority="4975">
      <colorScale>
        <cfvo type="min"/>
        <cfvo type="percentile" val="50"/>
        <cfvo type="max"/>
        <color rgb="FFF8696B"/>
        <color rgb="FFFFEB84"/>
        <color rgb="FF63BE7B"/>
      </colorScale>
    </cfRule>
  </conditionalFormatting>
  <conditionalFormatting sqref="E7481:E7482">
    <cfRule type="colorScale" priority="4980">
      <colorScale>
        <cfvo type="min"/>
        <cfvo type="percentile" val="50"/>
        <cfvo type="max"/>
        <color rgb="FFF8696B"/>
        <color rgb="FFFFEB84"/>
        <color rgb="FF63BE7B"/>
      </colorScale>
    </cfRule>
  </conditionalFormatting>
  <conditionalFormatting sqref="E7486:E7487">
    <cfRule type="colorScale" priority="4985">
      <colorScale>
        <cfvo type="min"/>
        <cfvo type="percentile" val="50"/>
        <cfvo type="max"/>
        <color rgb="FFF8696B"/>
        <color rgb="FFFFEB84"/>
        <color rgb="FF63BE7B"/>
      </colorScale>
    </cfRule>
  </conditionalFormatting>
  <conditionalFormatting sqref="E7491:E7492">
    <cfRule type="colorScale" priority="4990">
      <colorScale>
        <cfvo type="min"/>
        <cfvo type="percentile" val="50"/>
        <cfvo type="max"/>
        <color rgb="FFF8696B"/>
        <color rgb="FFFFEB84"/>
        <color rgb="FF63BE7B"/>
      </colorScale>
    </cfRule>
  </conditionalFormatting>
  <conditionalFormatting sqref="E7496">
    <cfRule type="colorScale" priority="4995">
      <colorScale>
        <cfvo type="min"/>
        <cfvo type="percentile" val="50"/>
        <cfvo type="max"/>
        <color rgb="FFF8696B"/>
        <color rgb="FFFFEB84"/>
        <color rgb="FF63BE7B"/>
      </colorScale>
    </cfRule>
  </conditionalFormatting>
  <conditionalFormatting sqref="E7500:E7501">
    <cfRule type="colorScale" priority="5000">
      <colorScale>
        <cfvo type="min"/>
        <cfvo type="percentile" val="50"/>
        <cfvo type="max"/>
        <color rgb="FFF8696B"/>
        <color rgb="FFFFEB84"/>
        <color rgb="FF63BE7B"/>
      </colorScale>
    </cfRule>
  </conditionalFormatting>
  <conditionalFormatting sqref="E7505:E7506">
    <cfRule type="colorScale" priority="5005">
      <colorScale>
        <cfvo type="min"/>
        <cfvo type="percentile" val="50"/>
        <cfvo type="max"/>
        <color rgb="FFF8696B"/>
        <color rgb="FFFFEB84"/>
        <color rgb="FF63BE7B"/>
      </colorScale>
    </cfRule>
  </conditionalFormatting>
  <conditionalFormatting sqref="E7510:E7513">
    <cfRule type="colorScale" priority="5010">
      <colorScale>
        <cfvo type="min"/>
        <cfvo type="percentile" val="50"/>
        <cfvo type="max"/>
        <color rgb="FFF8696B"/>
        <color rgb="FFFFEB84"/>
        <color rgb="FF63BE7B"/>
      </colorScale>
    </cfRule>
  </conditionalFormatting>
  <conditionalFormatting sqref="E7517">
    <cfRule type="colorScale" priority="5016">
      <colorScale>
        <cfvo type="min"/>
        <cfvo type="percentile" val="50"/>
        <cfvo type="max"/>
        <color rgb="FFF8696B"/>
        <color rgb="FFFFEB84"/>
        <color rgb="FF63BE7B"/>
      </colorScale>
    </cfRule>
  </conditionalFormatting>
  <conditionalFormatting sqref="E7521">
    <cfRule type="colorScale" priority="5020">
      <colorScale>
        <cfvo type="min"/>
        <cfvo type="percentile" val="50"/>
        <cfvo type="max"/>
        <color rgb="FFF8696B"/>
        <color rgb="FFFFEB84"/>
        <color rgb="FF63BE7B"/>
      </colorScale>
    </cfRule>
  </conditionalFormatting>
  <conditionalFormatting sqref="E7529:E7530">
    <cfRule type="colorScale" priority="5030">
      <colorScale>
        <cfvo type="min"/>
        <cfvo type="percentile" val="50"/>
        <cfvo type="max"/>
        <color rgb="FFF8696B"/>
        <color rgb="FFFFEB84"/>
        <color rgb="FF63BE7B"/>
      </colorScale>
    </cfRule>
  </conditionalFormatting>
  <conditionalFormatting sqref="E7534">
    <cfRule type="colorScale" priority="5035">
      <colorScale>
        <cfvo type="min"/>
        <cfvo type="percentile" val="50"/>
        <cfvo type="max"/>
        <color rgb="FFF8696B"/>
        <color rgb="FFFFEB84"/>
        <color rgb="FF63BE7B"/>
      </colorScale>
    </cfRule>
  </conditionalFormatting>
  <conditionalFormatting sqref="E7538:E7539">
    <cfRule type="colorScale" priority="5040">
      <colorScale>
        <cfvo type="min"/>
        <cfvo type="percentile" val="50"/>
        <cfvo type="max"/>
        <color rgb="FFF8696B"/>
        <color rgb="FFFFEB84"/>
        <color rgb="FF63BE7B"/>
      </colorScale>
    </cfRule>
  </conditionalFormatting>
  <conditionalFormatting sqref="E7543">
    <cfRule type="colorScale" priority="5045">
      <colorScale>
        <cfvo type="min"/>
        <cfvo type="percentile" val="50"/>
        <cfvo type="max"/>
        <color rgb="FFF8696B"/>
        <color rgb="FFFFEB84"/>
        <color rgb="FF63BE7B"/>
      </colorScale>
    </cfRule>
  </conditionalFormatting>
  <conditionalFormatting sqref="E7547:E7548">
    <cfRule type="colorScale" priority="5050">
      <colorScale>
        <cfvo type="min"/>
        <cfvo type="percentile" val="50"/>
        <cfvo type="max"/>
        <color rgb="FFF8696B"/>
        <color rgb="FFFFEB84"/>
        <color rgb="FF63BE7B"/>
      </colorScale>
    </cfRule>
  </conditionalFormatting>
  <conditionalFormatting sqref="E7552:E7553">
    <cfRule type="colorScale" priority="5055">
      <colorScale>
        <cfvo type="min"/>
        <cfvo type="percentile" val="50"/>
        <cfvo type="max"/>
        <color rgb="FFF8696B"/>
        <color rgb="FFFFEB84"/>
        <color rgb="FF63BE7B"/>
      </colorScale>
    </cfRule>
  </conditionalFormatting>
  <conditionalFormatting sqref="E7557:E7558">
    <cfRule type="colorScale" priority="5060">
      <colorScale>
        <cfvo type="min"/>
        <cfvo type="percentile" val="50"/>
        <cfvo type="max"/>
        <color rgb="FFF8696B"/>
        <color rgb="FFFFEB84"/>
        <color rgb="FF63BE7B"/>
      </colorScale>
    </cfRule>
  </conditionalFormatting>
  <conditionalFormatting sqref="E7562:E7563">
    <cfRule type="colorScale" priority="5065">
      <colorScale>
        <cfvo type="min"/>
        <cfvo type="percentile" val="50"/>
        <cfvo type="max"/>
        <color rgb="FFF8696B"/>
        <color rgb="FFFFEB84"/>
        <color rgb="FF63BE7B"/>
      </colorScale>
    </cfRule>
  </conditionalFormatting>
  <conditionalFormatting sqref="E7567">
    <cfRule type="colorScale" priority="5070">
      <colorScale>
        <cfvo type="min"/>
        <cfvo type="percentile" val="50"/>
        <cfvo type="max"/>
        <color rgb="FFF8696B"/>
        <color rgb="FFFFEB84"/>
        <color rgb="FF63BE7B"/>
      </colorScale>
    </cfRule>
  </conditionalFormatting>
  <conditionalFormatting sqref="E7571:E7572">
    <cfRule type="colorScale" priority="5075">
      <colorScale>
        <cfvo type="min"/>
        <cfvo type="percentile" val="50"/>
        <cfvo type="max"/>
        <color rgb="FFF8696B"/>
        <color rgb="FFFFEB84"/>
        <color rgb="FF63BE7B"/>
      </colorScale>
    </cfRule>
  </conditionalFormatting>
  <conditionalFormatting sqref="E7576:E7577">
    <cfRule type="colorScale" priority="5080">
      <colorScale>
        <cfvo type="min"/>
        <cfvo type="percentile" val="50"/>
        <cfvo type="max"/>
        <color rgb="FFF8696B"/>
        <color rgb="FFFFEB84"/>
        <color rgb="FF63BE7B"/>
      </colorScale>
    </cfRule>
  </conditionalFormatting>
  <conditionalFormatting sqref="E7581:E7584">
    <cfRule type="colorScale" priority="5085">
      <colorScale>
        <cfvo type="min"/>
        <cfvo type="percentile" val="50"/>
        <cfvo type="max"/>
        <color rgb="FFF8696B"/>
        <color rgb="FFFFEB84"/>
        <color rgb="FF63BE7B"/>
      </colorScale>
    </cfRule>
  </conditionalFormatting>
  <conditionalFormatting sqref="E7588">
    <cfRule type="colorScale" priority="5091">
      <colorScale>
        <cfvo type="min"/>
        <cfvo type="percentile" val="50"/>
        <cfvo type="max"/>
        <color rgb="FFF8696B"/>
        <color rgb="FFFFEB84"/>
        <color rgb="FF63BE7B"/>
      </colorScale>
    </cfRule>
  </conditionalFormatting>
  <conditionalFormatting sqref="E7592">
    <cfRule type="colorScale" priority="5095">
      <colorScale>
        <cfvo type="min"/>
        <cfvo type="percentile" val="50"/>
        <cfvo type="max"/>
        <color rgb="FFF8696B"/>
        <color rgb="FFFFEB84"/>
        <color rgb="FF63BE7B"/>
      </colorScale>
    </cfRule>
  </conditionalFormatting>
  <conditionalFormatting sqref="E7600:E7601">
    <cfRule type="colorScale" priority="5105">
      <colorScale>
        <cfvo type="min"/>
        <cfvo type="percentile" val="50"/>
        <cfvo type="max"/>
        <color rgb="FFF8696B"/>
        <color rgb="FFFFEB84"/>
        <color rgb="FF63BE7B"/>
      </colorScale>
    </cfRule>
  </conditionalFormatting>
  <conditionalFormatting sqref="E7605:E7606">
    <cfRule type="colorScale" priority="5110">
      <colorScale>
        <cfvo type="min"/>
        <cfvo type="percentile" val="50"/>
        <cfvo type="max"/>
        <color rgb="FFF8696B"/>
        <color rgb="FFFFEB84"/>
        <color rgb="FF63BE7B"/>
      </colorScale>
    </cfRule>
  </conditionalFormatting>
  <conditionalFormatting sqref="E7610:E7611">
    <cfRule type="colorScale" priority="5115">
      <colorScale>
        <cfvo type="min"/>
        <cfvo type="percentile" val="50"/>
        <cfvo type="max"/>
        <color rgb="FFF8696B"/>
        <color rgb="FFFFEB84"/>
        <color rgb="FF63BE7B"/>
      </colorScale>
    </cfRule>
  </conditionalFormatting>
  <conditionalFormatting sqref="E7615">
    <cfRule type="colorScale" priority="5120">
      <colorScale>
        <cfvo type="min"/>
        <cfvo type="percentile" val="50"/>
        <cfvo type="max"/>
        <color rgb="FFF8696B"/>
        <color rgb="FFFFEB84"/>
        <color rgb="FF63BE7B"/>
      </colorScale>
    </cfRule>
  </conditionalFormatting>
  <conditionalFormatting sqref="E7619:E7620">
    <cfRule type="colorScale" priority="5125">
      <colorScale>
        <cfvo type="min"/>
        <cfvo type="percentile" val="50"/>
        <cfvo type="max"/>
        <color rgb="FFF8696B"/>
        <color rgb="FFFFEB84"/>
        <color rgb="FF63BE7B"/>
      </colorScale>
    </cfRule>
  </conditionalFormatting>
  <conditionalFormatting sqref="E7624:E7625">
    <cfRule type="colorScale" priority="5130">
      <colorScale>
        <cfvo type="min"/>
        <cfvo type="percentile" val="50"/>
        <cfvo type="max"/>
        <color rgb="FFF8696B"/>
        <color rgb="FFFFEB84"/>
        <color rgb="FF63BE7B"/>
      </colorScale>
    </cfRule>
  </conditionalFormatting>
  <conditionalFormatting sqref="E7629:E7630">
    <cfRule type="colorScale" priority="5135">
      <colorScale>
        <cfvo type="min"/>
        <cfvo type="percentile" val="50"/>
        <cfvo type="max"/>
        <color rgb="FFF8696B"/>
        <color rgb="FFFFEB84"/>
        <color rgb="FF63BE7B"/>
      </colorScale>
    </cfRule>
  </conditionalFormatting>
  <conditionalFormatting sqref="E7634:E7635">
    <cfRule type="colorScale" priority="5140">
      <colorScale>
        <cfvo type="min"/>
        <cfvo type="percentile" val="50"/>
        <cfvo type="max"/>
        <color rgb="FFF8696B"/>
        <color rgb="FFFFEB84"/>
        <color rgb="FF63BE7B"/>
      </colorScale>
    </cfRule>
  </conditionalFormatting>
  <conditionalFormatting sqref="E7639">
    <cfRule type="colorScale" priority="5145">
      <colorScale>
        <cfvo type="min"/>
        <cfvo type="percentile" val="50"/>
        <cfvo type="max"/>
        <color rgb="FFF8696B"/>
        <color rgb="FFFFEB84"/>
        <color rgb="FF63BE7B"/>
      </colorScale>
    </cfRule>
  </conditionalFormatting>
  <conditionalFormatting sqref="E7643:E7644">
    <cfRule type="colorScale" priority="5150">
      <colorScale>
        <cfvo type="min"/>
        <cfvo type="percentile" val="50"/>
        <cfvo type="max"/>
        <color rgb="FFF8696B"/>
        <color rgb="FFFFEB84"/>
        <color rgb="FF63BE7B"/>
      </colorScale>
    </cfRule>
  </conditionalFormatting>
  <conditionalFormatting sqref="E7648:E7649">
    <cfRule type="colorScale" priority="5155">
      <colorScale>
        <cfvo type="min"/>
        <cfvo type="percentile" val="50"/>
        <cfvo type="max"/>
        <color rgb="FFF8696B"/>
        <color rgb="FFFFEB84"/>
        <color rgb="FF63BE7B"/>
      </colorScale>
    </cfRule>
  </conditionalFormatting>
  <conditionalFormatting sqref="E7653:E7656">
    <cfRule type="colorScale" priority="5160">
      <colorScale>
        <cfvo type="min"/>
        <cfvo type="percentile" val="50"/>
        <cfvo type="max"/>
        <color rgb="FFF8696B"/>
        <color rgb="FFFFEB84"/>
        <color rgb="FF63BE7B"/>
      </colorScale>
    </cfRule>
  </conditionalFormatting>
  <conditionalFormatting sqref="E7660">
    <cfRule type="colorScale" priority="5166">
      <colorScale>
        <cfvo type="min"/>
        <cfvo type="percentile" val="50"/>
        <cfvo type="max"/>
        <color rgb="FFF8696B"/>
        <color rgb="FFFFEB84"/>
        <color rgb="FF63BE7B"/>
      </colorScale>
    </cfRule>
  </conditionalFormatting>
  <conditionalFormatting sqref="E7664:E7665">
    <cfRule type="colorScale" priority="5170">
      <colorScale>
        <cfvo type="min"/>
        <cfvo type="percentile" val="50"/>
        <cfvo type="max"/>
        <color rgb="FFF8696B"/>
        <color rgb="FFFFEB84"/>
        <color rgb="FF63BE7B"/>
      </colorScale>
    </cfRule>
  </conditionalFormatting>
  <conditionalFormatting sqref="E7673:E7674">
    <cfRule type="colorScale" priority="5180">
      <colorScale>
        <cfvo type="min"/>
        <cfvo type="percentile" val="50"/>
        <cfvo type="max"/>
        <color rgb="FFF8696B"/>
        <color rgb="FFFFEB84"/>
        <color rgb="FF63BE7B"/>
      </colorScale>
    </cfRule>
  </conditionalFormatting>
  <conditionalFormatting sqref="E7678:E7679">
    <cfRule type="colorScale" priority="5185">
      <colorScale>
        <cfvo type="min"/>
        <cfvo type="percentile" val="50"/>
        <cfvo type="max"/>
        <color rgb="FFF8696B"/>
        <color rgb="FFFFEB84"/>
        <color rgb="FF63BE7B"/>
      </colorScale>
    </cfRule>
  </conditionalFormatting>
  <conditionalFormatting sqref="E7683:E7684">
    <cfRule type="colorScale" priority="5190">
      <colorScale>
        <cfvo type="min"/>
        <cfvo type="percentile" val="50"/>
        <cfvo type="max"/>
        <color rgb="FFF8696B"/>
        <color rgb="FFFFEB84"/>
        <color rgb="FF63BE7B"/>
      </colorScale>
    </cfRule>
  </conditionalFormatting>
  <conditionalFormatting sqref="E7688:E7689">
    <cfRule type="colorScale" priority="5195">
      <colorScale>
        <cfvo type="min"/>
        <cfvo type="percentile" val="50"/>
        <cfvo type="max"/>
        <color rgb="FFF8696B"/>
        <color rgb="FFFFEB84"/>
        <color rgb="FF63BE7B"/>
      </colorScale>
    </cfRule>
  </conditionalFormatting>
  <conditionalFormatting sqref="E7693:E7694">
    <cfRule type="colorScale" priority="5200">
      <colorScale>
        <cfvo type="min"/>
        <cfvo type="percentile" val="50"/>
        <cfvo type="max"/>
        <color rgb="FFF8696B"/>
        <color rgb="FFFFEB84"/>
        <color rgb="FF63BE7B"/>
      </colorScale>
    </cfRule>
  </conditionalFormatting>
  <conditionalFormatting sqref="E7698:E7699">
    <cfRule type="colorScale" priority="5205">
      <colorScale>
        <cfvo type="min"/>
        <cfvo type="percentile" val="50"/>
        <cfvo type="max"/>
        <color rgb="FFF8696B"/>
        <color rgb="FFFFEB84"/>
        <color rgb="FF63BE7B"/>
      </colorScale>
    </cfRule>
  </conditionalFormatting>
  <conditionalFormatting sqref="E7703:E7704">
    <cfRule type="colorScale" priority="5210">
      <colorScale>
        <cfvo type="min"/>
        <cfvo type="percentile" val="50"/>
        <cfvo type="max"/>
        <color rgb="FFF8696B"/>
        <color rgb="FFFFEB84"/>
        <color rgb="FF63BE7B"/>
      </colorScale>
    </cfRule>
  </conditionalFormatting>
  <conditionalFormatting sqref="E7708:E7709">
    <cfRule type="colorScale" priority="5215">
      <colorScale>
        <cfvo type="min"/>
        <cfvo type="percentile" val="50"/>
        <cfvo type="max"/>
        <color rgb="FFF8696B"/>
        <color rgb="FFFFEB84"/>
        <color rgb="FF63BE7B"/>
      </colorScale>
    </cfRule>
  </conditionalFormatting>
  <conditionalFormatting sqref="E7713">
    <cfRule type="colorScale" priority="5220">
      <colorScale>
        <cfvo type="min"/>
        <cfvo type="percentile" val="50"/>
        <cfvo type="max"/>
        <color rgb="FFF8696B"/>
        <color rgb="FFFFEB84"/>
        <color rgb="FF63BE7B"/>
      </colorScale>
    </cfRule>
  </conditionalFormatting>
  <conditionalFormatting sqref="E7717:E7718">
    <cfRule type="colorScale" priority="5225">
      <colorScale>
        <cfvo type="min"/>
        <cfvo type="percentile" val="50"/>
        <cfvo type="max"/>
        <color rgb="FFF8696B"/>
        <color rgb="FFFFEB84"/>
        <color rgb="FF63BE7B"/>
      </colorScale>
    </cfRule>
  </conditionalFormatting>
  <conditionalFormatting sqref="E7722:E7723">
    <cfRule type="colorScale" priority="5230">
      <colorScale>
        <cfvo type="min"/>
        <cfvo type="percentile" val="50"/>
        <cfvo type="max"/>
        <color rgb="FFF8696B"/>
        <color rgb="FFFFEB84"/>
        <color rgb="FF63BE7B"/>
      </colorScale>
    </cfRule>
  </conditionalFormatting>
  <conditionalFormatting sqref="E7727:E7730">
    <cfRule type="colorScale" priority="5235">
      <colorScale>
        <cfvo type="min"/>
        <cfvo type="percentile" val="50"/>
        <cfvo type="max"/>
        <color rgb="FFF8696B"/>
        <color rgb="FFFFEB84"/>
        <color rgb="FF63BE7B"/>
      </colorScale>
    </cfRule>
  </conditionalFormatting>
  <conditionalFormatting sqref="E7734">
    <cfRule type="colorScale" priority="5241">
      <colorScale>
        <cfvo type="min"/>
        <cfvo type="percentile" val="50"/>
        <cfvo type="max"/>
        <color rgb="FFF8696B"/>
        <color rgb="FFFFEB84"/>
        <color rgb="FF63BE7B"/>
      </colorScale>
    </cfRule>
  </conditionalFormatting>
  <conditionalFormatting sqref="E7738">
    <cfRule type="colorScale" priority="5245">
      <colorScale>
        <cfvo type="min"/>
        <cfvo type="percentile" val="50"/>
        <cfvo type="max"/>
        <color rgb="FFF8696B"/>
        <color rgb="FFFFEB84"/>
        <color rgb="FF63BE7B"/>
      </colorScale>
    </cfRule>
  </conditionalFormatting>
  <conditionalFormatting sqref="E7746:E7747">
    <cfRule type="colorScale" priority="5255">
      <colorScale>
        <cfvo type="min"/>
        <cfvo type="percentile" val="50"/>
        <cfvo type="max"/>
        <color rgb="FFF8696B"/>
        <color rgb="FFFFEB84"/>
        <color rgb="FF63BE7B"/>
      </colorScale>
    </cfRule>
  </conditionalFormatting>
  <conditionalFormatting sqref="E7751">
    <cfRule type="colorScale" priority="5260">
      <colorScale>
        <cfvo type="min"/>
        <cfvo type="percentile" val="50"/>
        <cfvo type="max"/>
        <color rgb="FFF8696B"/>
        <color rgb="FFFFEB84"/>
        <color rgb="FF63BE7B"/>
      </colorScale>
    </cfRule>
  </conditionalFormatting>
  <conditionalFormatting sqref="E7755:E7756">
    <cfRule type="colorScale" priority="5265">
      <colorScale>
        <cfvo type="min"/>
        <cfvo type="percentile" val="50"/>
        <cfvo type="max"/>
        <color rgb="FFF8696B"/>
        <color rgb="FFFFEB84"/>
        <color rgb="FF63BE7B"/>
      </colorScale>
    </cfRule>
  </conditionalFormatting>
  <conditionalFormatting sqref="E7760">
    <cfRule type="colorScale" priority="5270">
      <colorScale>
        <cfvo type="min"/>
        <cfvo type="percentile" val="50"/>
        <cfvo type="max"/>
        <color rgb="FFF8696B"/>
        <color rgb="FFFFEB84"/>
        <color rgb="FF63BE7B"/>
      </colorScale>
    </cfRule>
  </conditionalFormatting>
  <conditionalFormatting sqref="E7764:E7765">
    <cfRule type="colorScale" priority="5275">
      <colorScale>
        <cfvo type="min"/>
        <cfvo type="percentile" val="50"/>
        <cfvo type="max"/>
        <color rgb="FFF8696B"/>
        <color rgb="FFFFEB84"/>
        <color rgb="FF63BE7B"/>
      </colorScale>
    </cfRule>
  </conditionalFormatting>
  <conditionalFormatting sqref="E7769:E7770">
    <cfRule type="colorScale" priority="5280">
      <colorScale>
        <cfvo type="min"/>
        <cfvo type="percentile" val="50"/>
        <cfvo type="max"/>
        <color rgb="FFF8696B"/>
        <color rgb="FFFFEB84"/>
        <color rgb="FF63BE7B"/>
      </colorScale>
    </cfRule>
  </conditionalFormatting>
  <conditionalFormatting sqref="E7774:E7775">
    <cfRule type="colorScale" priority="5285">
      <colorScale>
        <cfvo type="min"/>
        <cfvo type="percentile" val="50"/>
        <cfvo type="max"/>
        <color rgb="FFF8696B"/>
        <color rgb="FFFFEB84"/>
        <color rgb="FF63BE7B"/>
      </colorScale>
    </cfRule>
  </conditionalFormatting>
  <conditionalFormatting sqref="E7779:E7780">
    <cfRule type="colorScale" priority="5290">
      <colorScale>
        <cfvo type="min"/>
        <cfvo type="percentile" val="50"/>
        <cfvo type="max"/>
        <color rgb="FFF8696B"/>
        <color rgb="FFFFEB84"/>
        <color rgb="FF63BE7B"/>
      </colorScale>
    </cfRule>
  </conditionalFormatting>
  <conditionalFormatting sqref="E7784">
    <cfRule type="colorScale" priority="5295">
      <colorScale>
        <cfvo type="min"/>
        <cfvo type="percentile" val="50"/>
        <cfvo type="max"/>
        <color rgb="FFF8696B"/>
        <color rgb="FFFFEB84"/>
        <color rgb="FF63BE7B"/>
      </colorScale>
    </cfRule>
  </conditionalFormatting>
  <conditionalFormatting sqref="E7788:E7789">
    <cfRule type="colorScale" priority="5300">
      <colorScale>
        <cfvo type="min"/>
        <cfvo type="percentile" val="50"/>
        <cfvo type="max"/>
        <color rgb="FFF8696B"/>
        <color rgb="FFFFEB84"/>
        <color rgb="FF63BE7B"/>
      </colorScale>
    </cfRule>
  </conditionalFormatting>
  <conditionalFormatting sqref="E7793:E7794">
    <cfRule type="colorScale" priority="5305">
      <colorScale>
        <cfvo type="min"/>
        <cfvo type="percentile" val="50"/>
        <cfvo type="max"/>
        <color rgb="FFF8696B"/>
        <color rgb="FFFFEB84"/>
        <color rgb="FF63BE7B"/>
      </colorScale>
    </cfRule>
  </conditionalFormatting>
  <conditionalFormatting sqref="E7798:E7801">
    <cfRule type="colorScale" priority="5310">
      <colorScale>
        <cfvo type="min"/>
        <cfvo type="percentile" val="50"/>
        <cfvo type="max"/>
        <color rgb="FFF8696B"/>
        <color rgb="FFFFEB84"/>
        <color rgb="FF63BE7B"/>
      </colorScale>
    </cfRule>
  </conditionalFormatting>
  <conditionalFormatting sqref="E7805">
    <cfRule type="colorScale" priority="5316">
      <colorScale>
        <cfvo type="min"/>
        <cfvo type="percentile" val="50"/>
        <cfvo type="max"/>
        <color rgb="FFF8696B"/>
        <color rgb="FFFFEB84"/>
        <color rgb="FF63BE7B"/>
      </colorScale>
    </cfRule>
  </conditionalFormatting>
  <conditionalFormatting sqref="E7809">
    <cfRule type="colorScale" priority="5320">
      <colorScale>
        <cfvo type="min"/>
        <cfvo type="percentile" val="50"/>
        <cfvo type="max"/>
        <color rgb="FFF8696B"/>
        <color rgb="FFFFEB84"/>
        <color rgb="FF63BE7B"/>
      </colorScale>
    </cfRule>
  </conditionalFormatting>
  <conditionalFormatting sqref="E7817:E7818">
    <cfRule type="colorScale" priority="5330">
      <colorScale>
        <cfvo type="min"/>
        <cfvo type="percentile" val="50"/>
        <cfvo type="max"/>
        <color rgb="FFF8696B"/>
        <color rgb="FFFFEB84"/>
        <color rgb="FF63BE7B"/>
      </colorScale>
    </cfRule>
  </conditionalFormatting>
  <conditionalFormatting sqref="E7822">
    <cfRule type="colorScale" priority="5335">
      <colorScale>
        <cfvo type="min"/>
        <cfvo type="percentile" val="50"/>
        <cfvo type="max"/>
        <color rgb="FFF8696B"/>
        <color rgb="FFFFEB84"/>
        <color rgb="FF63BE7B"/>
      </colorScale>
    </cfRule>
  </conditionalFormatting>
  <conditionalFormatting sqref="E7826">
    <cfRule type="colorScale" priority="5340">
      <colorScale>
        <cfvo type="min"/>
        <cfvo type="percentile" val="50"/>
        <cfvo type="max"/>
        <color rgb="FFF8696B"/>
        <color rgb="FFFFEB84"/>
        <color rgb="FF63BE7B"/>
      </colorScale>
    </cfRule>
  </conditionalFormatting>
  <conditionalFormatting sqref="E7830:E7831">
    <cfRule type="colorScale" priority="5345">
      <colorScale>
        <cfvo type="min"/>
        <cfvo type="percentile" val="50"/>
        <cfvo type="max"/>
        <color rgb="FFF8696B"/>
        <color rgb="FFFFEB84"/>
        <color rgb="FF63BE7B"/>
      </colorScale>
    </cfRule>
  </conditionalFormatting>
  <conditionalFormatting sqref="E7835:E7836">
    <cfRule type="colorScale" priority="5350">
      <colorScale>
        <cfvo type="min"/>
        <cfvo type="percentile" val="50"/>
        <cfvo type="max"/>
        <color rgb="FFF8696B"/>
        <color rgb="FFFFEB84"/>
        <color rgb="FF63BE7B"/>
      </colorScale>
    </cfRule>
  </conditionalFormatting>
  <conditionalFormatting sqref="E7840:E7841">
    <cfRule type="colorScale" priority="5355">
      <colorScale>
        <cfvo type="min"/>
        <cfvo type="percentile" val="50"/>
        <cfvo type="max"/>
        <color rgb="FFF8696B"/>
        <color rgb="FFFFEB84"/>
        <color rgb="FF63BE7B"/>
      </colorScale>
    </cfRule>
  </conditionalFormatting>
  <conditionalFormatting sqref="E7845:E7846">
    <cfRule type="colorScale" priority="5360">
      <colorScale>
        <cfvo type="min"/>
        <cfvo type="percentile" val="50"/>
        <cfvo type="max"/>
        <color rgb="FFF8696B"/>
        <color rgb="FFFFEB84"/>
        <color rgb="FF63BE7B"/>
      </colorScale>
    </cfRule>
  </conditionalFormatting>
  <conditionalFormatting sqref="E7850:E7851">
    <cfRule type="colorScale" priority="5365">
      <colorScale>
        <cfvo type="min"/>
        <cfvo type="percentile" val="50"/>
        <cfvo type="max"/>
        <color rgb="FFF8696B"/>
        <color rgb="FFFFEB84"/>
        <color rgb="FF63BE7B"/>
      </colorScale>
    </cfRule>
  </conditionalFormatting>
  <conditionalFormatting sqref="E7855">
    <cfRule type="colorScale" priority="5370">
      <colorScale>
        <cfvo type="min"/>
        <cfvo type="percentile" val="50"/>
        <cfvo type="max"/>
        <color rgb="FFF8696B"/>
        <color rgb="FFFFEB84"/>
        <color rgb="FF63BE7B"/>
      </colorScale>
    </cfRule>
  </conditionalFormatting>
  <conditionalFormatting sqref="E7859:E7860">
    <cfRule type="colorScale" priority="5375">
      <colorScale>
        <cfvo type="min"/>
        <cfvo type="percentile" val="50"/>
        <cfvo type="max"/>
        <color rgb="FFF8696B"/>
        <color rgb="FFFFEB84"/>
        <color rgb="FF63BE7B"/>
      </colorScale>
    </cfRule>
  </conditionalFormatting>
  <conditionalFormatting sqref="E7864">
    <cfRule type="colorScale" priority="5380">
      <colorScale>
        <cfvo type="min"/>
        <cfvo type="percentile" val="50"/>
        <cfvo type="max"/>
        <color rgb="FFF8696B"/>
        <color rgb="FFFFEB84"/>
        <color rgb="FF63BE7B"/>
      </colorScale>
    </cfRule>
  </conditionalFormatting>
  <conditionalFormatting sqref="E7868:E7871">
    <cfRule type="colorScale" priority="5385">
      <colorScale>
        <cfvo type="min"/>
        <cfvo type="percentile" val="50"/>
        <cfvo type="max"/>
        <color rgb="FFF8696B"/>
        <color rgb="FFFFEB84"/>
        <color rgb="FF63BE7B"/>
      </colorScale>
    </cfRule>
  </conditionalFormatting>
  <conditionalFormatting sqref="E7875">
    <cfRule type="colorScale" priority="5391">
      <colorScale>
        <cfvo type="min"/>
        <cfvo type="percentile" val="50"/>
        <cfvo type="max"/>
        <color rgb="FFF8696B"/>
        <color rgb="FFFFEB84"/>
        <color rgb="FF63BE7B"/>
      </colorScale>
    </cfRule>
  </conditionalFormatting>
  <conditionalFormatting sqref="E7879">
    <cfRule type="colorScale" priority="5395">
      <colorScale>
        <cfvo type="min"/>
        <cfvo type="percentile" val="50"/>
        <cfvo type="max"/>
        <color rgb="FFF8696B"/>
        <color rgb="FFFFEB84"/>
        <color rgb="FF63BE7B"/>
      </colorScale>
    </cfRule>
  </conditionalFormatting>
  <conditionalFormatting sqref="E7887">
    <cfRule type="colorScale" priority="5405">
      <colorScale>
        <cfvo type="min"/>
        <cfvo type="percentile" val="50"/>
        <cfvo type="max"/>
        <color rgb="FFF8696B"/>
        <color rgb="FFFFEB84"/>
        <color rgb="FF63BE7B"/>
      </colorScale>
    </cfRule>
  </conditionalFormatting>
  <conditionalFormatting sqref="E7891">
    <cfRule type="colorScale" priority="5410">
      <colorScale>
        <cfvo type="min"/>
        <cfvo type="percentile" val="50"/>
        <cfvo type="max"/>
        <color rgb="FFF8696B"/>
        <color rgb="FFFFEB84"/>
        <color rgb="FF63BE7B"/>
      </colorScale>
    </cfRule>
  </conditionalFormatting>
  <conditionalFormatting sqref="E7895:E7896">
    <cfRule type="colorScale" priority="5415">
      <colorScale>
        <cfvo type="min"/>
        <cfvo type="percentile" val="50"/>
        <cfvo type="max"/>
        <color rgb="FFF8696B"/>
        <color rgb="FFFFEB84"/>
        <color rgb="FF63BE7B"/>
      </colorScale>
    </cfRule>
  </conditionalFormatting>
  <conditionalFormatting sqref="E7900">
    <cfRule type="colorScale" priority="5420">
      <colorScale>
        <cfvo type="min"/>
        <cfvo type="percentile" val="50"/>
        <cfvo type="max"/>
        <color rgb="FFF8696B"/>
        <color rgb="FFFFEB84"/>
        <color rgb="FF63BE7B"/>
      </colorScale>
    </cfRule>
  </conditionalFormatting>
  <conditionalFormatting sqref="E7904:E7905">
    <cfRule type="colorScale" priority="5425">
      <colorScale>
        <cfvo type="min"/>
        <cfvo type="percentile" val="50"/>
        <cfvo type="max"/>
        <color rgb="FFF8696B"/>
        <color rgb="FFFFEB84"/>
        <color rgb="FF63BE7B"/>
      </colorScale>
    </cfRule>
  </conditionalFormatting>
  <conditionalFormatting sqref="E7909:E7910">
    <cfRule type="colorScale" priority="5430">
      <colorScale>
        <cfvo type="min"/>
        <cfvo type="percentile" val="50"/>
        <cfvo type="max"/>
        <color rgb="FFF8696B"/>
        <color rgb="FFFFEB84"/>
        <color rgb="FF63BE7B"/>
      </colorScale>
    </cfRule>
  </conditionalFormatting>
  <conditionalFormatting sqref="E7914:E7915">
    <cfRule type="colorScale" priority="5435">
      <colorScale>
        <cfvo type="min"/>
        <cfvo type="percentile" val="50"/>
        <cfvo type="max"/>
        <color rgb="FFF8696B"/>
        <color rgb="FFFFEB84"/>
        <color rgb="FF63BE7B"/>
      </colorScale>
    </cfRule>
  </conditionalFormatting>
  <conditionalFormatting sqref="E7919:E7920">
    <cfRule type="colorScale" priority="5440">
      <colorScale>
        <cfvo type="min"/>
        <cfvo type="percentile" val="50"/>
        <cfvo type="max"/>
        <color rgb="FFF8696B"/>
        <color rgb="FFFFEB84"/>
        <color rgb="FF63BE7B"/>
      </colorScale>
    </cfRule>
  </conditionalFormatting>
  <conditionalFormatting sqref="E7924">
    <cfRule type="colorScale" priority="5445">
      <colorScale>
        <cfvo type="min"/>
        <cfvo type="percentile" val="50"/>
        <cfvo type="max"/>
        <color rgb="FFF8696B"/>
        <color rgb="FFFFEB84"/>
        <color rgb="FF63BE7B"/>
      </colorScale>
    </cfRule>
  </conditionalFormatting>
  <conditionalFormatting sqref="E7928:E7929">
    <cfRule type="colorScale" priority="5450">
      <colorScale>
        <cfvo type="min"/>
        <cfvo type="percentile" val="50"/>
        <cfvo type="max"/>
        <color rgb="FFF8696B"/>
        <color rgb="FFFFEB84"/>
        <color rgb="FF63BE7B"/>
      </colorScale>
    </cfRule>
  </conditionalFormatting>
  <conditionalFormatting sqref="E7933:E7934">
    <cfRule type="colorScale" priority="5455">
      <colorScale>
        <cfvo type="min"/>
        <cfvo type="percentile" val="50"/>
        <cfvo type="max"/>
        <color rgb="FFF8696B"/>
        <color rgb="FFFFEB84"/>
        <color rgb="FF63BE7B"/>
      </colorScale>
    </cfRule>
  </conditionalFormatting>
  <conditionalFormatting sqref="E7938:E7941">
    <cfRule type="colorScale" priority="5460">
      <colorScale>
        <cfvo type="min"/>
        <cfvo type="percentile" val="50"/>
        <cfvo type="max"/>
        <color rgb="FFF8696B"/>
        <color rgb="FFFFEB84"/>
        <color rgb="FF63BE7B"/>
      </colorScale>
    </cfRule>
  </conditionalFormatting>
  <conditionalFormatting sqref="E7945">
    <cfRule type="colorScale" priority="5466">
      <colorScale>
        <cfvo type="min"/>
        <cfvo type="percentile" val="50"/>
        <cfvo type="max"/>
        <color rgb="FFF8696B"/>
        <color rgb="FFFFEB84"/>
        <color rgb="FF63BE7B"/>
      </colorScale>
    </cfRule>
  </conditionalFormatting>
  <conditionalFormatting sqref="E7949:E7950">
    <cfRule type="colorScale" priority="5470">
      <colorScale>
        <cfvo type="min"/>
        <cfvo type="percentile" val="50"/>
        <cfvo type="max"/>
        <color rgb="FFF8696B"/>
        <color rgb="FFFFEB84"/>
        <color rgb="FF63BE7B"/>
      </colorScale>
    </cfRule>
  </conditionalFormatting>
  <conditionalFormatting sqref="E7958:E7959">
    <cfRule type="colorScale" priority="5480">
      <colorScale>
        <cfvo type="min"/>
        <cfvo type="percentile" val="50"/>
        <cfvo type="max"/>
        <color rgb="FFF8696B"/>
        <color rgb="FFFFEB84"/>
        <color rgb="FF63BE7B"/>
      </colorScale>
    </cfRule>
  </conditionalFormatting>
  <conditionalFormatting sqref="E7963:E7964">
    <cfRule type="colorScale" priority="5485">
      <colorScale>
        <cfvo type="min"/>
        <cfvo type="percentile" val="50"/>
        <cfvo type="max"/>
        <color rgb="FFF8696B"/>
        <color rgb="FFFFEB84"/>
        <color rgb="FF63BE7B"/>
      </colorScale>
    </cfRule>
  </conditionalFormatting>
  <conditionalFormatting sqref="E7968:E7969">
    <cfRule type="colorScale" priority="5490">
      <colorScale>
        <cfvo type="min"/>
        <cfvo type="percentile" val="50"/>
        <cfvo type="max"/>
        <color rgb="FFF8696B"/>
        <color rgb="FFFFEB84"/>
        <color rgb="FF63BE7B"/>
      </colorScale>
    </cfRule>
  </conditionalFormatting>
  <conditionalFormatting sqref="E7973">
    <cfRule type="colorScale" priority="5495">
      <colorScale>
        <cfvo type="min"/>
        <cfvo type="percentile" val="50"/>
        <cfvo type="max"/>
        <color rgb="FFF8696B"/>
        <color rgb="FFFFEB84"/>
        <color rgb="FF63BE7B"/>
      </colorScale>
    </cfRule>
  </conditionalFormatting>
  <conditionalFormatting sqref="E7977:E7978">
    <cfRule type="colorScale" priority="5500">
      <colorScale>
        <cfvo type="min"/>
        <cfvo type="percentile" val="50"/>
        <cfvo type="max"/>
        <color rgb="FFF8696B"/>
        <color rgb="FFFFEB84"/>
        <color rgb="FF63BE7B"/>
      </colorScale>
    </cfRule>
  </conditionalFormatting>
  <conditionalFormatting sqref="E7982:E7983">
    <cfRule type="colorScale" priority="5505">
      <colorScale>
        <cfvo type="min"/>
        <cfvo type="percentile" val="50"/>
        <cfvo type="max"/>
        <color rgb="FFF8696B"/>
        <color rgb="FFFFEB84"/>
        <color rgb="FF63BE7B"/>
      </colorScale>
    </cfRule>
  </conditionalFormatting>
  <conditionalFormatting sqref="E7987:E7988">
    <cfRule type="colorScale" priority="5510">
      <colorScale>
        <cfvo type="min"/>
        <cfvo type="percentile" val="50"/>
        <cfvo type="max"/>
        <color rgb="FFF8696B"/>
        <color rgb="FFFFEB84"/>
        <color rgb="FF63BE7B"/>
      </colorScale>
    </cfRule>
  </conditionalFormatting>
  <conditionalFormatting sqref="E7992:E7993">
    <cfRule type="colorScale" priority="5515">
      <colorScale>
        <cfvo type="min"/>
        <cfvo type="percentile" val="50"/>
        <cfvo type="max"/>
        <color rgb="FFF8696B"/>
        <color rgb="FFFFEB84"/>
        <color rgb="FF63BE7B"/>
      </colorScale>
    </cfRule>
  </conditionalFormatting>
  <conditionalFormatting sqref="E7997">
    <cfRule type="colorScale" priority="5520">
      <colorScale>
        <cfvo type="min"/>
        <cfvo type="percentile" val="50"/>
        <cfvo type="max"/>
        <color rgb="FFF8696B"/>
        <color rgb="FFFFEB84"/>
        <color rgb="FF63BE7B"/>
      </colorScale>
    </cfRule>
  </conditionalFormatting>
  <conditionalFormatting sqref="E8001:E8002">
    <cfRule type="colorScale" priority="5525">
      <colorScale>
        <cfvo type="min"/>
        <cfvo type="percentile" val="50"/>
        <cfvo type="max"/>
        <color rgb="FFF8696B"/>
        <color rgb="FFFFEB84"/>
        <color rgb="FF63BE7B"/>
      </colorScale>
    </cfRule>
  </conditionalFormatting>
  <conditionalFormatting sqref="E8006:E8007">
    <cfRule type="colorScale" priority="5530">
      <colorScale>
        <cfvo type="min"/>
        <cfvo type="percentile" val="50"/>
        <cfvo type="max"/>
        <color rgb="FFF8696B"/>
        <color rgb="FFFFEB84"/>
        <color rgb="FF63BE7B"/>
      </colorScale>
    </cfRule>
  </conditionalFormatting>
  <conditionalFormatting sqref="E8011:E8014">
    <cfRule type="colorScale" priority="5535">
      <colorScale>
        <cfvo type="min"/>
        <cfvo type="percentile" val="50"/>
        <cfvo type="max"/>
        <color rgb="FFF8696B"/>
        <color rgb="FFFFEB84"/>
        <color rgb="FF63BE7B"/>
      </colorScale>
    </cfRule>
  </conditionalFormatting>
  <conditionalFormatting sqref="E8018">
    <cfRule type="colorScale" priority="5541">
      <colorScale>
        <cfvo type="min"/>
        <cfvo type="percentile" val="50"/>
        <cfvo type="max"/>
        <color rgb="FFF8696B"/>
        <color rgb="FFFFEB84"/>
        <color rgb="FF63BE7B"/>
      </colorScale>
    </cfRule>
  </conditionalFormatting>
  <conditionalFormatting sqref="E8022">
    <cfRule type="colorScale" priority="5545">
      <colorScale>
        <cfvo type="min"/>
        <cfvo type="percentile" val="50"/>
        <cfvo type="max"/>
        <color rgb="FFF8696B"/>
        <color rgb="FFFFEB84"/>
        <color rgb="FF63BE7B"/>
      </colorScale>
    </cfRule>
  </conditionalFormatting>
  <conditionalFormatting sqref="E8030">
    <cfRule type="colorScale" priority="5555">
      <colorScale>
        <cfvo type="min"/>
        <cfvo type="percentile" val="50"/>
        <cfvo type="max"/>
        <color rgb="FFF8696B"/>
        <color rgb="FFFFEB84"/>
        <color rgb="FF63BE7B"/>
      </colorScale>
    </cfRule>
  </conditionalFormatting>
  <conditionalFormatting sqref="E8034">
    <cfRule type="colorScale" priority="5560">
      <colorScale>
        <cfvo type="min"/>
        <cfvo type="percentile" val="50"/>
        <cfvo type="max"/>
        <color rgb="FFF8696B"/>
        <color rgb="FFFFEB84"/>
        <color rgb="FF63BE7B"/>
      </colorScale>
    </cfRule>
  </conditionalFormatting>
  <conditionalFormatting sqref="E8038:E8039">
    <cfRule type="colorScale" priority="5565">
      <colorScale>
        <cfvo type="min"/>
        <cfvo type="percentile" val="50"/>
        <cfvo type="max"/>
        <color rgb="FFF8696B"/>
        <color rgb="FFFFEB84"/>
        <color rgb="FF63BE7B"/>
      </colorScale>
    </cfRule>
  </conditionalFormatting>
  <conditionalFormatting sqref="E8043">
    <cfRule type="colorScale" priority="5570">
      <colorScale>
        <cfvo type="min"/>
        <cfvo type="percentile" val="50"/>
        <cfvo type="max"/>
        <color rgb="FFF8696B"/>
        <color rgb="FFFFEB84"/>
        <color rgb="FF63BE7B"/>
      </colorScale>
    </cfRule>
  </conditionalFormatting>
  <conditionalFormatting sqref="E8047:E8048">
    <cfRule type="colorScale" priority="5575">
      <colorScale>
        <cfvo type="min"/>
        <cfvo type="percentile" val="50"/>
        <cfvo type="max"/>
        <color rgb="FFF8696B"/>
        <color rgb="FFFFEB84"/>
        <color rgb="FF63BE7B"/>
      </colorScale>
    </cfRule>
  </conditionalFormatting>
  <conditionalFormatting sqref="E8052:E8053">
    <cfRule type="colorScale" priority="5580">
      <colorScale>
        <cfvo type="min"/>
        <cfvo type="percentile" val="50"/>
        <cfvo type="max"/>
        <color rgb="FFF8696B"/>
        <color rgb="FFFFEB84"/>
        <color rgb="FF63BE7B"/>
      </colorScale>
    </cfRule>
  </conditionalFormatting>
  <conditionalFormatting sqref="E8057:E8058">
    <cfRule type="colorScale" priority="5585">
      <colorScale>
        <cfvo type="min"/>
        <cfvo type="percentile" val="50"/>
        <cfvo type="max"/>
        <color rgb="FFF8696B"/>
        <color rgb="FFFFEB84"/>
        <color rgb="FF63BE7B"/>
      </colorScale>
    </cfRule>
  </conditionalFormatting>
  <conditionalFormatting sqref="E8062">
    <cfRule type="colorScale" priority="5590">
      <colorScale>
        <cfvo type="min"/>
        <cfvo type="percentile" val="50"/>
        <cfvo type="max"/>
        <color rgb="FFF8696B"/>
        <color rgb="FFFFEB84"/>
        <color rgb="FF63BE7B"/>
      </colorScale>
    </cfRule>
  </conditionalFormatting>
  <conditionalFormatting sqref="E8066">
    <cfRule type="colorScale" priority="5595">
      <colorScale>
        <cfvo type="min"/>
        <cfvo type="percentile" val="50"/>
        <cfvo type="max"/>
        <color rgb="FFF8696B"/>
        <color rgb="FFFFEB84"/>
        <color rgb="FF63BE7B"/>
      </colorScale>
    </cfRule>
  </conditionalFormatting>
  <conditionalFormatting sqref="E8070:E8071">
    <cfRule type="colorScale" priority="5600">
      <colorScale>
        <cfvo type="min"/>
        <cfvo type="percentile" val="50"/>
        <cfvo type="max"/>
        <color rgb="FFF8696B"/>
        <color rgb="FFFFEB84"/>
        <color rgb="FF63BE7B"/>
      </colorScale>
    </cfRule>
  </conditionalFormatting>
  <conditionalFormatting sqref="E8075:E8076">
    <cfRule type="colorScale" priority="5605">
      <colorScale>
        <cfvo type="min"/>
        <cfvo type="percentile" val="50"/>
        <cfvo type="max"/>
        <color rgb="FFF8696B"/>
        <color rgb="FFFFEB84"/>
        <color rgb="FF63BE7B"/>
      </colorScale>
    </cfRule>
  </conditionalFormatting>
  <conditionalFormatting sqref="E8080:E8083">
    <cfRule type="colorScale" priority="5610">
      <colorScale>
        <cfvo type="min"/>
        <cfvo type="percentile" val="50"/>
        <cfvo type="max"/>
        <color rgb="FFF8696B"/>
        <color rgb="FFFFEB84"/>
        <color rgb="FF63BE7B"/>
      </colorScale>
    </cfRule>
  </conditionalFormatting>
  <conditionalFormatting sqref="E8087">
    <cfRule type="colorScale" priority="5616">
      <colorScale>
        <cfvo type="min"/>
        <cfvo type="percentile" val="50"/>
        <cfvo type="max"/>
        <color rgb="FFF8696B"/>
        <color rgb="FFFFEB84"/>
        <color rgb="FF63BE7B"/>
      </colorScale>
    </cfRule>
  </conditionalFormatting>
  <conditionalFormatting sqref="E8091">
    <cfRule type="colorScale" priority="5620">
      <colorScale>
        <cfvo type="min"/>
        <cfvo type="percentile" val="50"/>
        <cfvo type="max"/>
        <color rgb="FFF8696B"/>
        <color rgb="FFFFEB84"/>
        <color rgb="FF63BE7B"/>
      </colorScale>
    </cfRule>
  </conditionalFormatting>
  <conditionalFormatting sqref="E8099:E8100">
    <cfRule type="colorScale" priority="5630">
      <colorScale>
        <cfvo type="min"/>
        <cfvo type="percentile" val="50"/>
        <cfvo type="max"/>
        <color rgb="FFF8696B"/>
        <color rgb="FFFFEB84"/>
        <color rgb="FF63BE7B"/>
      </colorScale>
    </cfRule>
  </conditionalFormatting>
  <conditionalFormatting sqref="E8104">
    <cfRule type="colorScale" priority="5635">
      <colorScale>
        <cfvo type="min"/>
        <cfvo type="percentile" val="50"/>
        <cfvo type="max"/>
        <color rgb="FFF8696B"/>
        <color rgb="FFFFEB84"/>
        <color rgb="FF63BE7B"/>
      </colorScale>
    </cfRule>
  </conditionalFormatting>
  <conditionalFormatting sqref="E8108:E8109">
    <cfRule type="colorScale" priority="5640">
      <colorScale>
        <cfvo type="min"/>
        <cfvo type="percentile" val="50"/>
        <cfvo type="max"/>
        <color rgb="FFF8696B"/>
        <color rgb="FFFFEB84"/>
        <color rgb="FF63BE7B"/>
      </colorScale>
    </cfRule>
  </conditionalFormatting>
  <conditionalFormatting sqref="E8113">
    <cfRule type="colorScale" priority="5645">
      <colorScale>
        <cfvo type="min"/>
        <cfvo type="percentile" val="50"/>
        <cfvo type="max"/>
        <color rgb="FFF8696B"/>
        <color rgb="FFFFEB84"/>
        <color rgb="FF63BE7B"/>
      </colorScale>
    </cfRule>
  </conditionalFormatting>
  <conditionalFormatting sqref="E8117:E8118">
    <cfRule type="colorScale" priority="5650">
      <colorScale>
        <cfvo type="min"/>
        <cfvo type="percentile" val="50"/>
        <cfvo type="max"/>
        <color rgb="FFF8696B"/>
        <color rgb="FFFFEB84"/>
        <color rgb="FF63BE7B"/>
      </colorScale>
    </cfRule>
  </conditionalFormatting>
  <conditionalFormatting sqref="E8122:E8123">
    <cfRule type="colorScale" priority="5655">
      <colorScale>
        <cfvo type="min"/>
        <cfvo type="percentile" val="50"/>
        <cfvo type="max"/>
        <color rgb="FFF8696B"/>
        <color rgb="FFFFEB84"/>
        <color rgb="FF63BE7B"/>
      </colorScale>
    </cfRule>
  </conditionalFormatting>
  <conditionalFormatting sqref="E8127:E8128">
    <cfRule type="colorScale" priority="5660">
      <colorScale>
        <cfvo type="min"/>
        <cfvo type="percentile" val="50"/>
        <cfvo type="max"/>
        <color rgb="FFF8696B"/>
        <color rgb="FFFFEB84"/>
        <color rgb="FF63BE7B"/>
      </colorScale>
    </cfRule>
  </conditionalFormatting>
  <conditionalFormatting sqref="E8132:E8133">
    <cfRule type="colorScale" priority="5665">
      <colorScale>
        <cfvo type="min"/>
        <cfvo type="percentile" val="50"/>
        <cfvo type="max"/>
        <color rgb="FFF8696B"/>
        <color rgb="FFFFEB84"/>
        <color rgb="FF63BE7B"/>
      </colorScale>
    </cfRule>
  </conditionalFormatting>
  <conditionalFormatting sqref="E8137">
    <cfRule type="colorScale" priority="5670">
      <colorScale>
        <cfvo type="min"/>
        <cfvo type="percentile" val="50"/>
        <cfvo type="max"/>
        <color rgb="FFF8696B"/>
        <color rgb="FFFFEB84"/>
        <color rgb="FF63BE7B"/>
      </colorScale>
    </cfRule>
  </conditionalFormatting>
  <conditionalFormatting sqref="E8141:E8142">
    <cfRule type="colorScale" priority="5675">
      <colorScale>
        <cfvo type="min"/>
        <cfvo type="percentile" val="50"/>
        <cfvo type="max"/>
        <color rgb="FFF8696B"/>
        <color rgb="FFFFEB84"/>
        <color rgb="FF63BE7B"/>
      </colorScale>
    </cfRule>
  </conditionalFormatting>
  <conditionalFormatting sqref="E8146:E8147">
    <cfRule type="colorScale" priority="5680">
      <colorScale>
        <cfvo type="min"/>
        <cfvo type="percentile" val="50"/>
        <cfvo type="max"/>
        <color rgb="FFF8696B"/>
        <color rgb="FFFFEB84"/>
        <color rgb="FF63BE7B"/>
      </colorScale>
    </cfRule>
  </conditionalFormatting>
  <conditionalFormatting sqref="E8151:E8154">
    <cfRule type="colorScale" priority="5685">
      <colorScale>
        <cfvo type="min"/>
        <cfvo type="percentile" val="50"/>
        <cfvo type="max"/>
        <color rgb="FFF8696B"/>
        <color rgb="FFFFEB84"/>
        <color rgb="FF63BE7B"/>
      </colorScale>
    </cfRule>
  </conditionalFormatting>
  <conditionalFormatting sqref="E8158">
    <cfRule type="colorScale" priority="5691">
      <colorScale>
        <cfvo type="min"/>
        <cfvo type="percentile" val="50"/>
        <cfvo type="max"/>
        <color rgb="FFF8696B"/>
        <color rgb="FFFFEB84"/>
        <color rgb="FF63BE7B"/>
      </colorScale>
    </cfRule>
  </conditionalFormatting>
  <conditionalFormatting sqref="E8162">
    <cfRule type="colorScale" priority="5695">
      <colorScale>
        <cfvo type="min"/>
        <cfvo type="percentile" val="50"/>
        <cfvo type="max"/>
        <color rgb="FFF8696B"/>
        <color rgb="FFFFEB84"/>
        <color rgb="FF63BE7B"/>
      </colorScale>
    </cfRule>
  </conditionalFormatting>
  <conditionalFormatting sqref="E8170">
    <cfRule type="colorScale" priority="5705">
      <colorScale>
        <cfvo type="min"/>
        <cfvo type="percentile" val="50"/>
        <cfvo type="max"/>
        <color rgb="FFF8696B"/>
        <color rgb="FFFFEB84"/>
        <color rgb="FF63BE7B"/>
      </colorScale>
    </cfRule>
  </conditionalFormatting>
  <conditionalFormatting sqref="E8174">
    <cfRule type="colorScale" priority="5710">
      <colorScale>
        <cfvo type="min"/>
        <cfvo type="percentile" val="50"/>
        <cfvo type="max"/>
        <color rgb="FFF8696B"/>
        <color rgb="FFFFEB84"/>
        <color rgb="FF63BE7B"/>
      </colorScale>
    </cfRule>
  </conditionalFormatting>
  <conditionalFormatting sqref="E8178">
    <cfRule type="colorScale" priority="5715">
      <colorScale>
        <cfvo type="min"/>
        <cfvo type="percentile" val="50"/>
        <cfvo type="max"/>
        <color rgb="FFF8696B"/>
        <color rgb="FFFFEB84"/>
        <color rgb="FF63BE7B"/>
      </colorScale>
    </cfRule>
  </conditionalFormatting>
  <conditionalFormatting sqref="E8182">
    <cfRule type="colorScale" priority="5720">
      <colorScale>
        <cfvo type="min"/>
        <cfvo type="percentile" val="50"/>
        <cfvo type="max"/>
        <color rgb="FFF8696B"/>
        <color rgb="FFFFEB84"/>
        <color rgb="FF63BE7B"/>
      </colorScale>
    </cfRule>
  </conditionalFormatting>
  <conditionalFormatting sqref="E8186:E8187">
    <cfRule type="colorScale" priority="5725">
      <colorScale>
        <cfvo type="min"/>
        <cfvo type="percentile" val="50"/>
        <cfvo type="max"/>
        <color rgb="FFF8696B"/>
        <color rgb="FFFFEB84"/>
        <color rgb="FF63BE7B"/>
      </colorScale>
    </cfRule>
  </conditionalFormatting>
  <conditionalFormatting sqref="E8191:E8192">
    <cfRule type="colorScale" priority="5730">
      <colorScale>
        <cfvo type="min"/>
        <cfvo type="percentile" val="50"/>
        <cfvo type="max"/>
        <color rgb="FFF8696B"/>
        <color rgb="FFFFEB84"/>
        <color rgb="FF63BE7B"/>
      </colorScale>
    </cfRule>
  </conditionalFormatting>
  <conditionalFormatting sqref="E8196:E8197">
    <cfRule type="colorScale" priority="5735">
      <colorScale>
        <cfvo type="min"/>
        <cfvo type="percentile" val="50"/>
        <cfvo type="max"/>
        <color rgb="FFF8696B"/>
        <color rgb="FFFFEB84"/>
        <color rgb="FF63BE7B"/>
      </colorScale>
    </cfRule>
  </conditionalFormatting>
  <conditionalFormatting sqref="E8201">
    <cfRule type="colorScale" priority="5740">
      <colorScale>
        <cfvo type="min"/>
        <cfvo type="percentile" val="50"/>
        <cfvo type="max"/>
        <color rgb="FFF8696B"/>
        <color rgb="FFFFEB84"/>
        <color rgb="FF63BE7B"/>
      </colorScale>
    </cfRule>
  </conditionalFormatting>
  <conditionalFormatting sqref="E8205">
    <cfRule type="colorScale" priority="5745">
      <colorScale>
        <cfvo type="min"/>
        <cfvo type="percentile" val="50"/>
        <cfvo type="max"/>
        <color rgb="FFF8696B"/>
        <color rgb="FFFFEB84"/>
        <color rgb="FF63BE7B"/>
      </colorScale>
    </cfRule>
  </conditionalFormatting>
  <conditionalFormatting sqref="E8209:E8210">
    <cfRule type="colorScale" priority="5750">
      <colorScale>
        <cfvo type="min"/>
        <cfvo type="percentile" val="50"/>
        <cfvo type="max"/>
        <color rgb="FFF8696B"/>
        <color rgb="FFFFEB84"/>
        <color rgb="FF63BE7B"/>
      </colorScale>
    </cfRule>
  </conditionalFormatting>
  <conditionalFormatting sqref="E8214">
    <cfRule type="colorScale" priority="5755">
      <colorScale>
        <cfvo type="min"/>
        <cfvo type="percentile" val="50"/>
        <cfvo type="max"/>
        <color rgb="FFF8696B"/>
        <color rgb="FFFFEB84"/>
        <color rgb="FF63BE7B"/>
      </colorScale>
    </cfRule>
  </conditionalFormatting>
  <conditionalFormatting sqref="E8218:E8220">
    <cfRule type="colorScale" priority="5760">
      <colorScale>
        <cfvo type="min"/>
        <cfvo type="percentile" val="50"/>
        <cfvo type="max"/>
        <color rgb="FFF8696B"/>
        <color rgb="FFFFEB84"/>
        <color rgb="FF63BE7B"/>
      </colorScale>
    </cfRule>
  </conditionalFormatting>
  <conditionalFormatting sqref="E8224">
    <cfRule type="colorScale" priority="5766">
      <colorScale>
        <cfvo type="min"/>
        <cfvo type="percentile" val="50"/>
        <cfvo type="max"/>
        <color rgb="FFF8696B"/>
        <color rgb="FFFFEB84"/>
        <color rgb="FF63BE7B"/>
      </colorScale>
    </cfRule>
  </conditionalFormatting>
  <conditionalFormatting sqref="E8228:E8229">
    <cfRule type="colorScale" priority="5770">
      <colorScale>
        <cfvo type="min"/>
        <cfvo type="percentile" val="50"/>
        <cfvo type="max"/>
        <color rgb="FFF8696B"/>
        <color rgb="FFFFEB84"/>
        <color rgb="FF63BE7B"/>
      </colorScale>
    </cfRule>
  </conditionalFormatting>
  <conditionalFormatting sqref="E8237:E8238">
    <cfRule type="colorScale" priority="5780">
      <colorScale>
        <cfvo type="min"/>
        <cfvo type="percentile" val="50"/>
        <cfvo type="max"/>
        <color rgb="FFF8696B"/>
        <color rgb="FFFFEB84"/>
        <color rgb="FF63BE7B"/>
      </colorScale>
    </cfRule>
  </conditionalFormatting>
  <conditionalFormatting sqref="E8242">
    <cfRule type="colorScale" priority="5785">
      <colorScale>
        <cfvo type="min"/>
        <cfvo type="percentile" val="50"/>
        <cfvo type="max"/>
        <color rgb="FFF8696B"/>
        <color rgb="FFFFEB84"/>
        <color rgb="FF63BE7B"/>
      </colorScale>
    </cfRule>
  </conditionalFormatting>
  <conditionalFormatting sqref="E8246:E8247">
    <cfRule type="colorScale" priority="5790">
      <colorScale>
        <cfvo type="min"/>
        <cfvo type="percentile" val="50"/>
        <cfvo type="max"/>
        <color rgb="FFF8696B"/>
        <color rgb="FFFFEB84"/>
        <color rgb="FF63BE7B"/>
      </colorScale>
    </cfRule>
  </conditionalFormatting>
  <conditionalFormatting sqref="E8251">
    <cfRule type="colorScale" priority="5795">
      <colorScale>
        <cfvo type="min"/>
        <cfvo type="percentile" val="50"/>
        <cfvo type="max"/>
        <color rgb="FFF8696B"/>
        <color rgb="FFFFEB84"/>
        <color rgb="FF63BE7B"/>
      </colorScale>
    </cfRule>
  </conditionalFormatting>
  <conditionalFormatting sqref="E8255:E8256">
    <cfRule type="colorScale" priority="5800">
      <colorScale>
        <cfvo type="min"/>
        <cfvo type="percentile" val="50"/>
        <cfvo type="max"/>
        <color rgb="FFF8696B"/>
        <color rgb="FFFFEB84"/>
        <color rgb="FF63BE7B"/>
      </colorScale>
    </cfRule>
  </conditionalFormatting>
  <conditionalFormatting sqref="E8260:E8261">
    <cfRule type="colorScale" priority="5805">
      <colorScale>
        <cfvo type="min"/>
        <cfvo type="percentile" val="50"/>
        <cfvo type="max"/>
        <color rgb="FFF8696B"/>
        <color rgb="FFFFEB84"/>
        <color rgb="FF63BE7B"/>
      </colorScale>
    </cfRule>
  </conditionalFormatting>
  <conditionalFormatting sqref="E8265:E8266">
    <cfRule type="colorScale" priority="5810">
      <colorScale>
        <cfvo type="min"/>
        <cfvo type="percentile" val="50"/>
        <cfvo type="max"/>
        <color rgb="FFF8696B"/>
        <color rgb="FFFFEB84"/>
        <color rgb="FF63BE7B"/>
      </colorScale>
    </cfRule>
  </conditionalFormatting>
  <conditionalFormatting sqref="E8270">
    <cfRule type="colorScale" priority="5815">
      <colorScale>
        <cfvo type="min"/>
        <cfvo type="percentile" val="50"/>
        <cfvo type="max"/>
        <color rgb="FFF8696B"/>
        <color rgb="FFFFEB84"/>
        <color rgb="FF63BE7B"/>
      </colorScale>
    </cfRule>
  </conditionalFormatting>
  <conditionalFormatting sqref="E8274">
    <cfRule type="colorScale" priority="5820">
      <colorScale>
        <cfvo type="min"/>
        <cfvo type="percentile" val="50"/>
        <cfvo type="max"/>
        <color rgb="FFF8696B"/>
        <color rgb="FFFFEB84"/>
        <color rgb="FF63BE7B"/>
      </colorScale>
    </cfRule>
  </conditionalFormatting>
  <conditionalFormatting sqref="E8278:E8279">
    <cfRule type="colorScale" priority="5825">
      <colorScale>
        <cfvo type="min"/>
        <cfvo type="percentile" val="50"/>
        <cfvo type="max"/>
        <color rgb="FFF8696B"/>
        <color rgb="FFFFEB84"/>
        <color rgb="FF63BE7B"/>
      </colorScale>
    </cfRule>
  </conditionalFormatting>
  <conditionalFormatting sqref="E8283:E8284">
    <cfRule type="colorScale" priority="5830">
      <colorScale>
        <cfvo type="min"/>
        <cfvo type="percentile" val="50"/>
        <cfvo type="max"/>
        <color rgb="FFF8696B"/>
        <color rgb="FFFFEB84"/>
        <color rgb="FF63BE7B"/>
      </colorScale>
    </cfRule>
  </conditionalFormatting>
  <conditionalFormatting sqref="E8288:E8291">
    <cfRule type="colorScale" priority="5835">
      <colorScale>
        <cfvo type="min"/>
        <cfvo type="percentile" val="50"/>
        <cfvo type="max"/>
        <color rgb="FFF8696B"/>
        <color rgb="FFFFEB84"/>
        <color rgb="FF63BE7B"/>
      </colorScale>
    </cfRule>
  </conditionalFormatting>
  <conditionalFormatting sqref="E8295">
    <cfRule type="colorScale" priority="5841">
      <colorScale>
        <cfvo type="min"/>
        <cfvo type="percentile" val="50"/>
        <cfvo type="max"/>
        <color rgb="FFF8696B"/>
        <color rgb="FFFFEB84"/>
        <color rgb="FF63BE7B"/>
      </colorScale>
    </cfRule>
  </conditionalFormatting>
  <conditionalFormatting sqref="E8299:E8300">
    <cfRule type="colorScale" priority="5845">
      <colorScale>
        <cfvo type="min"/>
        <cfvo type="percentile" val="50"/>
        <cfvo type="max"/>
        <color rgb="FFF8696B"/>
        <color rgb="FFFFEB84"/>
        <color rgb="FF63BE7B"/>
      </colorScale>
    </cfRule>
  </conditionalFormatting>
  <conditionalFormatting sqref="E8308:E8309">
    <cfRule type="colorScale" priority="5855">
      <colorScale>
        <cfvo type="min"/>
        <cfvo type="percentile" val="50"/>
        <cfvo type="max"/>
        <color rgb="FFF8696B"/>
        <color rgb="FFFFEB84"/>
        <color rgb="FF63BE7B"/>
      </colorScale>
    </cfRule>
  </conditionalFormatting>
  <conditionalFormatting sqref="E8313">
    <cfRule type="colorScale" priority="5860">
      <colorScale>
        <cfvo type="min"/>
        <cfvo type="percentile" val="50"/>
        <cfvo type="max"/>
        <color rgb="FFF8696B"/>
        <color rgb="FFFFEB84"/>
        <color rgb="FF63BE7B"/>
      </colorScale>
    </cfRule>
  </conditionalFormatting>
  <conditionalFormatting sqref="E8317:E8318">
    <cfRule type="colorScale" priority="5865">
      <colorScale>
        <cfvo type="min"/>
        <cfvo type="percentile" val="50"/>
        <cfvo type="max"/>
        <color rgb="FFF8696B"/>
        <color rgb="FFFFEB84"/>
        <color rgb="FF63BE7B"/>
      </colorScale>
    </cfRule>
  </conditionalFormatting>
  <conditionalFormatting sqref="E8322">
    <cfRule type="colorScale" priority="5870">
      <colorScale>
        <cfvo type="min"/>
        <cfvo type="percentile" val="50"/>
        <cfvo type="max"/>
        <color rgb="FFF8696B"/>
        <color rgb="FFFFEB84"/>
        <color rgb="FF63BE7B"/>
      </colorScale>
    </cfRule>
  </conditionalFormatting>
  <conditionalFormatting sqref="E8326:E8327">
    <cfRule type="colorScale" priority="5875">
      <colorScale>
        <cfvo type="min"/>
        <cfvo type="percentile" val="50"/>
        <cfvo type="max"/>
        <color rgb="FFF8696B"/>
        <color rgb="FFFFEB84"/>
        <color rgb="FF63BE7B"/>
      </colorScale>
    </cfRule>
  </conditionalFormatting>
  <conditionalFormatting sqref="E8331:E8332">
    <cfRule type="colorScale" priority="5880">
      <colorScale>
        <cfvo type="min"/>
        <cfvo type="percentile" val="50"/>
        <cfvo type="max"/>
        <color rgb="FFF8696B"/>
        <color rgb="FFFFEB84"/>
        <color rgb="FF63BE7B"/>
      </colorScale>
    </cfRule>
  </conditionalFormatting>
  <conditionalFormatting sqref="E8336:E8337">
    <cfRule type="colorScale" priority="5885">
      <colorScale>
        <cfvo type="min"/>
        <cfvo type="percentile" val="50"/>
        <cfvo type="max"/>
        <color rgb="FFF8696B"/>
        <color rgb="FFFFEB84"/>
        <color rgb="FF63BE7B"/>
      </colorScale>
    </cfRule>
  </conditionalFormatting>
  <conditionalFormatting sqref="E8341:E8342">
    <cfRule type="colorScale" priority="5890">
      <colorScale>
        <cfvo type="min"/>
        <cfvo type="percentile" val="50"/>
        <cfvo type="max"/>
        <color rgb="FFF8696B"/>
        <color rgb="FFFFEB84"/>
        <color rgb="FF63BE7B"/>
      </colorScale>
    </cfRule>
  </conditionalFormatting>
  <conditionalFormatting sqref="E8346">
    <cfRule type="colorScale" priority="5895">
      <colorScale>
        <cfvo type="min"/>
        <cfvo type="percentile" val="50"/>
        <cfvo type="max"/>
        <color rgb="FFF8696B"/>
        <color rgb="FFFFEB84"/>
        <color rgb="FF63BE7B"/>
      </colorScale>
    </cfRule>
  </conditionalFormatting>
  <conditionalFormatting sqref="E8350:E8351">
    <cfRule type="colorScale" priority="5900">
      <colorScale>
        <cfvo type="min"/>
        <cfvo type="percentile" val="50"/>
        <cfvo type="max"/>
        <color rgb="FFF8696B"/>
        <color rgb="FFFFEB84"/>
        <color rgb="FF63BE7B"/>
      </colorScale>
    </cfRule>
  </conditionalFormatting>
  <conditionalFormatting sqref="E8355:E8356">
    <cfRule type="colorScale" priority="5905">
      <colorScale>
        <cfvo type="min"/>
        <cfvo type="percentile" val="50"/>
        <cfvo type="max"/>
        <color rgb="FFF8696B"/>
        <color rgb="FFFFEB84"/>
        <color rgb="FF63BE7B"/>
      </colorScale>
    </cfRule>
  </conditionalFormatting>
  <conditionalFormatting sqref="E8360:E8363">
    <cfRule type="colorScale" priority="5910">
      <colorScale>
        <cfvo type="min"/>
        <cfvo type="percentile" val="50"/>
        <cfvo type="max"/>
        <color rgb="FFF8696B"/>
        <color rgb="FFFFEB84"/>
        <color rgb="FF63BE7B"/>
      </colorScale>
    </cfRule>
  </conditionalFormatting>
  <conditionalFormatting sqref="E8367">
    <cfRule type="colorScale" priority="5916">
      <colorScale>
        <cfvo type="min"/>
        <cfvo type="percentile" val="50"/>
        <cfvo type="max"/>
        <color rgb="FFF8696B"/>
        <color rgb="FFFFEB84"/>
        <color rgb="FF63BE7B"/>
      </colorScale>
    </cfRule>
  </conditionalFormatting>
  <conditionalFormatting sqref="E8371:E8372">
    <cfRule type="colorScale" priority="5920">
      <colorScale>
        <cfvo type="min"/>
        <cfvo type="percentile" val="50"/>
        <cfvo type="max"/>
        <color rgb="FFF8696B"/>
        <color rgb="FFFFEB84"/>
        <color rgb="FF63BE7B"/>
      </colorScale>
    </cfRule>
  </conditionalFormatting>
  <conditionalFormatting sqref="E8380:E8381">
    <cfRule type="colorScale" priority="5930">
      <colorScale>
        <cfvo type="min"/>
        <cfvo type="percentile" val="50"/>
        <cfvo type="max"/>
        <color rgb="FFF8696B"/>
        <color rgb="FFFFEB84"/>
        <color rgb="FF63BE7B"/>
      </colorScale>
    </cfRule>
  </conditionalFormatting>
  <conditionalFormatting sqref="E8385:E8386">
    <cfRule type="colorScale" priority="5935">
      <colorScale>
        <cfvo type="min"/>
        <cfvo type="percentile" val="50"/>
        <cfvo type="max"/>
        <color rgb="FFF8696B"/>
        <color rgb="FFFFEB84"/>
        <color rgb="FF63BE7B"/>
      </colorScale>
    </cfRule>
  </conditionalFormatting>
  <conditionalFormatting sqref="E8390:E8391">
    <cfRule type="colorScale" priority="5940">
      <colorScale>
        <cfvo type="min"/>
        <cfvo type="percentile" val="50"/>
        <cfvo type="max"/>
        <color rgb="FFF8696B"/>
        <color rgb="FFFFEB84"/>
        <color rgb="FF63BE7B"/>
      </colorScale>
    </cfRule>
  </conditionalFormatting>
  <conditionalFormatting sqref="E8395:E8396">
    <cfRule type="colorScale" priority="5945">
      <colorScale>
        <cfvo type="min"/>
        <cfvo type="percentile" val="50"/>
        <cfvo type="max"/>
        <color rgb="FFF8696B"/>
        <color rgb="FFFFEB84"/>
        <color rgb="FF63BE7B"/>
      </colorScale>
    </cfRule>
  </conditionalFormatting>
  <conditionalFormatting sqref="E8400:E8401">
    <cfRule type="colorScale" priority="5950">
      <colorScale>
        <cfvo type="min"/>
        <cfvo type="percentile" val="50"/>
        <cfvo type="max"/>
        <color rgb="FFF8696B"/>
        <color rgb="FFFFEB84"/>
        <color rgb="FF63BE7B"/>
      </colorScale>
    </cfRule>
  </conditionalFormatting>
  <conditionalFormatting sqref="E8405:E8406">
    <cfRule type="colorScale" priority="5955">
      <colorScale>
        <cfvo type="min"/>
        <cfvo type="percentile" val="50"/>
        <cfvo type="max"/>
        <color rgb="FFF8696B"/>
        <color rgb="FFFFEB84"/>
        <color rgb="FF63BE7B"/>
      </colorScale>
    </cfRule>
  </conditionalFormatting>
  <conditionalFormatting sqref="E8410:E8411">
    <cfRule type="colorScale" priority="5960">
      <colorScale>
        <cfvo type="min"/>
        <cfvo type="percentile" val="50"/>
        <cfvo type="max"/>
        <color rgb="FFF8696B"/>
        <color rgb="FFFFEB84"/>
        <color rgb="FF63BE7B"/>
      </colorScale>
    </cfRule>
  </conditionalFormatting>
  <conditionalFormatting sqref="E8415:E8416">
    <cfRule type="colorScale" priority="5965">
      <colorScale>
        <cfvo type="min"/>
        <cfvo type="percentile" val="50"/>
        <cfvo type="max"/>
        <color rgb="FFF8696B"/>
        <color rgb="FFFFEB84"/>
        <color rgb="FF63BE7B"/>
      </colorScale>
    </cfRule>
  </conditionalFormatting>
  <conditionalFormatting sqref="E8420">
    <cfRule type="colorScale" priority="5970">
      <colorScale>
        <cfvo type="min"/>
        <cfvo type="percentile" val="50"/>
        <cfvo type="max"/>
        <color rgb="FFF8696B"/>
        <color rgb="FFFFEB84"/>
        <color rgb="FF63BE7B"/>
      </colorScale>
    </cfRule>
  </conditionalFormatting>
  <conditionalFormatting sqref="E8424:E8425">
    <cfRule type="colorScale" priority="5975">
      <colorScale>
        <cfvo type="min"/>
        <cfvo type="percentile" val="50"/>
        <cfvo type="max"/>
        <color rgb="FFF8696B"/>
        <color rgb="FFFFEB84"/>
        <color rgb="FF63BE7B"/>
      </colorScale>
    </cfRule>
  </conditionalFormatting>
  <conditionalFormatting sqref="E8429:E8430">
    <cfRule type="colorScale" priority="5980">
      <colorScale>
        <cfvo type="min"/>
        <cfvo type="percentile" val="50"/>
        <cfvo type="max"/>
        <color rgb="FFF8696B"/>
        <color rgb="FFFFEB84"/>
        <color rgb="FF63BE7B"/>
      </colorScale>
    </cfRule>
  </conditionalFormatting>
  <conditionalFormatting sqref="E8434:E8437">
    <cfRule type="colorScale" priority="5985">
      <colorScale>
        <cfvo type="min"/>
        <cfvo type="percentile" val="50"/>
        <cfvo type="max"/>
        <color rgb="FFF8696B"/>
        <color rgb="FFFFEB84"/>
        <color rgb="FF63BE7B"/>
      </colorScale>
    </cfRule>
  </conditionalFormatting>
  <conditionalFormatting sqref="E8441">
    <cfRule type="colorScale" priority="5991">
      <colorScale>
        <cfvo type="min"/>
        <cfvo type="percentile" val="50"/>
        <cfvo type="max"/>
        <color rgb="FFF8696B"/>
        <color rgb="FFFFEB84"/>
        <color rgb="FF63BE7B"/>
      </colorScale>
    </cfRule>
  </conditionalFormatting>
  <conditionalFormatting sqref="E8445:E8446">
    <cfRule type="colorScale" priority="5995">
      <colorScale>
        <cfvo type="min"/>
        <cfvo type="percentile" val="50"/>
        <cfvo type="max"/>
        <color rgb="FFF8696B"/>
        <color rgb="FFFFEB84"/>
        <color rgb="FF63BE7B"/>
      </colorScale>
    </cfRule>
  </conditionalFormatting>
  <conditionalFormatting sqref="E8454">
    <cfRule type="colorScale" priority="6005">
      <colorScale>
        <cfvo type="min"/>
        <cfvo type="percentile" val="50"/>
        <cfvo type="max"/>
        <color rgb="FFF8696B"/>
        <color rgb="FFFFEB84"/>
        <color rgb="FF63BE7B"/>
      </colorScale>
    </cfRule>
  </conditionalFormatting>
  <conditionalFormatting sqref="E8458">
    <cfRule type="colorScale" priority="6010">
      <colorScale>
        <cfvo type="min"/>
        <cfvo type="percentile" val="50"/>
        <cfvo type="max"/>
        <color rgb="FFF8696B"/>
        <color rgb="FFFFEB84"/>
        <color rgb="FF63BE7B"/>
      </colorScale>
    </cfRule>
  </conditionalFormatting>
  <conditionalFormatting sqref="E8462:E8463">
    <cfRule type="colorScale" priority="6015">
      <colorScale>
        <cfvo type="min"/>
        <cfvo type="percentile" val="50"/>
        <cfvo type="max"/>
        <color rgb="FFF8696B"/>
        <color rgb="FFFFEB84"/>
        <color rgb="FF63BE7B"/>
      </colorScale>
    </cfRule>
  </conditionalFormatting>
  <conditionalFormatting sqref="E8467">
    <cfRule type="colorScale" priority="6020">
      <colorScale>
        <cfvo type="min"/>
        <cfvo type="percentile" val="50"/>
        <cfvo type="max"/>
        <color rgb="FFF8696B"/>
        <color rgb="FFFFEB84"/>
        <color rgb="FF63BE7B"/>
      </colorScale>
    </cfRule>
  </conditionalFormatting>
  <conditionalFormatting sqref="E8471:E8472">
    <cfRule type="colorScale" priority="6025">
      <colorScale>
        <cfvo type="min"/>
        <cfvo type="percentile" val="50"/>
        <cfvo type="max"/>
        <color rgb="FFF8696B"/>
        <color rgb="FFFFEB84"/>
        <color rgb="FF63BE7B"/>
      </colorScale>
    </cfRule>
  </conditionalFormatting>
  <conditionalFormatting sqref="E8476:E8477">
    <cfRule type="colorScale" priority="6030">
      <colorScale>
        <cfvo type="min"/>
        <cfvo type="percentile" val="50"/>
        <cfvo type="max"/>
        <color rgb="FFF8696B"/>
        <color rgb="FFFFEB84"/>
        <color rgb="FF63BE7B"/>
      </colorScale>
    </cfRule>
  </conditionalFormatting>
  <conditionalFormatting sqref="E8481:E8482">
    <cfRule type="colorScale" priority="6035">
      <colorScale>
        <cfvo type="min"/>
        <cfvo type="percentile" val="50"/>
        <cfvo type="max"/>
        <color rgb="FFF8696B"/>
        <color rgb="FFFFEB84"/>
        <color rgb="FF63BE7B"/>
      </colorScale>
    </cfRule>
  </conditionalFormatting>
  <conditionalFormatting sqref="E8486:E8487">
    <cfRule type="colorScale" priority="6040">
      <colorScale>
        <cfvo type="min"/>
        <cfvo type="percentile" val="50"/>
        <cfvo type="max"/>
        <color rgb="FFF8696B"/>
        <color rgb="FFFFEB84"/>
        <color rgb="FF63BE7B"/>
      </colorScale>
    </cfRule>
  </conditionalFormatting>
  <conditionalFormatting sqref="E8491">
    <cfRule type="colorScale" priority="6045">
      <colorScale>
        <cfvo type="min"/>
        <cfvo type="percentile" val="50"/>
        <cfvo type="max"/>
        <color rgb="FFF8696B"/>
        <color rgb="FFFFEB84"/>
        <color rgb="FF63BE7B"/>
      </colorScale>
    </cfRule>
  </conditionalFormatting>
  <conditionalFormatting sqref="E8495:E8496">
    <cfRule type="colorScale" priority="6050">
      <colorScale>
        <cfvo type="min"/>
        <cfvo type="percentile" val="50"/>
        <cfvo type="max"/>
        <color rgb="FFF8696B"/>
        <color rgb="FFFFEB84"/>
        <color rgb="FF63BE7B"/>
      </colorScale>
    </cfRule>
  </conditionalFormatting>
  <conditionalFormatting sqref="E8500:E8501">
    <cfRule type="colorScale" priority="6055">
      <colorScale>
        <cfvo type="min"/>
        <cfvo type="percentile" val="50"/>
        <cfvo type="max"/>
        <color rgb="FFF8696B"/>
        <color rgb="FFFFEB84"/>
        <color rgb="FF63BE7B"/>
      </colorScale>
    </cfRule>
  </conditionalFormatting>
  <conditionalFormatting sqref="E8505:E8508">
    <cfRule type="colorScale" priority="6060">
      <colorScale>
        <cfvo type="min"/>
        <cfvo type="percentile" val="50"/>
        <cfvo type="max"/>
        <color rgb="FFF8696B"/>
        <color rgb="FFFFEB84"/>
        <color rgb="FF63BE7B"/>
      </colorScale>
    </cfRule>
  </conditionalFormatting>
  <conditionalFormatting sqref="E8512">
    <cfRule type="colorScale" priority="6066">
      <colorScale>
        <cfvo type="min"/>
        <cfvo type="percentile" val="50"/>
        <cfvo type="max"/>
        <color rgb="FFF8696B"/>
        <color rgb="FFFFEB84"/>
        <color rgb="FF63BE7B"/>
      </colorScale>
    </cfRule>
  </conditionalFormatting>
  <conditionalFormatting sqref="E8516">
    <cfRule type="colorScale" priority="6070">
      <colorScale>
        <cfvo type="min"/>
        <cfvo type="percentile" val="50"/>
        <cfvo type="max"/>
        <color rgb="FFF8696B"/>
        <color rgb="FFFFEB84"/>
        <color rgb="FF63BE7B"/>
      </colorScale>
    </cfRule>
  </conditionalFormatting>
  <conditionalFormatting sqref="E8524">
    <cfRule type="colorScale" priority="6080">
      <colorScale>
        <cfvo type="min"/>
        <cfvo type="percentile" val="50"/>
        <cfvo type="max"/>
        <color rgb="FFF8696B"/>
        <color rgb="FFFFEB84"/>
        <color rgb="FF63BE7B"/>
      </colorScale>
    </cfRule>
  </conditionalFormatting>
  <conditionalFormatting sqref="E8528">
    <cfRule type="colorScale" priority="6085">
      <colorScale>
        <cfvo type="min"/>
        <cfvo type="percentile" val="50"/>
        <cfvo type="max"/>
        <color rgb="FFF8696B"/>
        <color rgb="FFFFEB84"/>
        <color rgb="FF63BE7B"/>
      </colorScale>
    </cfRule>
  </conditionalFormatting>
  <conditionalFormatting sqref="E8532">
    <cfRule type="colorScale" priority="6090">
      <colorScale>
        <cfvo type="min"/>
        <cfvo type="percentile" val="50"/>
        <cfvo type="max"/>
        <color rgb="FFF8696B"/>
        <color rgb="FFFFEB84"/>
        <color rgb="FF63BE7B"/>
      </colorScale>
    </cfRule>
  </conditionalFormatting>
  <conditionalFormatting sqref="E8536">
    <cfRule type="colorScale" priority="6095">
      <colorScale>
        <cfvo type="min"/>
        <cfvo type="percentile" val="50"/>
        <cfvo type="max"/>
        <color rgb="FFF8696B"/>
        <color rgb="FFFFEB84"/>
        <color rgb="FF63BE7B"/>
      </colorScale>
    </cfRule>
  </conditionalFormatting>
  <conditionalFormatting sqref="E8540">
    <cfRule type="colorScale" priority="6100">
      <colorScale>
        <cfvo type="min"/>
        <cfvo type="percentile" val="50"/>
        <cfvo type="max"/>
        <color rgb="FFF8696B"/>
        <color rgb="FFFFEB84"/>
        <color rgb="FF63BE7B"/>
      </colorScale>
    </cfRule>
  </conditionalFormatting>
  <conditionalFormatting sqref="E8544:E8545">
    <cfRule type="colorScale" priority="6105">
      <colorScale>
        <cfvo type="min"/>
        <cfvo type="percentile" val="50"/>
        <cfvo type="max"/>
        <color rgb="FFF8696B"/>
        <color rgb="FFFFEB84"/>
        <color rgb="FF63BE7B"/>
      </colorScale>
    </cfRule>
  </conditionalFormatting>
  <conditionalFormatting sqref="E8549:E8550">
    <cfRule type="colorScale" priority="6110">
      <colorScale>
        <cfvo type="min"/>
        <cfvo type="percentile" val="50"/>
        <cfvo type="max"/>
        <color rgb="FFF8696B"/>
        <color rgb="FFFFEB84"/>
        <color rgb="FF63BE7B"/>
      </colorScale>
    </cfRule>
  </conditionalFormatting>
  <conditionalFormatting sqref="E8554:E8555">
    <cfRule type="colorScale" priority="6115">
      <colorScale>
        <cfvo type="min"/>
        <cfvo type="percentile" val="50"/>
        <cfvo type="max"/>
        <color rgb="FFF8696B"/>
        <color rgb="FFFFEB84"/>
        <color rgb="FF63BE7B"/>
      </colorScale>
    </cfRule>
  </conditionalFormatting>
  <conditionalFormatting sqref="E8559">
    <cfRule type="colorScale" priority="6120">
      <colorScale>
        <cfvo type="min"/>
        <cfvo type="percentile" val="50"/>
        <cfvo type="max"/>
        <color rgb="FFF8696B"/>
        <color rgb="FFFFEB84"/>
        <color rgb="FF63BE7B"/>
      </colorScale>
    </cfRule>
  </conditionalFormatting>
  <conditionalFormatting sqref="E8563:E8564">
    <cfRule type="colorScale" priority="6125">
      <colorScale>
        <cfvo type="min"/>
        <cfvo type="percentile" val="50"/>
        <cfvo type="max"/>
        <color rgb="FFF8696B"/>
        <color rgb="FFFFEB84"/>
        <color rgb="FF63BE7B"/>
      </colorScale>
    </cfRule>
  </conditionalFormatting>
  <conditionalFormatting sqref="E8568">
    <cfRule type="colorScale" priority="6130">
      <colorScale>
        <cfvo type="min"/>
        <cfvo type="percentile" val="50"/>
        <cfvo type="max"/>
        <color rgb="FFF8696B"/>
        <color rgb="FFFFEB84"/>
        <color rgb="FF63BE7B"/>
      </colorScale>
    </cfRule>
  </conditionalFormatting>
  <conditionalFormatting sqref="E8572:E8574">
    <cfRule type="colorScale" priority="6135">
      <colorScale>
        <cfvo type="min"/>
        <cfvo type="percentile" val="50"/>
        <cfvo type="max"/>
        <color rgb="FFF8696B"/>
        <color rgb="FFFFEB84"/>
        <color rgb="FF63BE7B"/>
      </colorScale>
    </cfRule>
  </conditionalFormatting>
  <conditionalFormatting sqref="E8578">
    <cfRule type="colorScale" priority="6141">
      <colorScale>
        <cfvo type="min"/>
        <cfvo type="percentile" val="50"/>
        <cfvo type="max"/>
        <color rgb="FFF8696B"/>
        <color rgb="FFFFEB84"/>
        <color rgb="FF63BE7B"/>
      </colorScale>
    </cfRule>
  </conditionalFormatting>
  <conditionalFormatting sqref="E8582:E8583">
    <cfRule type="colorScale" priority="6145">
      <colorScale>
        <cfvo type="min"/>
        <cfvo type="percentile" val="50"/>
        <cfvo type="max"/>
        <color rgb="FFF8696B"/>
        <color rgb="FFFFEB84"/>
        <color rgb="FF63BE7B"/>
      </colorScale>
    </cfRule>
  </conditionalFormatting>
  <conditionalFormatting sqref="E8591:E8592">
    <cfRule type="colorScale" priority="6155">
      <colorScale>
        <cfvo type="min"/>
        <cfvo type="percentile" val="50"/>
        <cfvo type="max"/>
        <color rgb="FFF8696B"/>
        <color rgb="FFFFEB84"/>
        <color rgb="FF63BE7B"/>
      </colorScale>
    </cfRule>
  </conditionalFormatting>
  <conditionalFormatting sqref="E8596:E8597">
    <cfRule type="colorScale" priority="6160">
      <colorScale>
        <cfvo type="min"/>
        <cfvo type="percentile" val="50"/>
        <cfvo type="max"/>
        <color rgb="FFF8696B"/>
        <color rgb="FFFFEB84"/>
        <color rgb="FF63BE7B"/>
      </colorScale>
    </cfRule>
  </conditionalFormatting>
  <conditionalFormatting sqref="E8601:E8602">
    <cfRule type="colorScale" priority="6165">
      <colorScale>
        <cfvo type="min"/>
        <cfvo type="percentile" val="50"/>
        <cfvo type="max"/>
        <color rgb="FFF8696B"/>
        <color rgb="FFFFEB84"/>
        <color rgb="FF63BE7B"/>
      </colorScale>
    </cfRule>
  </conditionalFormatting>
  <conditionalFormatting sqref="E8606:E8607">
    <cfRule type="colorScale" priority="6170">
      <colorScale>
        <cfvo type="min"/>
        <cfvo type="percentile" val="50"/>
        <cfvo type="max"/>
        <color rgb="FFF8696B"/>
        <color rgb="FFFFEB84"/>
        <color rgb="FF63BE7B"/>
      </colorScale>
    </cfRule>
  </conditionalFormatting>
  <conditionalFormatting sqref="E8611:E8612">
    <cfRule type="colorScale" priority="6175">
      <colorScale>
        <cfvo type="min"/>
        <cfvo type="percentile" val="50"/>
        <cfvo type="max"/>
        <color rgb="FFF8696B"/>
        <color rgb="FFFFEB84"/>
        <color rgb="FF63BE7B"/>
      </colorScale>
    </cfRule>
  </conditionalFormatting>
  <conditionalFormatting sqref="E8616:E8617">
    <cfRule type="colorScale" priority="6180">
      <colorScale>
        <cfvo type="min"/>
        <cfvo type="percentile" val="50"/>
        <cfvo type="max"/>
        <color rgb="FFF8696B"/>
        <color rgb="FFFFEB84"/>
        <color rgb="FF63BE7B"/>
      </colorScale>
    </cfRule>
  </conditionalFormatting>
  <conditionalFormatting sqref="E8621:E8622">
    <cfRule type="colorScale" priority="6185">
      <colorScale>
        <cfvo type="min"/>
        <cfvo type="percentile" val="50"/>
        <cfvo type="max"/>
        <color rgb="FFF8696B"/>
        <color rgb="FFFFEB84"/>
        <color rgb="FF63BE7B"/>
      </colorScale>
    </cfRule>
  </conditionalFormatting>
  <conditionalFormatting sqref="E8626:E8627">
    <cfRule type="colorScale" priority="6190">
      <colorScale>
        <cfvo type="min"/>
        <cfvo type="percentile" val="50"/>
        <cfvo type="max"/>
        <color rgb="FFF8696B"/>
        <color rgb="FFFFEB84"/>
        <color rgb="FF63BE7B"/>
      </colorScale>
    </cfRule>
  </conditionalFormatting>
  <conditionalFormatting sqref="E8631">
    <cfRule type="colorScale" priority="6195">
      <colorScale>
        <cfvo type="min"/>
        <cfvo type="percentile" val="50"/>
        <cfvo type="max"/>
        <color rgb="FFF8696B"/>
        <color rgb="FFFFEB84"/>
        <color rgb="FF63BE7B"/>
      </colorScale>
    </cfRule>
  </conditionalFormatting>
  <conditionalFormatting sqref="E8635:E8636">
    <cfRule type="colorScale" priority="6200">
      <colorScale>
        <cfvo type="min"/>
        <cfvo type="percentile" val="50"/>
        <cfvo type="max"/>
        <color rgb="FFF8696B"/>
        <color rgb="FFFFEB84"/>
        <color rgb="FF63BE7B"/>
      </colorScale>
    </cfRule>
  </conditionalFormatting>
  <conditionalFormatting sqref="E8640:E8641">
    <cfRule type="colorScale" priority="6205">
      <colorScale>
        <cfvo type="min"/>
        <cfvo type="percentile" val="50"/>
        <cfvo type="max"/>
        <color rgb="FFF8696B"/>
        <color rgb="FFFFEB84"/>
        <color rgb="FF63BE7B"/>
      </colorScale>
    </cfRule>
  </conditionalFormatting>
  <conditionalFormatting sqref="E8645:E8648">
    <cfRule type="colorScale" priority="6210">
      <colorScale>
        <cfvo type="min"/>
        <cfvo type="percentile" val="50"/>
        <cfvo type="max"/>
        <color rgb="FFF8696B"/>
        <color rgb="FFFFEB84"/>
        <color rgb="FF63BE7B"/>
      </colorScale>
    </cfRule>
  </conditionalFormatting>
  <conditionalFormatting sqref="E8652">
    <cfRule type="colorScale" priority="6216">
      <colorScale>
        <cfvo type="min"/>
        <cfvo type="percentile" val="50"/>
        <cfvo type="max"/>
        <color rgb="FFF8696B"/>
        <color rgb="FFFFEB84"/>
        <color rgb="FF63BE7B"/>
      </colorScale>
    </cfRule>
  </conditionalFormatting>
  <conditionalFormatting sqref="E8656:E8657">
    <cfRule type="colorScale" priority="6220">
      <colorScale>
        <cfvo type="min"/>
        <cfvo type="percentile" val="50"/>
        <cfvo type="max"/>
        <color rgb="FFF8696B"/>
        <color rgb="FFFFEB84"/>
        <color rgb="FF63BE7B"/>
      </colorScale>
    </cfRule>
  </conditionalFormatting>
  <conditionalFormatting sqref="E8665:E8666">
    <cfRule type="colorScale" priority="6230">
      <colorScale>
        <cfvo type="min"/>
        <cfvo type="percentile" val="50"/>
        <cfvo type="max"/>
        <color rgb="FFF8696B"/>
        <color rgb="FFFFEB84"/>
        <color rgb="FF63BE7B"/>
      </colorScale>
    </cfRule>
  </conditionalFormatting>
  <conditionalFormatting sqref="E8670">
    <cfRule type="colorScale" priority="6235">
      <colorScale>
        <cfvo type="min"/>
        <cfvo type="percentile" val="50"/>
        <cfvo type="max"/>
        <color rgb="FFF8696B"/>
        <color rgb="FFFFEB84"/>
        <color rgb="FF63BE7B"/>
      </colorScale>
    </cfRule>
  </conditionalFormatting>
  <conditionalFormatting sqref="E8674:E8675">
    <cfRule type="colorScale" priority="6240">
      <colorScale>
        <cfvo type="min"/>
        <cfvo type="percentile" val="50"/>
        <cfvo type="max"/>
        <color rgb="FFF8696B"/>
        <color rgb="FFFFEB84"/>
        <color rgb="FF63BE7B"/>
      </colorScale>
    </cfRule>
  </conditionalFormatting>
  <conditionalFormatting sqref="E8679:E8680">
    <cfRule type="colorScale" priority="6245">
      <colorScale>
        <cfvo type="min"/>
        <cfvo type="percentile" val="50"/>
        <cfvo type="max"/>
        <color rgb="FFF8696B"/>
        <color rgb="FFFFEB84"/>
        <color rgb="FF63BE7B"/>
      </colorScale>
    </cfRule>
  </conditionalFormatting>
  <conditionalFormatting sqref="E8684:E8685">
    <cfRule type="colorScale" priority="6250">
      <colorScale>
        <cfvo type="min"/>
        <cfvo type="percentile" val="50"/>
        <cfvo type="max"/>
        <color rgb="FFF8696B"/>
        <color rgb="FFFFEB84"/>
        <color rgb="FF63BE7B"/>
      </colorScale>
    </cfRule>
  </conditionalFormatting>
  <conditionalFormatting sqref="E8689:E8690">
    <cfRule type="colorScale" priority="6255">
      <colorScale>
        <cfvo type="min"/>
        <cfvo type="percentile" val="50"/>
        <cfvo type="max"/>
        <color rgb="FFF8696B"/>
        <color rgb="FFFFEB84"/>
        <color rgb="FF63BE7B"/>
      </colorScale>
    </cfRule>
  </conditionalFormatting>
  <conditionalFormatting sqref="E8694:E8695">
    <cfRule type="colorScale" priority="6260">
      <colorScale>
        <cfvo type="min"/>
        <cfvo type="percentile" val="50"/>
        <cfvo type="max"/>
        <color rgb="FFF8696B"/>
        <color rgb="FFFFEB84"/>
        <color rgb="FF63BE7B"/>
      </colorScale>
    </cfRule>
  </conditionalFormatting>
  <conditionalFormatting sqref="E8699:E8700">
    <cfRule type="colorScale" priority="6265">
      <colorScale>
        <cfvo type="min"/>
        <cfvo type="percentile" val="50"/>
        <cfvo type="max"/>
        <color rgb="FFF8696B"/>
        <color rgb="FFFFEB84"/>
        <color rgb="FF63BE7B"/>
      </colorScale>
    </cfRule>
  </conditionalFormatting>
  <conditionalFormatting sqref="E8704">
    <cfRule type="colorScale" priority="6270">
      <colorScale>
        <cfvo type="min"/>
        <cfvo type="percentile" val="50"/>
        <cfvo type="max"/>
        <color rgb="FFF8696B"/>
        <color rgb="FFFFEB84"/>
        <color rgb="FF63BE7B"/>
      </colorScale>
    </cfRule>
  </conditionalFormatting>
  <conditionalFormatting sqref="E8708:E8709">
    <cfRule type="colorScale" priority="6275">
      <colorScale>
        <cfvo type="min"/>
        <cfvo type="percentile" val="50"/>
        <cfvo type="max"/>
        <color rgb="FFF8696B"/>
        <color rgb="FFFFEB84"/>
        <color rgb="FF63BE7B"/>
      </colorScale>
    </cfRule>
  </conditionalFormatting>
  <conditionalFormatting sqref="E8713:E8714">
    <cfRule type="colorScale" priority="6280">
      <colorScale>
        <cfvo type="min"/>
        <cfvo type="percentile" val="50"/>
        <cfvo type="max"/>
        <color rgb="FFF8696B"/>
        <color rgb="FFFFEB84"/>
        <color rgb="FF63BE7B"/>
      </colorScale>
    </cfRule>
  </conditionalFormatting>
  <conditionalFormatting sqref="E8718:E8721">
    <cfRule type="colorScale" priority="6285">
      <colorScale>
        <cfvo type="min"/>
        <cfvo type="percentile" val="50"/>
        <cfvo type="max"/>
        <color rgb="FFF8696B"/>
        <color rgb="FFFFEB84"/>
        <color rgb="FF63BE7B"/>
      </colorScale>
    </cfRule>
  </conditionalFormatting>
  <conditionalFormatting sqref="E8725">
    <cfRule type="colorScale" priority="6291">
      <colorScale>
        <cfvo type="min"/>
        <cfvo type="percentile" val="50"/>
        <cfvo type="max"/>
        <color rgb="FFF8696B"/>
        <color rgb="FFFFEB84"/>
        <color rgb="FF63BE7B"/>
      </colorScale>
    </cfRule>
  </conditionalFormatting>
  <conditionalFormatting sqref="E8729:E8730">
    <cfRule type="colorScale" priority="6295">
      <colorScale>
        <cfvo type="min"/>
        <cfvo type="percentile" val="50"/>
        <cfvo type="max"/>
        <color rgb="FFF8696B"/>
        <color rgb="FFFFEB84"/>
        <color rgb="FF63BE7B"/>
      </colorScale>
    </cfRule>
  </conditionalFormatting>
  <conditionalFormatting sqref="E8738:E8739">
    <cfRule type="colorScale" priority="6305">
      <colorScale>
        <cfvo type="min"/>
        <cfvo type="percentile" val="50"/>
        <cfvo type="max"/>
        <color rgb="FFF8696B"/>
        <color rgb="FFFFEB84"/>
        <color rgb="FF63BE7B"/>
      </colorScale>
    </cfRule>
  </conditionalFormatting>
  <conditionalFormatting sqref="E8743">
    <cfRule type="colorScale" priority="6310">
      <colorScale>
        <cfvo type="min"/>
        <cfvo type="percentile" val="50"/>
        <cfvo type="max"/>
        <color rgb="FFF8696B"/>
        <color rgb="FFFFEB84"/>
        <color rgb="FF63BE7B"/>
      </colorScale>
    </cfRule>
  </conditionalFormatting>
  <conditionalFormatting sqref="E8747:E8748">
    <cfRule type="colorScale" priority="6315">
      <colorScale>
        <cfvo type="min"/>
        <cfvo type="percentile" val="50"/>
        <cfvo type="max"/>
        <color rgb="FFF8696B"/>
        <color rgb="FFFFEB84"/>
        <color rgb="FF63BE7B"/>
      </colorScale>
    </cfRule>
  </conditionalFormatting>
  <conditionalFormatting sqref="E8752:E8753">
    <cfRule type="colorScale" priority="6320">
      <colorScale>
        <cfvo type="min"/>
        <cfvo type="percentile" val="50"/>
        <cfvo type="max"/>
        <color rgb="FFF8696B"/>
        <color rgb="FFFFEB84"/>
        <color rgb="FF63BE7B"/>
      </colorScale>
    </cfRule>
  </conditionalFormatting>
  <conditionalFormatting sqref="E8757:E8758">
    <cfRule type="colorScale" priority="6325">
      <colorScale>
        <cfvo type="min"/>
        <cfvo type="percentile" val="50"/>
        <cfvo type="max"/>
        <color rgb="FFF8696B"/>
        <color rgb="FFFFEB84"/>
        <color rgb="FF63BE7B"/>
      </colorScale>
    </cfRule>
  </conditionalFormatting>
  <conditionalFormatting sqref="E8762:E8763">
    <cfRule type="colorScale" priority="6330">
      <colorScale>
        <cfvo type="min"/>
        <cfvo type="percentile" val="50"/>
        <cfvo type="max"/>
        <color rgb="FFF8696B"/>
        <color rgb="FFFFEB84"/>
        <color rgb="FF63BE7B"/>
      </colorScale>
    </cfRule>
  </conditionalFormatting>
  <conditionalFormatting sqref="E8767:E8768">
    <cfRule type="colorScale" priority="6335">
      <colorScale>
        <cfvo type="min"/>
        <cfvo type="percentile" val="50"/>
        <cfvo type="max"/>
        <color rgb="FFF8696B"/>
        <color rgb="FFFFEB84"/>
        <color rgb="FF63BE7B"/>
      </colorScale>
    </cfRule>
  </conditionalFormatting>
  <conditionalFormatting sqref="E8772:E8773">
    <cfRule type="colorScale" priority="6340">
      <colorScale>
        <cfvo type="min"/>
        <cfvo type="percentile" val="50"/>
        <cfvo type="max"/>
        <color rgb="FFF8696B"/>
        <color rgb="FFFFEB84"/>
        <color rgb="FF63BE7B"/>
      </colorScale>
    </cfRule>
  </conditionalFormatting>
  <conditionalFormatting sqref="E8777">
    <cfRule type="colorScale" priority="6345">
      <colorScale>
        <cfvo type="min"/>
        <cfvo type="percentile" val="50"/>
        <cfvo type="max"/>
        <color rgb="FFF8696B"/>
        <color rgb="FFFFEB84"/>
        <color rgb="FF63BE7B"/>
      </colorScale>
    </cfRule>
  </conditionalFormatting>
  <conditionalFormatting sqref="E8781:E8782">
    <cfRule type="colorScale" priority="6350">
      <colorScale>
        <cfvo type="min"/>
        <cfvo type="percentile" val="50"/>
        <cfvo type="max"/>
        <color rgb="FFF8696B"/>
        <color rgb="FFFFEB84"/>
        <color rgb="FF63BE7B"/>
      </colorScale>
    </cfRule>
  </conditionalFormatting>
  <conditionalFormatting sqref="E8786:E8787">
    <cfRule type="colorScale" priority="6355">
      <colorScale>
        <cfvo type="min"/>
        <cfvo type="percentile" val="50"/>
        <cfvo type="max"/>
        <color rgb="FFF8696B"/>
        <color rgb="FFFFEB84"/>
        <color rgb="FF63BE7B"/>
      </colorScale>
    </cfRule>
  </conditionalFormatting>
  <conditionalFormatting sqref="E8791:E8794">
    <cfRule type="colorScale" priority="6360">
      <colorScale>
        <cfvo type="min"/>
        <cfvo type="percentile" val="50"/>
        <cfvo type="max"/>
        <color rgb="FFF8696B"/>
        <color rgb="FFFFEB84"/>
        <color rgb="FF63BE7B"/>
      </colorScale>
    </cfRule>
  </conditionalFormatting>
  <conditionalFormatting sqref="E8798">
    <cfRule type="colorScale" priority="6366">
      <colorScale>
        <cfvo type="min"/>
        <cfvo type="percentile" val="50"/>
        <cfvo type="max"/>
        <color rgb="FFF8696B"/>
        <color rgb="FFFFEB84"/>
        <color rgb="FF63BE7B"/>
      </colorScale>
    </cfRule>
  </conditionalFormatting>
  <conditionalFormatting sqref="E8802:E8803">
    <cfRule type="colorScale" priority="6370">
      <colorScale>
        <cfvo type="min"/>
        <cfvo type="percentile" val="50"/>
        <cfvo type="max"/>
        <color rgb="FFF8696B"/>
        <color rgb="FFFFEB84"/>
        <color rgb="FF63BE7B"/>
      </colorScale>
    </cfRule>
  </conditionalFormatting>
  <conditionalFormatting sqref="E8811:E8812">
    <cfRule type="colorScale" priority="6380">
      <colorScale>
        <cfvo type="min"/>
        <cfvo type="percentile" val="50"/>
        <cfvo type="max"/>
        <color rgb="FFF8696B"/>
        <color rgb="FFFFEB84"/>
        <color rgb="FF63BE7B"/>
      </colorScale>
    </cfRule>
  </conditionalFormatting>
  <conditionalFormatting sqref="E8816">
    <cfRule type="colorScale" priority="6385">
      <colorScale>
        <cfvo type="min"/>
        <cfvo type="percentile" val="50"/>
        <cfvo type="max"/>
        <color rgb="FFF8696B"/>
        <color rgb="FFFFEB84"/>
        <color rgb="FF63BE7B"/>
      </colorScale>
    </cfRule>
  </conditionalFormatting>
  <conditionalFormatting sqref="E8820">
    <cfRule type="colorScale" priority="6390">
      <colorScale>
        <cfvo type="min"/>
        <cfvo type="percentile" val="50"/>
        <cfvo type="max"/>
        <color rgb="FFF8696B"/>
        <color rgb="FFFFEB84"/>
        <color rgb="FF63BE7B"/>
      </colorScale>
    </cfRule>
  </conditionalFormatting>
  <conditionalFormatting sqref="E8824:E8825">
    <cfRule type="colorScale" priority="6395">
      <colorScale>
        <cfvo type="min"/>
        <cfvo type="percentile" val="50"/>
        <cfvo type="max"/>
        <color rgb="FFF8696B"/>
        <color rgb="FFFFEB84"/>
        <color rgb="FF63BE7B"/>
      </colorScale>
    </cfRule>
  </conditionalFormatting>
  <conditionalFormatting sqref="E8829:E8830">
    <cfRule type="colorScale" priority="6400">
      <colorScale>
        <cfvo type="min"/>
        <cfvo type="percentile" val="50"/>
        <cfvo type="max"/>
        <color rgb="FFF8696B"/>
        <color rgb="FFFFEB84"/>
        <color rgb="FF63BE7B"/>
      </colorScale>
    </cfRule>
  </conditionalFormatting>
  <conditionalFormatting sqref="E8834:E8835">
    <cfRule type="colorScale" priority="6405">
      <colorScale>
        <cfvo type="min"/>
        <cfvo type="percentile" val="50"/>
        <cfvo type="max"/>
        <color rgb="FFF8696B"/>
        <color rgb="FFFFEB84"/>
        <color rgb="FF63BE7B"/>
      </colorScale>
    </cfRule>
  </conditionalFormatting>
  <conditionalFormatting sqref="E8839:E8840">
    <cfRule type="colorScale" priority="6410">
      <colorScale>
        <cfvo type="min"/>
        <cfvo type="percentile" val="50"/>
        <cfvo type="max"/>
        <color rgb="FFF8696B"/>
        <color rgb="FFFFEB84"/>
        <color rgb="FF63BE7B"/>
      </colorScale>
    </cfRule>
  </conditionalFormatting>
  <conditionalFormatting sqref="E8844:E8845">
    <cfRule type="colorScale" priority="6415">
      <colorScale>
        <cfvo type="min"/>
        <cfvo type="percentile" val="50"/>
        <cfvo type="max"/>
        <color rgb="FFF8696B"/>
        <color rgb="FFFFEB84"/>
        <color rgb="FF63BE7B"/>
      </colorScale>
    </cfRule>
  </conditionalFormatting>
  <conditionalFormatting sqref="E8849">
    <cfRule type="colorScale" priority="6420">
      <colorScale>
        <cfvo type="min"/>
        <cfvo type="percentile" val="50"/>
        <cfvo type="max"/>
        <color rgb="FFF8696B"/>
        <color rgb="FFFFEB84"/>
        <color rgb="FF63BE7B"/>
      </colorScale>
    </cfRule>
  </conditionalFormatting>
  <conditionalFormatting sqref="E8853:E8854">
    <cfRule type="colorScale" priority="6425">
      <colorScale>
        <cfvo type="min"/>
        <cfvo type="percentile" val="50"/>
        <cfvo type="max"/>
        <color rgb="FFF8696B"/>
        <color rgb="FFFFEB84"/>
        <color rgb="FF63BE7B"/>
      </colorScale>
    </cfRule>
  </conditionalFormatting>
  <conditionalFormatting sqref="E8858:E8859">
    <cfRule type="colorScale" priority="6430">
      <colorScale>
        <cfvo type="min"/>
        <cfvo type="percentile" val="50"/>
        <cfvo type="max"/>
        <color rgb="FFF8696B"/>
        <color rgb="FFFFEB84"/>
        <color rgb="FF63BE7B"/>
      </colorScale>
    </cfRule>
  </conditionalFormatting>
  <conditionalFormatting sqref="E8863:E8866">
    <cfRule type="colorScale" priority="6435">
      <colorScale>
        <cfvo type="min"/>
        <cfvo type="percentile" val="50"/>
        <cfvo type="max"/>
        <color rgb="FFF8696B"/>
        <color rgb="FFFFEB84"/>
        <color rgb="FF63BE7B"/>
      </colorScale>
    </cfRule>
  </conditionalFormatting>
  <conditionalFormatting sqref="E8870">
    <cfRule type="colorScale" priority="6441">
      <colorScale>
        <cfvo type="min"/>
        <cfvo type="percentile" val="50"/>
        <cfvo type="max"/>
        <color rgb="FFF8696B"/>
        <color rgb="FFFFEB84"/>
        <color rgb="FF63BE7B"/>
      </colorScale>
    </cfRule>
  </conditionalFormatting>
  <conditionalFormatting sqref="E8874:E8875">
    <cfRule type="colorScale" priority="6445">
      <colorScale>
        <cfvo type="min"/>
        <cfvo type="percentile" val="50"/>
        <cfvo type="max"/>
        <color rgb="FFF8696B"/>
        <color rgb="FFFFEB84"/>
        <color rgb="FF63BE7B"/>
      </colorScale>
    </cfRule>
  </conditionalFormatting>
  <conditionalFormatting sqref="E8883:E8884">
    <cfRule type="colorScale" priority="6455">
      <colorScale>
        <cfvo type="min"/>
        <cfvo type="percentile" val="50"/>
        <cfvo type="max"/>
        <color rgb="FFF8696B"/>
        <color rgb="FFFFEB84"/>
        <color rgb="FF63BE7B"/>
      </colorScale>
    </cfRule>
  </conditionalFormatting>
  <conditionalFormatting sqref="E8888">
    <cfRule type="colorScale" priority="6460">
      <colorScale>
        <cfvo type="min"/>
        <cfvo type="percentile" val="50"/>
        <cfvo type="max"/>
        <color rgb="FFF8696B"/>
        <color rgb="FFFFEB84"/>
        <color rgb="FF63BE7B"/>
      </colorScale>
    </cfRule>
  </conditionalFormatting>
  <conditionalFormatting sqref="E8892:E8893">
    <cfRule type="colorScale" priority="6465">
      <colorScale>
        <cfvo type="min"/>
        <cfvo type="percentile" val="50"/>
        <cfvo type="max"/>
        <color rgb="FFF8696B"/>
        <color rgb="FFFFEB84"/>
        <color rgb="FF63BE7B"/>
      </colorScale>
    </cfRule>
  </conditionalFormatting>
  <conditionalFormatting sqref="E8897:E8898">
    <cfRule type="colorScale" priority="6470">
      <colorScale>
        <cfvo type="min"/>
        <cfvo type="percentile" val="50"/>
        <cfvo type="max"/>
        <color rgb="FFF8696B"/>
        <color rgb="FFFFEB84"/>
        <color rgb="FF63BE7B"/>
      </colorScale>
    </cfRule>
  </conditionalFormatting>
  <conditionalFormatting sqref="E8902:E8903">
    <cfRule type="colorScale" priority="6475">
      <colorScale>
        <cfvo type="min"/>
        <cfvo type="percentile" val="50"/>
        <cfvo type="max"/>
        <color rgb="FFF8696B"/>
        <color rgb="FFFFEB84"/>
        <color rgb="FF63BE7B"/>
      </colorScale>
    </cfRule>
  </conditionalFormatting>
  <conditionalFormatting sqref="E8907:E8908">
    <cfRule type="colorScale" priority="6480">
      <colorScale>
        <cfvo type="min"/>
        <cfvo type="percentile" val="50"/>
        <cfvo type="max"/>
        <color rgb="FFF8696B"/>
        <color rgb="FFFFEB84"/>
        <color rgb="FF63BE7B"/>
      </colorScale>
    </cfRule>
  </conditionalFormatting>
  <conditionalFormatting sqref="E8912:E8913">
    <cfRule type="colorScale" priority="6485">
      <colorScale>
        <cfvo type="min"/>
        <cfvo type="percentile" val="50"/>
        <cfvo type="max"/>
        <color rgb="FFF8696B"/>
        <color rgb="FFFFEB84"/>
        <color rgb="FF63BE7B"/>
      </colorScale>
    </cfRule>
  </conditionalFormatting>
  <conditionalFormatting sqref="E8917:E8918">
    <cfRule type="colorScale" priority="6490">
      <colorScale>
        <cfvo type="min"/>
        <cfvo type="percentile" val="50"/>
        <cfvo type="max"/>
        <color rgb="FFF8696B"/>
        <color rgb="FFFFEB84"/>
        <color rgb="FF63BE7B"/>
      </colorScale>
    </cfRule>
  </conditionalFormatting>
  <conditionalFormatting sqref="E8922">
    <cfRule type="colorScale" priority="6495">
      <colorScale>
        <cfvo type="min"/>
        <cfvo type="percentile" val="50"/>
        <cfvo type="max"/>
        <color rgb="FFF8696B"/>
        <color rgb="FFFFEB84"/>
        <color rgb="FF63BE7B"/>
      </colorScale>
    </cfRule>
  </conditionalFormatting>
  <conditionalFormatting sqref="E8926:E8927">
    <cfRule type="colorScale" priority="6500">
      <colorScale>
        <cfvo type="min"/>
        <cfvo type="percentile" val="50"/>
        <cfvo type="max"/>
        <color rgb="FFF8696B"/>
        <color rgb="FFFFEB84"/>
        <color rgb="FF63BE7B"/>
      </colorScale>
    </cfRule>
  </conditionalFormatting>
  <conditionalFormatting sqref="E8931:E8932">
    <cfRule type="colorScale" priority="6505">
      <colorScale>
        <cfvo type="min"/>
        <cfvo type="percentile" val="50"/>
        <cfvo type="max"/>
        <color rgb="FFF8696B"/>
        <color rgb="FFFFEB84"/>
        <color rgb="FF63BE7B"/>
      </colorScale>
    </cfRule>
  </conditionalFormatting>
  <conditionalFormatting sqref="E8936:E8939">
    <cfRule type="colorScale" priority="6510">
      <colorScale>
        <cfvo type="min"/>
        <cfvo type="percentile" val="50"/>
        <cfvo type="max"/>
        <color rgb="FFF8696B"/>
        <color rgb="FFFFEB84"/>
        <color rgb="FF63BE7B"/>
      </colorScale>
    </cfRule>
  </conditionalFormatting>
  <conditionalFormatting sqref="E8943">
    <cfRule type="colorScale" priority="6516">
      <colorScale>
        <cfvo type="min"/>
        <cfvo type="percentile" val="50"/>
        <cfvo type="max"/>
        <color rgb="FFF8696B"/>
        <color rgb="FFFFEB84"/>
        <color rgb="FF63BE7B"/>
      </colorScale>
    </cfRule>
  </conditionalFormatting>
  <conditionalFormatting sqref="E8947:E8948">
    <cfRule type="colorScale" priority="6520">
      <colorScale>
        <cfvo type="min"/>
        <cfvo type="percentile" val="50"/>
        <cfvo type="max"/>
        <color rgb="FFF8696B"/>
        <color rgb="FFFFEB84"/>
        <color rgb="FF63BE7B"/>
      </colorScale>
    </cfRule>
  </conditionalFormatting>
  <conditionalFormatting sqref="E8956:E8957">
    <cfRule type="colorScale" priority="6530">
      <colorScale>
        <cfvo type="min"/>
        <cfvo type="percentile" val="50"/>
        <cfvo type="max"/>
        <color rgb="FFF8696B"/>
        <color rgb="FFFFEB84"/>
        <color rgb="FF63BE7B"/>
      </colorScale>
    </cfRule>
  </conditionalFormatting>
  <conditionalFormatting sqref="E8961:E8962">
    <cfRule type="colorScale" priority="6535">
      <colorScale>
        <cfvo type="min"/>
        <cfvo type="percentile" val="50"/>
        <cfvo type="max"/>
        <color rgb="FFF8696B"/>
        <color rgb="FFFFEB84"/>
        <color rgb="FF63BE7B"/>
      </colorScale>
    </cfRule>
  </conditionalFormatting>
  <conditionalFormatting sqref="E8966:E8967">
    <cfRule type="colorScale" priority="6540">
      <colorScale>
        <cfvo type="min"/>
        <cfvo type="percentile" val="50"/>
        <cfvo type="max"/>
        <color rgb="FFF8696B"/>
        <color rgb="FFFFEB84"/>
        <color rgb="FF63BE7B"/>
      </colorScale>
    </cfRule>
  </conditionalFormatting>
  <conditionalFormatting sqref="E8971:E8972">
    <cfRule type="colorScale" priority="6545">
      <colorScale>
        <cfvo type="min"/>
        <cfvo type="percentile" val="50"/>
        <cfvo type="max"/>
        <color rgb="FFF8696B"/>
        <color rgb="FFFFEB84"/>
        <color rgb="FF63BE7B"/>
      </colorScale>
    </cfRule>
  </conditionalFormatting>
  <conditionalFormatting sqref="E8976:E8977">
    <cfRule type="colorScale" priority="6550">
      <colorScale>
        <cfvo type="min"/>
        <cfvo type="percentile" val="50"/>
        <cfvo type="max"/>
        <color rgb="FFF8696B"/>
        <color rgb="FFFFEB84"/>
        <color rgb="FF63BE7B"/>
      </colorScale>
    </cfRule>
  </conditionalFormatting>
  <conditionalFormatting sqref="E8981:E8982">
    <cfRule type="colorScale" priority="6555">
      <colorScale>
        <cfvo type="min"/>
        <cfvo type="percentile" val="50"/>
        <cfvo type="max"/>
        <color rgb="FFF8696B"/>
        <color rgb="FFFFEB84"/>
        <color rgb="FF63BE7B"/>
      </colorScale>
    </cfRule>
  </conditionalFormatting>
  <conditionalFormatting sqref="E8986:E8987">
    <cfRule type="colorScale" priority="6560">
      <colorScale>
        <cfvo type="min"/>
        <cfvo type="percentile" val="50"/>
        <cfvo type="max"/>
        <color rgb="FFF8696B"/>
        <color rgb="FFFFEB84"/>
        <color rgb="FF63BE7B"/>
      </colorScale>
    </cfRule>
  </conditionalFormatting>
  <conditionalFormatting sqref="E8991:E8992">
    <cfRule type="colorScale" priority="6565">
      <colorScale>
        <cfvo type="min"/>
        <cfvo type="percentile" val="50"/>
        <cfvo type="max"/>
        <color rgb="FFF8696B"/>
        <color rgb="FFFFEB84"/>
        <color rgb="FF63BE7B"/>
      </colorScale>
    </cfRule>
  </conditionalFormatting>
  <conditionalFormatting sqref="E8996">
    <cfRule type="colorScale" priority="6570">
      <colorScale>
        <cfvo type="min"/>
        <cfvo type="percentile" val="50"/>
        <cfvo type="max"/>
        <color rgb="FFF8696B"/>
        <color rgb="FFFFEB84"/>
        <color rgb="FF63BE7B"/>
      </colorScale>
    </cfRule>
  </conditionalFormatting>
  <conditionalFormatting sqref="E9000:E9001">
    <cfRule type="colorScale" priority="6575">
      <colorScale>
        <cfvo type="min"/>
        <cfvo type="percentile" val="50"/>
        <cfvo type="max"/>
        <color rgb="FFF8696B"/>
        <color rgb="FFFFEB84"/>
        <color rgb="FF63BE7B"/>
      </colorScale>
    </cfRule>
  </conditionalFormatting>
  <conditionalFormatting sqref="E9005:E9006">
    <cfRule type="colorScale" priority="6580">
      <colorScale>
        <cfvo type="min"/>
        <cfvo type="percentile" val="50"/>
        <cfvo type="max"/>
        <color rgb="FFF8696B"/>
        <color rgb="FFFFEB84"/>
        <color rgb="FF63BE7B"/>
      </colorScale>
    </cfRule>
  </conditionalFormatting>
  <conditionalFormatting sqref="E9010:E9013">
    <cfRule type="colorScale" priority="6585">
      <colorScale>
        <cfvo type="min"/>
        <cfvo type="percentile" val="50"/>
        <cfvo type="max"/>
        <color rgb="FFF8696B"/>
        <color rgb="FFFFEB84"/>
        <color rgb="FF63BE7B"/>
      </colorScale>
    </cfRule>
  </conditionalFormatting>
  <conditionalFormatting sqref="E9017">
    <cfRule type="colorScale" priority="6591">
      <colorScale>
        <cfvo type="min"/>
        <cfvo type="percentile" val="50"/>
        <cfvo type="max"/>
        <color rgb="FFF8696B"/>
        <color rgb="FFFFEB84"/>
        <color rgb="FF63BE7B"/>
      </colorScale>
    </cfRule>
  </conditionalFormatting>
  <conditionalFormatting sqref="E9021:E9022">
    <cfRule type="colorScale" priority="6595">
      <colorScale>
        <cfvo type="min"/>
        <cfvo type="percentile" val="50"/>
        <cfvo type="max"/>
        <color rgb="FFF8696B"/>
        <color rgb="FFFFEB84"/>
        <color rgb="FF63BE7B"/>
      </colorScale>
    </cfRule>
  </conditionalFormatting>
  <conditionalFormatting sqref="E9030:E9031">
    <cfRule type="colorScale" priority="6605">
      <colorScale>
        <cfvo type="min"/>
        <cfvo type="percentile" val="50"/>
        <cfvo type="max"/>
        <color rgb="FFF8696B"/>
        <color rgb="FFFFEB84"/>
        <color rgb="FF63BE7B"/>
      </colorScale>
    </cfRule>
  </conditionalFormatting>
  <conditionalFormatting sqref="E9035">
    <cfRule type="colorScale" priority="6610">
      <colorScale>
        <cfvo type="min"/>
        <cfvo type="percentile" val="50"/>
        <cfvo type="max"/>
        <color rgb="FFF8696B"/>
        <color rgb="FFFFEB84"/>
        <color rgb="FF63BE7B"/>
      </colorScale>
    </cfRule>
  </conditionalFormatting>
  <conditionalFormatting sqref="E9039:E9040">
    <cfRule type="colorScale" priority="6615">
      <colorScale>
        <cfvo type="min"/>
        <cfvo type="percentile" val="50"/>
        <cfvo type="max"/>
        <color rgb="FFF8696B"/>
        <color rgb="FFFFEB84"/>
        <color rgb="FF63BE7B"/>
      </colorScale>
    </cfRule>
  </conditionalFormatting>
  <conditionalFormatting sqref="E9044">
    <cfRule type="colorScale" priority="6620">
      <colorScale>
        <cfvo type="min"/>
        <cfvo type="percentile" val="50"/>
        <cfvo type="max"/>
        <color rgb="FFF8696B"/>
        <color rgb="FFFFEB84"/>
        <color rgb="FF63BE7B"/>
      </colorScale>
    </cfRule>
  </conditionalFormatting>
  <conditionalFormatting sqref="E9048:E9049">
    <cfRule type="colorScale" priority="6625">
      <colorScale>
        <cfvo type="min"/>
        <cfvo type="percentile" val="50"/>
        <cfvo type="max"/>
        <color rgb="FFF8696B"/>
        <color rgb="FFFFEB84"/>
        <color rgb="FF63BE7B"/>
      </colorScale>
    </cfRule>
  </conditionalFormatting>
  <conditionalFormatting sqref="E9053:E9054">
    <cfRule type="colorScale" priority="6630">
      <colorScale>
        <cfvo type="min"/>
        <cfvo type="percentile" val="50"/>
        <cfvo type="max"/>
        <color rgb="FFF8696B"/>
        <color rgb="FFFFEB84"/>
        <color rgb="FF63BE7B"/>
      </colorScale>
    </cfRule>
  </conditionalFormatting>
  <conditionalFormatting sqref="E9058:E9059">
    <cfRule type="colorScale" priority="6635">
      <colorScale>
        <cfvo type="min"/>
        <cfvo type="percentile" val="50"/>
        <cfvo type="max"/>
        <color rgb="FFF8696B"/>
        <color rgb="FFFFEB84"/>
        <color rgb="FF63BE7B"/>
      </colorScale>
    </cfRule>
  </conditionalFormatting>
  <conditionalFormatting sqref="E9063:E9064">
    <cfRule type="colorScale" priority="6640">
      <colorScale>
        <cfvo type="min"/>
        <cfvo type="percentile" val="50"/>
        <cfvo type="max"/>
        <color rgb="FFF8696B"/>
        <color rgb="FFFFEB84"/>
        <color rgb="FF63BE7B"/>
      </colorScale>
    </cfRule>
  </conditionalFormatting>
  <conditionalFormatting sqref="E9068">
    <cfRule type="colorScale" priority="6645">
      <colorScale>
        <cfvo type="min"/>
        <cfvo type="percentile" val="50"/>
        <cfvo type="max"/>
        <color rgb="FFF8696B"/>
        <color rgb="FFFFEB84"/>
        <color rgb="FF63BE7B"/>
      </colorScale>
    </cfRule>
  </conditionalFormatting>
  <conditionalFormatting sqref="E9072:E9073">
    <cfRule type="colorScale" priority="6650">
      <colorScale>
        <cfvo type="min"/>
        <cfvo type="percentile" val="50"/>
        <cfvo type="max"/>
        <color rgb="FFF8696B"/>
        <color rgb="FFFFEB84"/>
        <color rgb="FF63BE7B"/>
      </colorScale>
    </cfRule>
  </conditionalFormatting>
  <conditionalFormatting sqref="E9077:E9078">
    <cfRule type="colorScale" priority="6655">
      <colorScale>
        <cfvo type="min"/>
        <cfvo type="percentile" val="50"/>
        <cfvo type="max"/>
        <color rgb="FFF8696B"/>
        <color rgb="FFFFEB84"/>
        <color rgb="FF63BE7B"/>
      </colorScale>
    </cfRule>
  </conditionalFormatting>
  <conditionalFormatting sqref="E9082:E9085">
    <cfRule type="colorScale" priority="6660">
      <colorScale>
        <cfvo type="min"/>
        <cfvo type="percentile" val="50"/>
        <cfvo type="max"/>
        <color rgb="FFF8696B"/>
        <color rgb="FFFFEB84"/>
        <color rgb="FF63BE7B"/>
      </colorScale>
    </cfRule>
  </conditionalFormatting>
  <conditionalFormatting sqref="E9089">
    <cfRule type="colorScale" priority="6666">
      <colorScale>
        <cfvo type="min"/>
        <cfvo type="percentile" val="50"/>
        <cfvo type="max"/>
        <color rgb="FFF8696B"/>
        <color rgb="FFFFEB84"/>
        <color rgb="FF63BE7B"/>
      </colorScale>
    </cfRule>
  </conditionalFormatting>
  <conditionalFormatting sqref="E9093:E9094">
    <cfRule type="colorScale" priority="6670">
      <colorScale>
        <cfvo type="min"/>
        <cfvo type="percentile" val="50"/>
        <cfvo type="max"/>
        <color rgb="FFF8696B"/>
        <color rgb="FFFFEB84"/>
        <color rgb="FF63BE7B"/>
      </colorScale>
    </cfRule>
  </conditionalFormatting>
  <conditionalFormatting sqref="E9102:E9103">
    <cfRule type="colorScale" priority="6680">
      <colorScale>
        <cfvo type="min"/>
        <cfvo type="percentile" val="50"/>
        <cfvo type="max"/>
        <color rgb="FFF8696B"/>
        <color rgb="FFFFEB84"/>
        <color rgb="FF63BE7B"/>
      </colorScale>
    </cfRule>
  </conditionalFormatting>
  <conditionalFormatting sqref="E9107:E9108">
    <cfRule type="colorScale" priority="6685">
      <colorScale>
        <cfvo type="min"/>
        <cfvo type="percentile" val="50"/>
        <cfvo type="max"/>
        <color rgb="FFF8696B"/>
        <color rgb="FFFFEB84"/>
        <color rgb="FF63BE7B"/>
      </colorScale>
    </cfRule>
  </conditionalFormatting>
  <conditionalFormatting sqref="E9112:E9113">
    <cfRule type="colorScale" priority="6690">
      <colorScale>
        <cfvo type="min"/>
        <cfvo type="percentile" val="50"/>
        <cfvo type="max"/>
        <color rgb="FFF8696B"/>
        <color rgb="FFFFEB84"/>
        <color rgb="FF63BE7B"/>
      </colorScale>
    </cfRule>
  </conditionalFormatting>
  <conditionalFormatting sqref="E9117:E9118">
    <cfRule type="colorScale" priority="6695">
      <colorScale>
        <cfvo type="min"/>
        <cfvo type="percentile" val="50"/>
        <cfvo type="max"/>
        <color rgb="FFF8696B"/>
        <color rgb="FFFFEB84"/>
        <color rgb="FF63BE7B"/>
      </colorScale>
    </cfRule>
  </conditionalFormatting>
  <conditionalFormatting sqref="E9122:E9123">
    <cfRule type="colorScale" priority="6700">
      <colorScale>
        <cfvo type="min"/>
        <cfvo type="percentile" val="50"/>
        <cfvo type="max"/>
        <color rgb="FFF8696B"/>
        <color rgb="FFFFEB84"/>
        <color rgb="FF63BE7B"/>
      </colorScale>
    </cfRule>
  </conditionalFormatting>
  <conditionalFormatting sqref="E9127:E9128">
    <cfRule type="colorScale" priority="6705">
      <colorScale>
        <cfvo type="min"/>
        <cfvo type="percentile" val="50"/>
        <cfvo type="max"/>
        <color rgb="FFF8696B"/>
        <color rgb="FFFFEB84"/>
        <color rgb="FF63BE7B"/>
      </colorScale>
    </cfRule>
  </conditionalFormatting>
  <conditionalFormatting sqref="E9132:E9133">
    <cfRule type="colorScale" priority="6710">
      <colorScale>
        <cfvo type="min"/>
        <cfvo type="percentile" val="50"/>
        <cfvo type="max"/>
        <color rgb="FFF8696B"/>
        <color rgb="FFFFEB84"/>
        <color rgb="FF63BE7B"/>
      </colorScale>
    </cfRule>
  </conditionalFormatting>
  <conditionalFormatting sqref="E9137:E9138">
    <cfRule type="colorScale" priority="6715">
      <colorScale>
        <cfvo type="min"/>
        <cfvo type="percentile" val="50"/>
        <cfvo type="max"/>
        <color rgb="FFF8696B"/>
        <color rgb="FFFFEB84"/>
        <color rgb="FF63BE7B"/>
      </colorScale>
    </cfRule>
  </conditionalFormatting>
  <conditionalFormatting sqref="E9142">
    <cfRule type="colorScale" priority="6720">
      <colorScale>
        <cfvo type="min"/>
        <cfvo type="percentile" val="50"/>
        <cfvo type="max"/>
        <color rgb="FFF8696B"/>
        <color rgb="FFFFEB84"/>
        <color rgb="FF63BE7B"/>
      </colorScale>
    </cfRule>
  </conditionalFormatting>
  <conditionalFormatting sqref="E9146:E9147">
    <cfRule type="colorScale" priority="6725">
      <colorScale>
        <cfvo type="min"/>
        <cfvo type="percentile" val="50"/>
        <cfvo type="max"/>
        <color rgb="FFF8696B"/>
        <color rgb="FFFFEB84"/>
        <color rgb="FF63BE7B"/>
      </colorScale>
    </cfRule>
  </conditionalFormatting>
  <conditionalFormatting sqref="E9151:E9152">
    <cfRule type="colorScale" priority="6730">
      <colorScale>
        <cfvo type="min"/>
        <cfvo type="percentile" val="50"/>
        <cfvo type="max"/>
        <color rgb="FFF8696B"/>
        <color rgb="FFFFEB84"/>
        <color rgb="FF63BE7B"/>
      </colorScale>
    </cfRule>
  </conditionalFormatting>
  <conditionalFormatting sqref="E9156:E9159">
    <cfRule type="colorScale" priority="6735">
      <colorScale>
        <cfvo type="min"/>
        <cfvo type="percentile" val="50"/>
        <cfvo type="max"/>
        <color rgb="FFF8696B"/>
        <color rgb="FFFFEB84"/>
        <color rgb="FF63BE7B"/>
      </colorScale>
    </cfRule>
  </conditionalFormatting>
  <conditionalFormatting sqref="E9163">
    <cfRule type="colorScale" priority="6741">
      <colorScale>
        <cfvo type="min"/>
        <cfvo type="percentile" val="50"/>
        <cfvo type="max"/>
        <color rgb="FFF8696B"/>
        <color rgb="FFFFEB84"/>
        <color rgb="FF63BE7B"/>
      </colorScale>
    </cfRule>
  </conditionalFormatting>
  <conditionalFormatting sqref="E9167:E9168">
    <cfRule type="colorScale" priority="6745">
      <colorScale>
        <cfvo type="min"/>
        <cfvo type="percentile" val="50"/>
        <cfvo type="max"/>
        <color rgb="FFF8696B"/>
        <color rgb="FFFFEB84"/>
        <color rgb="FF63BE7B"/>
      </colorScale>
    </cfRule>
  </conditionalFormatting>
  <conditionalFormatting sqref="E9176">
    <cfRule type="colorScale" priority="6755">
      <colorScale>
        <cfvo type="min"/>
        <cfvo type="percentile" val="50"/>
        <cfvo type="max"/>
        <color rgb="FFF8696B"/>
        <color rgb="FFFFEB84"/>
        <color rgb="FF63BE7B"/>
      </colorScale>
    </cfRule>
  </conditionalFormatting>
  <conditionalFormatting sqref="E9180">
    <cfRule type="colorScale" priority="6760">
      <colorScale>
        <cfvo type="min"/>
        <cfvo type="percentile" val="50"/>
        <cfvo type="max"/>
        <color rgb="FFF8696B"/>
        <color rgb="FFFFEB84"/>
        <color rgb="FF63BE7B"/>
      </colorScale>
    </cfRule>
  </conditionalFormatting>
  <conditionalFormatting sqref="E9184:E9185">
    <cfRule type="colorScale" priority="6765">
      <colorScale>
        <cfvo type="min"/>
        <cfvo type="percentile" val="50"/>
        <cfvo type="max"/>
        <color rgb="FFF8696B"/>
        <color rgb="FFFFEB84"/>
        <color rgb="FF63BE7B"/>
      </colorScale>
    </cfRule>
  </conditionalFormatting>
  <conditionalFormatting sqref="E9189">
    <cfRule type="colorScale" priority="6770">
      <colorScale>
        <cfvo type="min"/>
        <cfvo type="percentile" val="50"/>
        <cfvo type="max"/>
        <color rgb="FFF8696B"/>
        <color rgb="FFFFEB84"/>
        <color rgb="FF63BE7B"/>
      </colorScale>
    </cfRule>
  </conditionalFormatting>
  <conditionalFormatting sqref="E9193:E9194">
    <cfRule type="colorScale" priority="6775">
      <colorScale>
        <cfvo type="min"/>
        <cfvo type="percentile" val="50"/>
        <cfvo type="max"/>
        <color rgb="FFF8696B"/>
        <color rgb="FFFFEB84"/>
        <color rgb="FF63BE7B"/>
      </colorScale>
    </cfRule>
  </conditionalFormatting>
  <conditionalFormatting sqref="E9198:E9199">
    <cfRule type="colorScale" priority="6780">
      <colorScale>
        <cfvo type="min"/>
        <cfvo type="percentile" val="50"/>
        <cfvo type="max"/>
        <color rgb="FFF8696B"/>
        <color rgb="FFFFEB84"/>
        <color rgb="FF63BE7B"/>
      </colorScale>
    </cfRule>
  </conditionalFormatting>
  <conditionalFormatting sqref="E9203:E9204">
    <cfRule type="colorScale" priority="6785">
      <colorScale>
        <cfvo type="min"/>
        <cfvo type="percentile" val="50"/>
        <cfvo type="max"/>
        <color rgb="FFF8696B"/>
        <color rgb="FFFFEB84"/>
        <color rgb="FF63BE7B"/>
      </colorScale>
    </cfRule>
  </conditionalFormatting>
  <conditionalFormatting sqref="E9208:E9209">
    <cfRule type="colorScale" priority="6790">
      <colorScale>
        <cfvo type="min"/>
        <cfvo type="percentile" val="50"/>
        <cfvo type="max"/>
        <color rgb="FFF8696B"/>
        <color rgb="FFFFEB84"/>
        <color rgb="FF63BE7B"/>
      </colorScale>
    </cfRule>
  </conditionalFormatting>
  <conditionalFormatting sqref="E9213">
    <cfRule type="colorScale" priority="6795">
      <colorScale>
        <cfvo type="min"/>
        <cfvo type="percentile" val="50"/>
        <cfvo type="max"/>
        <color rgb="FFF8696B"/>
        <color rgb="FFFFEB84"/>
        <color rgb="FF63BE7B"/>
      </colorScale>
    </cfRule>
  </conditionalFormatting>
  <conditionalFormatting sqref="E9217:E9218">
    <cfRule type="colorScale" priority="6800">
      <colorScale>
        <cfvo type="min"/>
        <cfvo type="percentile" val="50"/>
        <cfvo type="max"/>
        <color rgb="FFF8696B"/>
        <color rgb="FFFFEB84"/>
        <color rgb="FF63BE7B"/>
      </colorScale>
    </cfRule>
  </conditionalFormatting>
  <conditionalFormatting sqref="E9222:E9223">
    <cfRule type="colorScale" priority="6805">
      <colorScale>
        <cfvo type="min"/>
        <cfvo type="percentile" val="50"/>
        <cfvo type="max"/>
        <color rgb="FFF8696B"/>
        <color rgb="FFFFEB84"/>
        <color rgb="FF63BE7B"/>
      </colorScale>
    </cfRule>
  </conditionalFormatting>
  <conditionalFormatting sqref="E9227:E9230">
    <cfRule type="colorScale" priority="6810">
      <colorScale>
        <cfvo type="min"/>
        <cfvo type="percentile" val="50"/>
        <cfvo type="max"/>
        <color rgb="FFF8696B"/>
        <color rgb="FFFFEB84"/>
        <color rgb="FF63BE7B"/>
      </colorScale>
    </cfRule>
  </conditionalFormatting>
  <conditionalFormatting sqref="E9234">
    <cfRule type="colorScale" priority="6816">
      <colorScale>
        <cfvo type="min"/>
        <cfvo type="percentile" val="50"/>
        <cfvo type="max"/>
        <color rgb="FFF8696B"/>
        <color rgb="FFFFEB84"/>
        <color rgb="FF63BE7B"/>
      </colorScale>
    </cfRule>
  </conditionalFormatting>
  <conditionalFormatting sqref="E9238:E9239">
    <cfRule type="colorScale" priority="6820">
      <colorScale>
        <cfvo type="min"/>
        <cfvo type="percentile" val="50"/>
        <cfvo type="max"/>
        <color rgb="FFF8696B"/>
        <color rgb="FFFFEB84"/>
        <color rgb="FF63BE7B"/>
      </colorScale>
    </cfRule>
  </conditionalFormatting>
  <conditionalFormatting sqref="E9247:E9248">
    <cfRule type="colorScale" priority="6830">
      <colorScale>
        <cfvo type="min"/>
        <cfvo type="percentile" val="50"/>
        <cfvo type="max"/>
        <color rgb="FFF8696B"/>
        <color rgb="FFFFEB84"/>
        <color rgb="FF63BE7B"/>
      </colorScale>
    </cfRule>
  </conditionalFormatting>
  <conditionalFormatting sqref="E9252">
    <cfRule type="colorScale" priority="6835">
      <colorScale>
        <cfvo type="min"/>
        <cfvo type="percentile" val="50"/>
        <cfvo type="max"/>
        <color rgb="FFF8696B"/>
        <color rgb="FFFFEB84"/>
        <color rgb="FF63BE7B"/>
      </colorScale>
    </cfRule>
  </conditionalFormatting>
  <conditionalFormatting sqref="E9256">
    <cfRule type="colorScale" priority="6840">
      <colorScale>
        <cfvo type="min"/>
        <cfvo type="percentile" val="50"/>
        <cfvo type="max"/>
        <color rgb="FFF8696B"/>
        <color rgb="FFFFEB84"/>
        <color rgb="FF63BE7B"/>
      </colorScale>
    </cfRule>
  </conditionalFormatting>
  <conditionalFormatting sqref="E9260">
    <cfRule type="colorScale" priority="6845">
      <colorScale>
        <cfvo type="min"/>
        <cfvo type="percentile" val="50"/>
        <cfvo type="max"/>
        <color rgb="FFF8696B"/>
        <color rgb="FFFFEB84"/>
        <color rgb="FF63BE7B"/>
      </colorScale>
    </cfRule>
  </conditionalFormatting>
  <conditionalFormatting sqref="E9264">
    <cfRule type="colorScale" priority="6850">
      <colorScale>
        <cfvo type="min"/>
        <cfvo type="percentile" val="50"/>
        <cfvo type="max"/>
        <color rgb="FFF8696B"/>
        <color rgb="FFFFEB84"/>
        <color rgb="FF63BE7B"/>
      </colorScale>
    </cfRule>
  </conditionalFormatting>
  <conditionalFormatting sqref="E9268:E9269">
    <cfRule type="colorScale" priority="6855">
      <colorScale>
        <cfvo type="min"/>
        <cfvo type="percentile" val="50"/>
        <cfvo type="max"/>
        <color rgb="FFF8696B"/>
        <color rgb="FFFFEB84"/>
        <color rgb="FF63BE7B"/>
      </colorScale>
    </cfRule>
  </conditionalFormatting>
  <conditionalFormatting sqref="E9273">
    <cfRule type="colorScale" priority="6860">
      <colorScale>
        <cfvo type="min"/>
        <cfvo type="percentile" val="50"/>
        <cfvo type="max"/>
        <color rgb="FFF8696B"/>
        <color rgb="FFFFEB84"/>
        <color rgb="FF63BE7B"/>
      </colorScale>
    </cfRule>
  </conditionalFormatting>
  <conditionalFormatting sqref="E9277:E9278">
    <cfRule type="colorScale" priority="6865">
      <colorScale>
        <cfvo type="min"/>
        <cfvo type="percentile" val="50"/>
        <cfvo type="max"/>
        <color rgb="FFF8696B"/>
        <color rgb="FFFFEB84"/>
        <color rgb="FF63BE7B"/>
      </colorScale>
    </cfRule>
  </conditionalFormatting>
  <conditionalFormatting sqref="E9282">
    <cfRule type="colorScale" priority="6870">
      <colorScale>
        <cfvo type="min"/>
        <cfvo type="percentile" val="50"/>
        <cfvo type="max"/>
        <color rgb="FFF8696B"/>
        <color rgb="FFFFEB84"/>
        <color rgb="FF63BE7B"/>
      </colorScale>
    </cfRule>
  </conditionalFormatting>
  <conditionalFormatting sqref="E9286:E9287">
    <cfRule type="colorScale" priority="6875">
      <colorScale>
        <cfvo type="min"/>
        <cfvo type="percentile" val="50"/>
        <cfvo type="max"/>
        <color rgb="FFF8696B"/>
        <color rgb="FFFFEB84"/>
        <color rgb="FF63BE7B"/>
      </colorScale>
    </cfRule>
  </conditionalFormatting>
  <conditionalFormatting sqref="E9291">
    <cfRule type="colorScale" priority="6880">
      <colorScale>
        <cfvo type="min"/>
        <cfvo type="percentile" val="50"/>
        <cfvo type="max"/>
        <color rgb="FFF8696B"/>
        <color rgb="FFFFEB84"/>
        <color rgb="FF63BE7B"/>
      </colorScale>
    </cfRule>
  </conditionalFormatting>
  <conditionalFormatting sqref="E9295:E9297">
    <cfRule type="colorScale" priority="6885">
      <colorScale>
        <cfvo type="min"/>
        <cfvo type="percentile" val="50"/>
        <cfvo type="max"/>
        <color rgb="FFF8696B"/>
        <color rgb="FFFFEB84"/>
        <color rgb="FF63BE7B"/>
      </colorScale>
    </cfRule>
  </conditionalFormatting>
  <conditionalFormatting sqref="E9301">
    <cfRule type="colorScale" priority="6891">
      <colorScale>
        <cfvo type="min"/>
        <cfvo type="percentile" val="50"/>
        <cfvo type="max"/>
        <color rgb="FFF8696B"/>
        <color rgb="FFFFEB84"/>
        <color rgb="FF63BE7B"/>
      </colorScale>
    </cfRule>
  </conditionalFormatting>
  <conditionalFormatting sqref="E9305">
    <cfRule type="colorScale" priority="6895">
      <colorScale>
        <cfvo type="min"/>
        <cfvo type="percentile" val="50"/>
        <cfvo type="max"/>
        <color rgb="FFF8696B"/>
        <color rgb="FFFFEB84"/>
        <color rgb="FF63BE7B"/>
      </colorScale>
    </cfRule>
  </conditionalFormatting>
  <conditionalFormatting sqref="E9313">
    <cfRule type="colorScale" priority="6905">
      <colorScale>
        <cfvo type="min"/>
        <cfvo type="percentile" val="50"/>
        <cfvo type="max"/>
        <color rgb="FFF8696B"/>
        <color rgb="FFFFEB84"/>
        <color rgb="FF63BE7B"/>
      </colorScale>
    </cfRule>
  </conditionalFormatting>
  <conditionalFormatting sqref="E9317">
    <cfRule type="colorScale" priority="6910">
      <colorScale>
        <cfvo type="min"/>
        <cfvo type="percentile" val="50"/>
        <cfvo type="max"/>
        <color rgb="FFF8696B"/>
        <color rgb="FFFFEB84"/>
        <color rgb="FF63BE7B"/>
      </colorScale>
    </cfRule>
  </conditionalFormatting>
  <conditionalFormatting sqref="E9321">
    <cfRule type="colorScale" priority="6915">
      <colorScale>
        <cfvo type="min"/>
        <cfvo type="percentile" val="50"/>
        <cfvo type="max"/>
        <color rgb="FFF8696B"/>
        <color rgb="FFFFEB84"/>
        <color rgb="FF63BE7B"/>
      </colorScale>
    </cfRule>
  </conditionalFormatting>
  <conditionalFormatting sqref="E9325">
    <cfRule type="colorScale" priority="6920">
      <colorScale>
        <cfvo type="min"/>
        <cfvo type="percentile" val="50"/>
        <cfvo type="max"/>
        <color rgb="FFF8696B"/>
        <color rgb="FFFFEB84"/>
        <color rgb="FF63BE7B"/>
      </colorScale>
    </cfRule>
  </conditionalFormatting>
  <conditionalFormatting sqref="E9329:E9330">
    <cfRule type="colorScale" priority="6925">
      <colorScale>
        <cfvo type="min"/>
        <cfvo type="percentile" val="50"/>
        <cfvo type="max"/>
        <color rgb="FFF8696B"/>
        <color rgb="FFFFEB84"/>
        <color rgb="FF63BE7B"/>
      </colorScale>
    </cfRule>
  </conditionalFormatting>
  <conditionalFormatting sqref="E9334:E9335">
    <cfRule type="colorScale" priority="6930">
      <colorScale>
        <cfvo type="min"/>
        <cfvo type="percentile" val="50"/>
        <cfvo type="max"/>
        <color rgb="FFF8696B"/>
        <color rgb="FFFFEB84"/>
        <color rgb="FF63BE7B"/>
      </colorScale>
    </cfRule>
  </conditionalFormatting>
  <conditionalFormatting sqref="E9339">
    <cfRule type="colorScale" priority="6935">
      <colorScale>
        <cfvo type="min"/>
        <cfvo type="percentile" val="50"/>
        <cfvo type="max"/>
        <color rgb="FFF8696B"/>
        <color rgb="FFFFEB84"/>
        <color rgb="FF63BE7B"/>
      </colorScale>
    </cfRule>
  </conditionalFormatting>
  <conditionalFormatting sqref="E9343:E9344">
    <cfRule type="colorScale" priority="6940">
      <colorScale>
        <cfvo type="min"/>
        <cfvo type="percentile" val="50"/>
        <cfvo type="max"/>
        <color rgb="FFF8696B"/>
        <color rgb="FFFFEB84"/>
        <color rgb="FF63BE7B"/>
      </colorScale>
    </cfRule>
  </conditionalFormatting>
  <conditionalFormatting sqref="E9348">
    <cfRule type="colorScale" priority="6945">
      <colorScale>
        <cfvo type="min"/>
        <cfvo type="percentile" val="50"/>
        <cfvo type="max"/>
        <color rgb="FFF8696B"/>
        <color rgb="FFFFEB84"/>
        <color rgb="FF63BE7B"/>
      </colorScale>
    </cfRule>
  </conditionalFormatting>
  <conditionalFormatting sqref="E9352:E9353">
    <cfRule type="colorScale" priority="6950">
      <colorScale>
        <cfvo type="min"/>
        <cfvo type="percentile" val="50"/>
        <cfvo type="max"/>
        <color rgb="FFF8696B"/>
        <color rgb="FFFFEB84"/>
        <color rgb="FF63BE7B"/>
      </colorScale>
    </cfRule>
  </conditionalFormatting>
  <conditionalFormatting sqref="E9357:E9358">
    <cfRule type="colorScale" priority="6955">
      <colorScale>
        <cfvo type="min"/>
        <cfvo type="percentile" val="50"/>
        <cfvo type="max"/>
        <color rgb="FFF8696B"/>
        <color rgb="FFFFEB84"/>
        <color rgb="FF63BE7B"/>
      </colorScale>
    </cfRule>
  </conditionalFormatting>
  <conditionalFormatting sqref="E9362">
    <cfRule type="colorScale" priority="6960">
      <colorScale>
        <cfvo type="min"/>
        <cfvo type="percentile" val="50"/>
        <cfvo type="max"/>
        <color rgb="FFF8696B"/>
        <color rgb="FFFFEB84"/>
        <color rgb="FF63BE7B"/>
      </colorScale>
    </cfRule>
  </conditionalFormatting>
  <conditionalFormatting sqref="E9366">
    <cfRule type="colorScale" priority="6966">
      <colorScale>
        <cfvo type="min"/>
        <cfvo type="percentile" val="50"/>
        <cfvo type="max"/>
        <color rgb="FFF8696B"/>
        <color rgb="FFFFEB84"/>
        <color rgb="FF63BE7B"/>
      </colorScale>
    </cfRule>
  </conditionalFormatting>
  <conditionalFormatting sqref="E9370:E9371">
    <cfRule type="colorScale" priority="6970">
      <colorScale>
        <cfvo type="min"/>
        <cfvo type="percentile" val="50"/>
        <cfvo type="max"/>
        <color rgb="FFF8696B"/>
        <color rgb="FFFFEB84"/>
        <color rgb="FF63BE7B"/>
      </colorScale>
    </cfRule>
  </conditionalFormatting>
  <conditionalFormatting sqref="E9379:E9380">
    <cfRule type="colorScale" priority="6980">
      <colorScale>
        <cfvo type="min"/>
        <cfvo type="percentile" val="50"/>
        <cfvo type="max"/>
        <color rgb="FFF8696B"/>
        <color rgb="FFFFEB84"/>
        <color rgb="FF63BE7B"/>
      </colorScale>
    </cfRule>
  </conditionalFormatting>
  <conditionalFormatting sqref="E9384:E9385">
    <cfRule type="colorScale" priority="6985">
      <colorScale>
        <cfvo type="min"/>
        <cfvo type="percentile" val="50"/>
        <cfvo type="max"/>
        <color rgb="FFF8696B"/>
        <color rgb="FFFFEB84"/>
        <color rgb="FF63BE7B"/>
      </colorScale>
    </cfRule>
  </conditionalFormatting>
  <conditionalFormatting sqref="E9389:E9390">
    <cfRule type="colorScale" priority="6990">
      <colorScale>
        <cfvo type="min"/>
        <cfvo type="percentile" val="50"/>
        <cfvo type="max"/>
        <color rgb="FFF8696B"/>
        <color rgb="FFFFEB84"/>
        <color rgb="FF63BE7B"/>
      </colorScale>
    </cfRule>
  </conditionalFormatting>
  <conditionalFormatting sqref="E9394:E9395">
    <cfRule type="colorScale" priority="6995">
      <colorScale>
        <cfvo type="min"/>
        <cfvo type="percentile" val="50"/>
        <cfvo type="max"/>
        <color rgb="FFF8696B"/>
        <color rgb="FFFFEB84"/>
        <color rgb="FF63BE7B"/>
      </colorScale>
    </cfRule>
  </conditionalFormatting>
  <conditionalFormatting sqref="E9399:E9400">
    <cfRule type="colorScale" priority="7000">
      <colorScale>
        <cfvo type="min"/>
        <cfvo type="percentile" val="50"/>
        <cfvo type="max"/>
        <color rgb="FFF8696B"/>
        <color rgb="FFFFEB84"/>
        <color rgb="FF63BE7B"/>
      </colorScale>
    </cfRule>
  </conditionalFormatting>
  <conditionalFormatting sqref="E9404:E9405">
    <cfRule type="colorScale" priority="7005">
      <colorScale>
        <cfvo type="min"/>
        <cfvo type="percentile" val="50"/>
        <cfvo type="max"/>
        <color rgb="FFF8696B"/>
        <color rgb="FFFFEB84"/>
        <color rgb="FF63BE7B"/>
      </colorScale>
    </cfRule>
  </conditionalFormatting>
  <conditionalFormatting sqref="E9409:E9410">
    <cfRule type="colorScale" priority="7010">
      <colorScale>
        <cfvo type="min"/>
        <cfvo type="percentile" val="50"/>
        <cfvo type="max"/>
        <color rgb="FFF8696B"/>
        <color rgb="FFFFEB84"/>
        <color rgb="FF63BE7B"/>
      </colorScale>
    </cfRule>
  </conditionalFormatting>
  <conditionalFormatting sqref="E9414:E9415">
    <cfRule type="colorScale" priority="7015">
      <colorScale>
        <cfvo type="min"/>
        <cfvo type="percentile" val="50"/>
        <cfvo type="max"/>
        <color rgb="FFF8696B"/>
        <color rgb="FFFFEB84"/>
        <color rgb="FF63BE7B"/>
      </colorScale>
    </cfRule>
  </conditionalFormatting>
  <conditionalFormatting sqref="E9419">
    <cfRule type="colorScale" priority="7020">
      <colorScale>
        <cfvo type="min"/>
        <cfvo type="percentile" val="50"/>
        <cfvo type="max"/>
        <color rgb="FFF8696B"/>
        <color rgb="FFFFEB84"/>
        <color rgb="FF63BE7B"/>
      </colorScale>
    </cfRule>
  </conditionalFormatting>
  <conditionalFormatting sqref="E9423:E9424">
    <cfRule type="colorScale" priority="7025">
      <colorScale>
        <cfvo type="min"/>
        <cfvo type="percentile" val="50"/>
        <cfvo type="max"/>
        <color rgb="FFF8696B"/>
        <color rgb="FFFFEB84"/>
        <color rgb="FF63BE7B"/>
      </colorScale>
    </cfRule>
  </conditionalFormatting>
  <conditionalFormatting sqref="E9428:E9429">
    <cfRule type="colorScale" priority="7030">
      <colorScale>
        <cfvo type="min"/>
        <cfvo type="percentile" val="50"/>
        <cfvo type="max"/>
        <color rgb="FFF8696B"/>
        <color rgb="FFFFEB84"/>
        <color rgb="FF63BE7B"/>
      </colorScale>
    </cfRule>
  </conditionalFormatting>
  <conditionalFormatting sqref="E9433:E9436">
    <cfRule type="colorScale" priority="7035">
      <colorScale>
        <cfvo type="min"/>
        <cfvo type="percentile" val="50"/>
        <cfvo type="max"/>
        <color rgb="FFF8696B"/>
        <color rgb="FFFFEB84"/>
        <color rgb="FF63BE7B"/>
      </colorScale>
    </cfRule>
  </conditionalFormatting>
  <conditionalFormatting sqref="E9440">
    <cfRule type="colorScale" priority="7041">
      <colorScale>
        <cfvo type="min"/>
        <cfvo type="percentile" val="50"/>
        <cfvo type="max"/>
        <color rgb="FFF8696B"/>
        <color rgb="FFFFEB84"/>
        <color rgb="FF63BE7B"/>
      </colorScale>
    </cfRule>
  </conditionalFormatting>
  <conditionalFormatting sqref="E9444">
    <cfRule type="colorScale" priority="7045">
      <colorScale>
        <cfvo type="min"/>
        <cfvo type="percentile" val="50"/>
        <cfvo type="max"/>
        <color rgb="FFF8696B"/>
        <color rgb="FFFFEB84"/>
        <color rgb="FF63BE7B"/>
      </colorScale>
    </cfRule>
  </conditionalFormatting>
  <conditionalFormatting sqref="E9452">
    <cfRule type="colorScale" priority="7055">
      <colorScale>
        <cfvo type="min"/>
        <cfvo type="percentile" val="50"/>
        <cfvo type="max"/>
        <color rgb="FFF8696B"/>
        <color rgb="FFFFEB84"/>
        <color rgb="FF63BE7B"/>
      </colorScale>
    </cfRule>
  </conditionalFormatting>
  <conditionalFormatting sqref="E9456">
    <cfRule type="colorScale" priority="7060">
      <colorScale>
        <cfvo type="min"/>
        <cfvo type="percentile" val="50"/>
        <cfvo type="max"/>
        <color rgb="FFF8696B"/>
        <color rgb="FFFFEB84"/>
        <color rgb="FF63BE7B"/>
      </colorScale>
    </cfRule>
  </conditionalFormatting>
  <conditionalFormatting sqref="E9460">
    <cfRule type="colorScale" priority="7065">
      <colorScale>
        <cfvo type="min"/>
        <cfvo type="percentile" val="50"/>
        <cfvo type="max"/>
        <color rgb="FFF8696B"/>
        <color rgb="FFFFEB84"/>
        <color rgb="FF63BE7B"/>
      </colorScale>
    </cfRule>
  </conditionalFormatting>
  <conditionalFormatting sqref="E9464">
    <cfRule type="colorScale" priority="7070">
      <colorScale>
        <cfvo type="min"/>
        <cfvo type="percentile" val="50"/>
        <cfvo type="max"/>
        <color rgb="FFF8696B"/>
        <color rgb="FFFFEB84"/>
        <color rgb="FF63BE7B"/>
      </colorScale>
    </cfRule>
  </conditionalFormatting>
  <conditionalFormatting sqref="E9468:E9469">
    <cfRule type="colorScale" priority="7075">
      <colorScale>
        <cfvo type="min"/>
        <cfvo type="percentile" val="50"/>
        <cfvo type="max"/>
        <color rgb="FFF8696B"/>
        <color rgb="FFFFEB84"/>
        <color rgb="FF63BE7B"/>
      </colorScale>
    </cfRule>
  </conditionalFormatting>
  <conditionalFormatting sqref="E9473">
    <cfRule type="colorScale" priority="7080">
      <colorScale>
        <cfvo type="min"/>
        <cfvo type="percentile" val="50"/>
        <cfvo type="max"/>
        <color rgb="FFF8696B"/>
        <color rgb="FFFFEB84"/>
        <color rgb="FF63BE7B"/>
      </colorScale>
    </cfRule>
  </conditionalFormatting>
  <conditionalFormatting sqref="E9477:E9478">
    <cfRule type="colorScale" priority="7085">
      <colorScale>
        <cfvo type="min"/>
        <cfvo type="percentile" val="50"/>
        <cfvo type="max"/>
        <color rgb="FFF8696B"/>
        <color rgb="FFFFEB84"/>
        <color rgb="FF63BE7B"/>
      </colorScale>
    </cfRule>
  </conditionalFormatting>
  <conditionalFormatting sqref="E9482">
    <cfRule type="colorScale" priority="7090">
      <colorScale>
        <cfvo type="min"/>
        <cfvo type="percentile" val="50"/>
        <cfvo type="max"/>
        <color rgb="FFF8696B"/>
        <color rgb="FFFFEB84"/>
        <color rgb="FF63BE7B"/>
      </colorScale>
    </cfRule>
  </conditionalFormatting>
  <conditionalFormatting sqref="E9486">
    <cfRule type="colorScale" priority="7095">
      <colorScale>
        <cfvo type="min"/>
        <cfvo type="percentile" val="50"/>
        <cfvo type="max"/>
        <color rgb="FFF8696B"/>
        <color rgb="FFFFEB84"/>
        <color rgb="FF63BE7B"/>
      </colorScale>
    </cfRule>
  </conditionalFormatting>
  <conditionalFormatting sqref="E9490:E9491">
    <cfRule type="colorScale" priority="7100">
      <colorScale>
        <cfvo type="min"/>
        <cfvo type="percentile" val="50"/>
        <cfvo type="max"/>
        <color rgb="FFF8696B"/>
        <color rgb="FFFFEB84"/>
        <color rgb="FF63BE7B"/>
      </colorScale>
    </cfRule>
  </conditionalFormatting>
  <conditionalFormatting sqref="E9495">
    <cfRule type="colorScale" priority="7105">
      <colorScale>
        <cfvo type="min"/>
        <cfvo type="percentile" val="50"/>
        <cfvo type="max"/>
        <color rgb="FFF8696B"/>
        <color rgb="FFFFEB84"/>
        <color rgb="FF63BE7B"/>
      </colorScale>
    </cfRule>
  </conditionalFormatting>
  <conditionalFormatting sqref="E9499:E9501">
    <cfRule type="colorScale" priority="7110">
      <colorScale>
        <cfvo type="min"/>
        <cfvo type="percentile" val="50"/>
        <cfvo type="max"/>
        <color rgb="FFF8696B"/>
        <color rgb="FFFFEB84"/>
        <color rgb="FF63BE7B"/>
      </colorScale>
    </cfRule>
  </conditionalFormatting>
  <conditionalFormatting sqref="E9505">
    <cfRule type="colorScale" priority="7116">
      <colorScale>
        <cfvo type="min"/>
        <cfvo type="percentile" val="50"/>
        <cfvo type="max"/>
        <color rgb="FFF8696B"/>
        <color rgb="FFFFEB84"/>
        <color rgb="FF63BE7B"/>
      </colorScale>
    </cfRule>
  </conditionalFormatting>
  <conditionalFormatting sqref="E9509">
    <cfRule type="colorScale" priority="7120">
      <colorScale>
        <cfvo type="min"/>
        <cfvo type="percentile" val="50"/>
        <cfvo type="max"/>
        <color rgb="FFF8696B"/>
        <color rgb="FFFFEB84"/>
        <color rgb="FF63BE7B"/>
      </colorScale>
    </cfRule>
  </conditionalFormatting>
  <conditionalFormatting sqref="E9517:E9518">
    <cfRule type="colorScale" priority="7130">
      <colorScale>
        <cfvo type="min"/>
        <cfvo type="percentile" val="50"/>
        <cfvo type="max"/>
        <color rgb="FFF8696B"/>
        <color rgb="FFFFEB84"/>
        <color rgb="FF63BE7B"/>
      </colorScale>
    </cfRule>
  </conditionalFormatting>
  <conditionalFormatting sqref="E9522">
    <cfRule type="colorScale" priority="7135">
      <colorScale>
        <cfvo type="min"/>
        <cfvo type="percentile" val="50"/>
        <cfvo type="max"/>
        <color rgb="FFF8696B"/>
        <color rgb="FFFFEB84"/>
        <color rgb="FF63BE7B"/>
      </colorScale>
    </cfRule>
  </conditionalFormatting>
  <conditionalFormatting sqref="E9526">
    <cfRule type="colorScale" priority="7140">
      <colorScale>
        <cfvo type="min"/>
        <cfvo type="percentile" val="50"/>
        <cfvo type="max"/>
        <color rgb="FFF8696B"/>
        <color rgb="FFFFEB84"/>
        <color rgb="FF63BE7B"/>
      </colorScale>
    </cfRule>
  </conditionalFormatting>
  <conditionalFormatting sqref="E9530">
    <cfRule type="colorScale" priority="7145">
      <colorScale>
        <cfvo type="min"/>
        <cfvo type="percentile" val="50"/>
        <cfvo type="max"/>
        <color rgb="FFF8696B"/>
        <color rgb="FFFFEB84"/>
        <color rgb="FF63BE7B"/>
      </colorScale>
    </cfRule>
  </conditionalFormatting>
  <conditionalFormatting sqref="E9534:E9535">
    <cfRule type="colorScale" priority="7150">
      <colorScale>
        <cfvo type="min"/>
        <cfvo type="percentile" val="50"/>
        <cfvo type="max"/>
        <color rgb="FFF8696B"/>
        <color rgb="FFFFEB84"/>
        <color rgb="FF63BE7B"/>
      </colorScale>
    </cfRule>
  </conditionalFormatting>
  <conditionalFormatting sqref="E9539:E9540">
    <cfRule type="colorScale" priority="7155">
      <colorScale>
        <cfvo type="min"/>
        <cfvo type="percentile" val="50"/>
        <cfvo type="max"/>
        <color rgb="FFF8696B"/>
        <color rgb="FFFFEB84"/>
        <color rgb="FF63BE7B"/>
      </colorScale>
    </cfRule>
  </conditionalFormatting>
  <conditionalFormatting sqref="E9544:E9545">
    <cfRule type="colorScale" priority="7160">
      <colorScale>
        <cfvo type="min"/>
        <cfvo type="percentile" val="50"/>
        <cfvo type="max"/>
        <color rgb="FFF8696B"/>
        <color rgb="FFFFEB84"/>
        <color rgb="FF63BE7B"/>
      </colorScale>
    </cfRule>
  </conditionalFormatting>
  <conditionalFormatting sqref="E9549">
    <cfRule type="colorScale" priority="7165">
      <colorScale>
        <cfvo type="min"/>
        <cfvo type="percentile" val="50"/>
        <cfvo type="max"/>
        <color rgb="FFF8696B"/>
        <color rgb="FFFFEB84"/>
        <color rgb="FF63BE7B"/>
      </colorScale>
    </cfRule>
  </conditionalFormatting>
  <conditionalFormatting sqref="E9553">
    <cfRule type="colorScale" priority="7170">
      <colorScale>
        <cfvo type="min"/>
        <cfvo type="percentile" val="50"/>
        <cfvo type="max"/>
        <color rgb="FFF8696B"/>
        <color rgb="FFFFEB84"/>
        <color rgb="FF63BE7B"/>
      </colorScale>
    </cfRule>
  </conditionalFormatting>
  <conditionalFormatting sqref="E9557:E9558">
    <cfRule type="colorScale" priority="7175">
      <colorScale>
        <cfvo type="min"/>
        <cfvo type="percentile" val="50"/>
        <cfvo type="max"/>
        <color rgb="FFF8696B"/>
        <color rgb="FFFFEB84"/>
        <color rgb="FF63BE7B"/>
      </colorScale>
    </cfRule>
  </conditionalFormatting>
  <conditionalFormatting sqref="E9562:E9563">
    <cfRule type="colorScale" priority="7180">
      <colorScale>
        <cfvo type="min"/>
        <cfvo type="percentile" val="50"/>
        <cfvo type="max"/>
        <color rgb="FFF8696B"/>
        <color rgb="FFFFEB84"/>
        <color rgb="FF63BE7B"/>
      </colorScale>
    </cfRule>
  </conditionalFormatting>
  <conditionalFormatting sqref="E9567:E9570">
    <cfRule type="colorScale" priority="7185">
      <colorScale>
        <cfvo type="min"/>
        <cfvo type="percentile" val="50"/>
        <cfvo type="max"/>
        <color rgb="FFF8696B"/>
        <color rgb="FFFFEB84"/>
        <color rgb="FF63BE7B"/>
      </colorScale>
    </cfRule>
  </conditionalFormatting>
  <conditionalFormatting sqref="E9574">
    <cfRule type="colorScale" priority="7191">
      <colorScale>
        <cfvo type="min"/>
        <cfvo type="percentile" val="50"/>
        <cfvo type="max"/>
        <color rgb="FFF8696B"/>
        <color rgb="FFFFEB84"/>
        <color rgb="FF63BE7B"/>
      </colorScale>
    </cfRule>
  </conditionalFormatting>
  <conditionalFormatting sqref="E9578:E9579">
    <cfRule type="colorScale" priority="7195">
      <colorScale>
        <cfvo type="min"/>
        <cfvo type="percentile" val="50"/>
        <cfvo type="max"/>
        <color rgb="FFF8696B"/>
        <color rgb="FFFFEB84"/>
        <color rgb="FF63BE7B"/>
      </colorScale>
    </cfRule>
  </conditionalFormatting>
  <conditionalFormatting sqref="E9587">
    <cfRule type="colorScale" priority="7205">
      <colorScale>
        <cfvo type="min"/>
        <cfvo type="percentile" val="50"/>
        <cfvo type="max"/>
        <color rgb="FFF8696B"/>
        <color rgb="FFFFEB84"/>
        <color rgb="FF63BE7B"/>
      </colorScale>
    </cfRule>
  </conditionalFormatting>
  <conditionalFormatting sqref="E9591">
    <cfRule type="colorScale" priority="7210">
      <colorScale>
        <cfvo type="min"/>
        <cfvo type="percentile" val="50"/>
        <cfvo type="max"/>
        <color rgb="FFF8696B"/>
        <color rgb="FFFFEB84"/>
        <color rgb="FF63BE7B"/>
      </colorScale>
    </cfRule>
  </conditionalFormatting>
  <conditionalFormatting sqref="E9595">
    <cfRule type="colorScale" priority="7215">
      <colorScale>
        <cfvo type="min"/>
        <cfvo type="percentile" val="50"/>
        <cfvo type="max"/>
        <color rgb="FFF8696B"/>
        <color rgb="FFFFEB84"/>
        <color rgb="FF63BE7B"/>
      </colorScale>
    </cfRule>
  </conditionalFormatting>
  <conditionalFormatting sqref="E9599:E9600">
    <cfRule type="colorScale" priority="7220">
      <colorScale>
        <cfvo type="min"/>
        <cfvo type="percentile" val="50"/>
        <cfvo type="max"/>
        <color rgb="FFF8696B"/>
        <color rgb="FFFFEB84"/>
        <color rgb="FF63BE7B"/>
      </colorScale>
    </cfRule>
  </conditionalFormatting>
  <conditionalFormatting sqref="E9604">
    <cfRule type="colorScale" priority="7225">
      <colorScale>
        <cfvo type="min"/>
        <cfvo type="percentile" val="50"/>
        <cfvo type="max"/>
        <color rgb="FFF8696B"/>
        <color rgb="FFFFEB84"/>
        <color rgb="FF63BE7B"/>
      </colorScale>
    </cfRule>
  </conditionalFormatting>
  <conditionalFormatting sqref="E9608:E9609">
    <cfRule type="colorScale" priority="7230">
      <colorScale>
        <cfvo type="min"/>
        <cfvo type="percentile" val="50"/>
        <cfvo type="max"/>
        <color rgb="FFF8696B"/>
        <color rgb="FFFFEB84"/>
        <color rgb="FF63BE7B"/>
      </colorScale>
    </cfRule>
  </conditionalFormatting>
  <conditionalFormatting sqref="E9613:E9614">
    <cfRule type="colorScale" priority="7235">
      <colorScale>
        <cfvo type="min"/>
        <cfvo type="percentile" val="50"/>
        <cfvo type="max"/>
        <color rgb="FFF8696B"/>
        <color rgb="FFFFEB84"/>
        <color rgb="FF63BE7B"/>
      </colorScale>
    </cfRule>
  </conditionalFormatting>
  <conditionalFormatting sqref="E9618">
    <cfRule type="colorScale" priority="7240">
      <colorScale>
        <cfvo type="min"/>
        <cfvo type="percentile" val="50"/>
        <cfvo type="max"/>
        <color rgb="FFF8696B"/>
        <color rgb="FFFFEB84"/>
        <color rgb="FF63BE7B"/>
      </colorScale>
    </cfRule>
  </conditionalFormatting>
  <conditionalFormatting sqref="E9622">
    <cfRule type="colorScale" priority="7245">
      <colorScale>
        <cfvo type="min"/>
        <cfvo type="percentile" val="50"/>
        <cfvo type="max"/>
        <color rgb="FFF8696B"/>
        <color rgb="FFFFEB84"/>
        <color rgb="FF63BE7B"/>
      </colorScale>
    </cfRule>
  </conditionalFormatting>
  <conditionalFormatting sqref="E9626:E9627">
    <cfRule type="colorScale" priority="7250">
      <colorScale>
        <cfvo type="min"/>
        <cfvo type="percentile" val="50"/>
        <cfvo type="max"/>
        <color rgb="FFF8696B"/>
        <color rgb="FFFFEB84"/>
        <color rgb="FF63BE7B"/>
      </colorScale>
    </cfRule>
  </conditionalFormatting>
  <conditionalFormatting sqref="E9631">
    <cfRule type="colorScale" priority="7255">
      <colorScale>
        <cfvo type="min"/>
        <cfvo type="percentile" val="50"/>
        <cfvo type="max"/>
        <color rgb="FFF8696B"/>
        <color rgb="FFFFEB84"/>
        <color rgb="FF63BE7B"/>
      </colorScale>
    </cfRule>
  </conditionalFormatting>
  <conditionalFormatting sqref="E9635:E9636">
    <cfRule type="colorScale" priority="7260">
      <colorScale>
        <cfvo type="min"/>
        <cfvo type="percentile" val="50"/>
        <cfvo type="max"/>
        <color rgb="FFF8696B"/>
        <color rgb="FFFFEB84"/>
        <color rgb="FF63BE7B"/>
      </colorScale>
    </cfRule>
  </conditionalFormatting>
  <conditionalFormatting sqref="E9640">
    <cfRule type="colorScale" priority="7266">
      <colorScale>
        <cfvo type="min"/>
        <cfvo type="percentile" val="50"/>
        <cfvo type="max"/>
        <color rgb="FFF8696B"/>
        <color rgb="FFFFEB84"/>
        <color rgb="FF63BE7B"/>
      </colorScale>
    </cfRule>
  </conditionalFormatting>
  <conditionalFormatting sqref="E9644">
    <cfRule type="colorScale" priority="7270">
      <colorScale>
        <cfvo type="min"/>
        <cfvo type="percentile" val="50"/>
        <cfvo type="max"/>
        <color rgb="FFF8696B"/>
        <color rgb="FFFFEB84"/>
        <color rgb="FF63BE7B"/>
      </colorScale>
    </cfRule>
  </conditionalFormatting>
  <conditionalFormatting sqref="E9652">
    <cfRule type="colorScale" priority="7280">
      <colorScale>
        <cfvo type="min"/>
        <cfvo type="percentile" val="50"/>
        <cfvo type="max"/>
        <color rgb="FFF8696B"/>
        <color rgb="FFFFEB84"/>
        <color rgb="FF63BE7B"/>
      </colorScale>
    </cfRule>
  </conditionalFormatting>
  <conditionalFormatting sqref="E9656">
    <cfRule type="colorScale" priority="7285">
      <colorScale>
        <cfvo type="min"/>
        <cfvo type="percentile" val="50"/>
        <cfvo type="max"/>
        <color rgb="FFF8696B"/>
        <color rgb="FFFFEB84"/>
        <color rgb="FF63BE7B"/>
      </colorScale>
    </cfRule>
  </conditionalFormatting>
  <conditionalFormatting sqref="E9660">
    <cfRule type="colorScale" priority="7290">
      <colorScale>
        <cfvo type="min"/>
        <cfvo type="percentile" val="50"/>
        <cfvo type="max"/>
        <color rgb="FFF8696B"/>
        <color rgb="FFFFEB84"/>
        <color rgb="FF63BE7B"/>
      </colorScale>
    </cfRule>
  </conditionalFormatting>
  <conditionalFormatting sqref="E9664">
    <cfRule type="colorScale" priority="7295">
      <colorScale>
        <cfvo type="min"/>
        <cfvo type="percentile" val="50"/>
        <cfvo type="max"/>
        <color rgb="FFF8696B"/>
        <color rgb="FFFFEB84"/>
        <color rgb="FF63BE7B"/>
      </colorScale>
    </cfRule>
  </conditionalFormatting>
  <conditionalFormatting sqref="E9668">
    <cfRule type="colorScale" priority="7300">
      <colorScale>
        <cfvo type="min"/>
        <cfvo type="percentile" val="50"/>
        <cfvo type="max"/>
        <color rgb="FFF8696B"/>
        <color rgb="FFFFEB84"/>
        <color rgb="FF63BE7B"/>
      </colorScale>
    </cfRule>
  </conditionalFormatting>
  <conditionalFormatting sqref="E9672">
    <cfRule type="colorScale" priority="7305">
      <colorScale>
        <cfvo type="min"/>
        <cfvo type="percentile" val="50"/>
        <cfvo type="max"/>
        <color rgb="FFF8696B"/>
        <color rgb="FFFFEB84"/>
        <color rgb="FF63BE7B"/>
      </colorScale>
    </cfRule>
  </conditionalFormatting>
  <conditionalFormatting sqref="E9676:E9677">
    <cfRule type="colorScale" priority="7310">
      <colorScale>
        <cfvo type="min"/>
        <cfvo type="percentile" val="50"/>
        <cfvo type="max"/>
        <color rgb="FFF8696B"/>
        <color rgb="FFFFEB84"/>
        <color rgb="FF63BE7B"/>
      </colorScale>
    </cfRule>
  </conditionalFormatting>
  <conditionalFormatting sqref="E9681:E9682">
    <cfRule type="colorScale" priority="7315">
      <colorScale>
        <cfvo type="min"/>
        <cfvo type="percentile" val="50"/>
        <cfvo type="max"/>
        <color rgb="FFF8696B"/>
        <color rgb="FFFFEB84"/>
        <color rgb="FF63BE7B"/>
      </colorScale>
    </cfRule>
  </conditionalFormatting>
  <conditionalFormatting sqref="E9686">
    <cfRule type="colorScale" priority="7320">
      <colorScale>
        <cfvo type="min"/>
        <cfvo type="percentile" val="50"/>
        <cfvo type="max"/>
        <color rgb="FFF8696B"/>
        <color rgb="FFFFEB84"/>
        <color rgb="FF63BE7B"/>
      </colorScale>
    </cfRule>
  </conditionalFormatting>
  <conditionalFormatting sqref="E9690">
    <cfRule type="colorScale" priority="7325">
      <colorScale>
        <cfvo type="min"/>
        <cfvo type="percentile" val="50"/>
        <cfvo type="max"/>
        <color rgb="FFF8696B"/>
        <color rgb="FFFFEB84"/>
        <color rgb="FF63BE7B"/>
      </colorScale>
    </cfRule>
  </conditionalFormatting>
  <conditionalFormatting sqref="E9694">
    <cfRule type="colorScale" priority="7330">
      <colorScale>
        <cfvo type="min"/>
        <cfvo type="percentile" val="50"/>
        <cfvo type="max"/>
        <color rgb="FFF8696B"/>
        <color rgb="FFFFEB84"/>
        <color rgb="FF63BE7B"/>
      </colorScale>
    </cfRule>
  </conditionalFormatting>
  <conditionalFormatting sqref="E9698:E9699">
    <cfRule type="colorScale" priority="7335">
      <colorScale>
        <cfvo type="min"/>
        <cfvo type="percentile" val="50"/>
        <cfvo type="max"/>
        <color rgb="FFF8696B"/>
        <color rgb="FFFFEB84"/>
        <color rgb="FF63BE7B"/>
      </colorScale>
    </cfRule>
  </conditionalFormatting>
  <conditionalFormatting sqref="E9703">
    <cfRule type="colorScale" priority="7341">
      <colorScale>
        <cfvo type="min"/>
        <cfvo type="percentile" val="50"/>
        <cfvo type="max"/>
        <color rgb="FFF8696B"/>
        <color rgb="FFFFEB84"/>
        <color rgb="FF63BE7B"/>
      </colorScale>
    </cfRule>
  </conditionalFormatting>
  <conditionalFormatting sqref="E9707:E9708">
    <cfRule type="colorScale" priority="7345">
      <colorScale>
        <cfvo type="min"/>
        <cfvo type="percentile" val="50"/>
        <cfvo type="max"/>
        <color rgb="FFF8696B"/>
        <color rgb="FFFFEB84"/>
        <color rgb="FF63BE7B"/>
      </colorScale>
    </cfRule>
  </conditionalFormatting>
  <conditionalFormatting sqref="E9716:E9717">
    <cfRule type="colorScale" priority="7355">
      <colorScale>
        <cfvo type="min"/>
        <cfvo type="percentile" val="50"/>
        <cfvo type="max"/>
        <color rgb="FFF8696B"/>
        <color rgb="FFFFEB84"/>
        <color rgb="FF63BE7B"/>
      </colorScale>
    </cfRule>
  </conditionalFormatting>
  <conditionalFormatting sqref="E9721">
    <cfRule type="colorScale" priority="7360">
      <colorScale>
        <cfvo type="min"/>
        <cfvo type="percentile" val="50"/>
        <cfvo type="max"/>
        <color rgb="FFF8696B"/>
        <color rgb="FFFFEB84"/>
        <color rgb="FF63BE7B"/>
      </colorScale>
    </cfRule>
  </conditionalFormatting>
  <conditionalFormatting sqref="E9725:E9726">
    <cfRule type="colorScale" priority="7365">
      <colorScale>
        <cfvo type="min"/>
        <cfvo type="percentile" val="50"/>
        <cfvo type="max"/>
        <color rgb="FFF8696B"/>
        <color rgb="FFFFEB84"/>
        <color rgb="FF63BE7B"/>
      </colorScale>
    </cfRule>
  </conditionalFormatting>
  <conditionalFormatting sqref="E9730">
    <cfRule type="colorScale" priority="7370">
      <colorScale>
        <cfvo type="min"/>
        <cfvo type="percentile" val="50"/>
        <cfvo type="max"/>
        <color rgb="FFF8696B"/>
        <color rgb="FFFFEB84"/>
        <color rgb="FF63BE7B"/>
      </colorScale>
    </cfRule>
  </conditionalFormatting>
  <conditionalFormatting sqref="E9734:E9735">
    <cfRule type="colorScale" priority="7375">
      <colorScale>
        <cfvo type="min"/>
        <cfvo type="percentile" val="50"/>
        <cfvo type="max"/>
        <color rgb="FFF8696B"/>
        <color rgb="FFFFEB84"/>
        <color rgb="FF63BE7B"/>
      </colorScale>
    </cfRule>
  </conditionalFormatting>
  <conditionalFormatting sqref="E9739:E9740">
    <cfRule type="colorScale" priority="7380">
      <colorScale>
        <cfvo type="min"/>
        <cfvo type="percentile" val="50"/>
        <cfvo type="max"/>
        <color rgb="FFF8696B"/>
        <color rgb="FFFFEB84"/>
        <color rgb="FF63BE7B"/>
      </colorScale>
    </cfRule>
  </conditionalFormatting>
  <conditionalFormatting sqref="E9744:E9745">
    <cfRule type="colorScale" priority="7385">
      <colorScale>
        <cfvo type="min"/>
        <cfvo type="percentile" val="50"/>
        <cfvo type="max"/>
        <color rgb="FFF8696B"/>
        <color rgb="FFFFEB84"/>
        <color rgb="FF63BE7B"/>
      </colorScale>
    </cfRule>
  </conditionalFormatting>
  <conditionalFormatting sqref="E9749">
    <cfRule type="colorScale" priority="7390">
      <colorScale>
        <cfvo type="min"/>
        <cfvo type="percentile" val="50"/>
        <cfvo type="max"/>
        <color rgb="FFF8696B"/>
        <color rgb="FFFFEB84"/>
        <color rgb="FF63BE7B"/>
      </colorScale>
    </cfRule>
  </conditionalFormatting>
  <conditionalFormatting sqref="E9753">
    <cfRule type="colorScale" priority="7395">
      <colorScale>
        <cfvo type="min"/>
        <cfvo type="percentile" val="50"/>
        <cfvo type="max"/>
        <color rgb="FFF8696B"/>
        <color rgb="FFFFEB84"/>
        <color rgb="FF63BE7B"/>
      </colorScale>
    </cfRule>
  </conditionalFormatting>
  <conditionalFormatting sqref="E9757:E9758">
    <cfRule type="colorScale" priority="7400">
      <colorScale>
        <cfvo type="min"/>
        <cfvo type="percentile" val="50"/>
        <cfvo type="max"/>
        <color rgb="FFF8696B"/>
        <color rgb="FFFFEB84"/>
        <color rgb="FF63BE7B"/>
      </colorScale>
    </cfRule>
  </conditionalFormatting>
  <conditionalFormatting sqref="E9762">
    <cfRule type="colorScale" priority="7405">
      <colorScale>
        <cfvo type="min"/>
        <cfvo type="percentile" val="50"/>
        <cfvo type="max"/>
        <color rgb="FFF8696B"/>
        <color rgb="FFFFEB84"/>
        <color rgb="FF63BE7B"/>
      </colorScale>
    </cfRule>
  </conditionalFormatting>
  <conditionalFormatting sqref="E9766:E9769">
    <cfRule type="colorScale" priority="7410">
      <colorScale>
        <cfvo type="min"/>
        <cfvo type="percentile" val="50"/>
        <cfvo type="max"/>
        <color rgb="FFF8696B"/>
        <color rgb="FFFFEB84"/>
        <color rgb="FF63BE7B"/>
      </colorScale>
    </cfRule>
  </conditionalFormatting>
  <conditionalFormatting sqref="E9773">
    <cfRule type="colorScale" priority="7416">
      <colorScale>
        <cfvo type="min"/>
        <cfvo type="percentile" val="50"/>
        <cfvo type="max"/>
        <color rgb="FFF8696B"/>
        <color rgb="FFFFEB84"/>
        <color rgb="FF63BE7B"/>
      </colorScale>
    </cfRule>
  </conditionalFormatting>
  <conditionalFormatting sqref="E9777:E9778">
    <cfRule type="colorScale" priority="7420">
      <colorScale>
        <cfvo type="min"/>
        <cfvo type="percentile" val="50"/>
        <cfvo type="max"/>
        <color rgb="FFF8696B"/>
        <color rgb="FFFFEB84"/>
        <color rgb="FF63BE7B"/>
      </colorScale>
    </cfRule>
  </conditionalFormatting>
  <conditionalFormatting sqref="E9786:E9787">
    <cfRule type="colorScale" priority="7430">
      <colorScale>
        <cfvo type="min"/>
        <cfvo type="percentile" val="50"/>
        <cfvo type="max"/>
        <color rgb="FFF8696B"/>
        <color rgb="FFFFEB84"/>
        <color rgb="FF63BE7B"/>
      </colorScale>
    </cfRule>
  </conditionalFormatting>
  <conditionalFormatting sqref="E9791:E9792">
    <cfRule type="colorScale" priority="7435">
      <colorScale>
        <cfvo type="min"/>
        <cfvo type="percentile" val="50"/>
        <cfvo type="max"/>
        <color rgb="FFF8696B"/>
        <color rgb="FFFFEB84"/>
        <color rgb="FF63BE7B"/>
      </colorScale>
    </cfRule>
  </conditionalFormatting>
  <conditionalFormatting sqref="E9796:E9797">
    <cfRule type="colorScale" priority="7440">
      <colorScale>
        <cfvo type="min"/>
        <cfvo type="percentile" val="50"/>
        <cfvo type="max"/>
        <color rgb="FFF8696B"/>
        <color rgb="FFFFEB84"/>
        <color rgb="FF63BE7B"/>
      </colorScale>
    </cfRule>
  </conditionalFormatting>
  <conditionalFormatting sqref="E9801:E9802">
    <cfRule type="colorScale" priority="7445">
      <colorScale>
        <cfvo type="min"/>
        <cfvo type="percentile" val="50"/>
        <cfvo type="max"/>
        <color rgb="FFF8696B"/>
        <color rgb="FFFFEB84"/>
        <color rgb="FF63BE7B"/>
      </colorScale>
    </cfRule>
  </conditionalFormatting>
  <conditionalFormatting sqref="E9806:E9807">
    <cfRule type="colorScale" priority="7450">
      <colorScale>
        <cfvo type="min"/>
        <cfvo type="percentile" val="50"/>
        <cfvo type="max"/>
        <color rgb="FFF8696B"/>
        <color rgb="FFFFEB84"/>
        <color rgb="FF63BE7B"/>
      </colorScale>
    </cfRule>
  </conditionalFormatting>
  <conditionalFormatting sqref="E9811:E9812">
    <cfRule type="colorScale" priority="7455">
      <colorScale>
        <cfvo type="min"/>
        <cfvo type="percentile" val="50"/>
        <cfvo type="max"/>
        <color rgb="FFF8696B"/>
        <color rgb="FFFFEB84"/>
        <color rgb="FF63BE7B"/>
      </colorScale>
    </cfRule>
  </conditionalFormatting>
  <conditionalFormatting sqref="E9816:E9817">
    <cfRule type="colorScale" priority="7460">
      <colorScale>
        <cfvo type="min"/>
        <cfvo type="percentile" val="50"/>
        <cfvo type="max"/>
        <color rgb="FFF8696B"/>
        <color rgb="FFFFEB84"/>
        <color rgb="FF63BE7B"/>
      </colorScale>
    </cfRule>
  </conditionalFormatting>
  <conditionalFormatting sqref="E9821:E9822">
    <cfRule type="colorScale" priority="7465">
      <colorScale>
        <cfvo type="min"/>
        <cfvo type="percentile" val="50"/>
        <cfvo type="max"/>
        <color rgb="FFF8696B"/>
        <color rgb="FFFFEB84"/>
        <color rgb="FF63BE7B"/>
      </colorScale>
    </cfRule>
  </conditionalFormatting>
  <conditionalFormatting sqref="E9826">
    <cfRule type="colorScale" priority="7470">
      <colorScale>
        <cfvo type="min"/>
        <cfvo type="percentile" val="50"/>
        <cfvo type="max"/>
        <color rgb="FFF8696B"/>
        <color rgb="FFFFEB84"/>
        <color rgb="FF63BE7B"/>
      </colorScale>
    </cfRule>
  </conditionalFormatting>
  <conditionalFormatting sqref="E9830:E9831">
    <cfRule type="colorScale" priority="7475">
      <colorScale>
        <cfvo type="min"/>
        <cfvo type="percentile" val="50"/>
        <cfvo type="max"/>
        <color rgb="FFF8696B"/>
        <color rgb="FFFFEB84"/>
        <color rgb="FF63BE7B"/>
      </colorScale>
    </cfRule>
  </conditionalFormatting>
  <conditionalFormatting sqref="E9835:E9836">
    <cfRule type="colorScale" priority="7480">
      <colorScale>
        <cfvo type="min"/>
        <cfvo type="percentile" val="50"/>
        <cfvo type="max"/>
        <color rgb="FFF8696B"/>
        <color rgb="FFFFEB84"/>
        <color rgb="FF63BE7B"/>
      </colorScale>
    </cfRule>
  </conditionalFormatting>
  <conditionalFormatting sqref="E9840:E9843">
    <cfRule type="colorScale" priority="7485">
      <colorScale>
        <cfvo type="min"/>
        <cfvo type="percentile" val="50"/>
        <cfvo type="max"/>
        <color rgb="FFF8696B"/>
        <color rgb="FFFFEB84"/>
        <color rgb="FF63BE7B"/>
      </colorScale>
    </cfRule>
  </conditionalFormatting>
  <conditionalFormatting sqref="E9847">
    <cfRule type="colorScale" priority="7491">
      <colorScale>
        <cfvo type="min"/>
        <cfvo type="percentile" val="50"/>
        <cfvo type="max"/>
        <color rgb="FFF8696B"/>
        <color rgb="FFFFEB84"/>
        <color rgb="FF63BE7B"/>
      </colorScale>
    </cfRule>
  </conditionalFormatting>
  <conditionalFormatting sqref="E9851:E9852">
    <cfRule type="colorScale" priority="7495">
      <colorScale>
        <cfvo type="min"/>
        <cfvo type="percentile" val="50"/>
        <cfvo type="max"/>
        <color rgb="FFF8696B"/>
        <color rgb="FFFFEB84"/>
        <color rgb="FF63BE7B"/>
      </colorScale>
    </cfRule>
  </conditionalFormatting>
  <conditionalFormatting sqref="E9860:E9861">
    <cfRule type="colorScale" priority="7505">
      <colorScale>
        <cfvo type="min"/>
        <cfvo type="percentile" val="50"/>
        <cfvo type="max"/>
        <color rgb="FFF8696B"/>
        <color rgb="FFFFEB84"/>
        <color rgb="FF63BE7B"/>
      </colorScale>
    </cfRule>
  </conditionalFormatting>
  <conditionalFormatting sqref="E9865">
    <cfRule type="colorScale" priority="7510">
      <colorScale>
        <cfvo type="min"/>
        <cfvo type="percentile" val="50"/>
        <cfvo type="max"/>
        <color rgb="FFF8696B"/>
        <color rgb="FFFFEB84"/>
        <color rgb="FF63BE7B"/>
      </colorScale>
    </cfRule>
  </conditionalFormatting>
  <conditionalFormatting sqref="E9869:E9870">
    <cfRule type="colorScale" priority="7515">
      <colorScale>
        <cfvo type="min"/>
        <cfvo type="percentile" val="50"/>
        <cfvo type="max"/>
        <color rgb="FFF8696B"/>
        <color rgb="FFFFEB84"/>
        <color rgb="FF63BE7B"/>
      </colorScale>
    </cfRule>
  </conditionalFormatting>
  <conditionalFormatting sqref="E9874">
    <cfRule type="colorScale" priority="7520">
      <colorScale>
        <cfvo type="min"/>
        <cfvo type="percentile" val="50"/>
        <cfvo type="max"/>
        <color rgb="FFF8696B"/>
        <color rgb="FFFFEB84"/>
        <color rgb="FF63BE7B"/>
      </colorScale>
    </cfRule>
  </conditionalFormatting>
  <conditionalFormatting sqref="E9878">
    <cfRule type="colorScale" priority="7525">
      <colorScale>
        <cfvo type="min"/>
        <cfvo type="percentile" val="50"/>
        <cfvo type="max"/>
        <color rgb="FFF8696B"/>
        <color rgb="FFFFEB84"/>
        <color rgb="FF63BE7B"/>
      </colorScale>
    </cfRule>
  </conditionalFormatting>
  <conditionalFormatting sqref="E9882:E9883">
    <cfRule type="colorScale" priority="7530">
      <colorScale>
        <cfvo type="min"/>
        <cfvo type="percentile" val="50"/>
        <cfvo type="max"/>
        <color rgb="FFF8696B"/>
        <color rgb="FFFFEB84"/>
        <color rgb="FF63BE7B"/>
      </colorScale>
    </cfRule>
  </conditionalFormatting>
  <conditionalFormatting sqref="E9887:E9888">
    <cfRule type="colorScale" priority="7535">
      <colorScale>
        <cfvo type="min"/>
        <cfvo type="percentile" val="50"/>
        <cfvo type="max"/>
        <color rgb="FFF8696B"/>
        <color rgb="FFFFEB84"/>
        <color rgb="FF63BE7B"/>
      </colorScale>
    </cfRule>
  </conditionalFormatting>
  <conditionalFormatting sqref="E9892:E9893">
    <cfRule type="colorScale" priority="7540">
      <colorScale>
        <cfvo type="min"/>
        <cfvo type="percentile" val="50"/>
        <cfvo type="max"/>
        <color rgb="FFF8696B"/>
        <color rgb="FFFFEB84"/>
        <color rgb="FF63BE7B"/>
      </colorScale>
    </cfRule>
  </conditionalFormatting>
  <conditionalFormatting sqref="E9897">
    <cfRule type="colorScale" priority="7545">
      <colorScale>
        <cfvo type="min"/>
        <cfvo type="percentile" val="50"/>
        <cfvo type="max"/>
        <color rgb="FFF8696B"/>
        <color rgb="FFFFEB84"/>
        <color rgb="FF63BE7B"/>
      </colorScale>
    </cfRule>
  </conditionalFormatting>
  <conditionalFormatting sqref="E9901:E9902">
    <cfRule type="colorScale" priority="7550">
      <colorScale>
        <cfvo type="min"/>
        <cfvo type="percentile" val="50"/>
        <cfvo type="max"/>
        <color rgb="FFF8696B"/>
        <color rgb="FFFFEB84"/>
        <color rgb="FF63BE7B"/>
      </colorScale>
    </cfRule>
  </conditionalFormatting>
  <conditionalFormatting sqref="E9906:E9907">
    <cfRule type="colorScale" priority="7555">
      <colorScale>
        <cfvo type="min"/>
        <cfvo type="percentile" val="50"/>
        <cfvo type="max"/>
        <color rgb="FFF8696B"/>
        <color rgb="FFFFEB84"/>
        <color rgb="FF63BE7B"/>
      </colorScale>
    </cfRule>
  </conditionalFormatting>
  <conditionalFormatting sqref="E9911:E9914">
    <cfRule type="colorScale" priority="7560">
      <colorScale>
        <cfvo type="min"/>
        <cfvo type="percentile" val="50"/>
        <cfvo type="max"/>
        <color rgb="FFF8696B"/>
        <color rgb="FFFFEB84"/>
        <color rgb="FF63BE7B"/>
      </colorScale>
    </cfRule>
  </conditionalFormatting>
  <conditionalFormatting sqref="E2384:F2384">
    <cfRule type="colorScale" priority="1565">
      <colorScale>
        <cfvo type="min"/>
        <cfvo type="percentile" val="50"/>
        <cfvo type="max"/>
        <color rgb="FFF8696B"/>
        <color rgb="FFFFEB84"/>
        <color rgb="FF63BE7B"/>
      </colorScale>
    </cfRule>
    <cfRule type="notContainsBlanks" dxfId="792" priority="1566">
      <formula>LEN(TRIM(E2384))&gt;0</formula>
    </cfRule>
  </conditionalFormatting>
  <conditionalFormatting sqref="E2392:F2392">
    <cfRule type="colorScale" priority="1569">
      <colorScale>
        <cfvo type="min"/>
        <cfvo type="percentile" val="50"/>
        <cfvo type="max"/>
        <color rgb="FFF8696B"/>
        <color rgb="FFFFEB84"/>
        <color rgb="FF63BE7B"/>
      </colorScale>
    </cfRule>
    <cfRule type="notContainsBlanks" dxfId="791" priority="1570">
      <formula>LEN(TRIM(E2392))&gt;0</formula>
    </cfRule>
  </conditionalFormatting>
  <conditionalFormatting sqref="E2396:F2396">
    <cfRule type="notContainsBlanks" dxfId="790" priority="1572">
      <formula>LEN(TRIM(E2396))&gt;0</formula>
    </cfRule>
    <cfRule type="colorScale" priority="1571">
      <colorScale>
        <cfvo type="min"/>
        <cfvo type="percentile" val="50"/>
        <cfvo type="max"/>
        <color rgb="FFF8696B"/>
        <color rgb="FFFFEB84"/>
        <color rgb="FF63BE7B"/>
      </colorScale>
    </cfRule>
  </conditionalFormatting>
  <conditionalFormatting sqref="E2400:F2400">
    <cfRule type="notContainsBlanks" dxfId="789" priority="1574">
      <formula>LEN(TRIM(E2400))&gt;0</formula>
    </cfRule>
    <cfRule type="colorScale" priority="1573">
      <colorScale>
        <cfvo type="min"/>
        <cfvo type="percentile" val="50"/>
        <cfvo type="max"/>
        <color rgb="FFF8696B"/>
        <color rgb="FFFFEB84"/>
        <color rgb="FF63BE7B"/>
      </colorScale>
    </cfRule>
  </conditionalFormatting>
  <conditionalFormatting sqref="E2404:F2404">
    <cfRule type="colorScale" priority="1575">
      <colorScale>
        <cfvo type="min"/>
        <cfvo type="percentile" val="50"/>
        <cfvo type="max"/>
        <color rgb="FFF8696B"/>
        <color rgb="FFFFEB84"/>
        <color rgb="FF63BE7B"/>
      </colorScale>
    </cfRule>
    <cfRule type="notContainsBlanks" dxfId="788" priority="1576">
      <formula>LEN(TRIM(E2404))&gt;0</formula>
    </cfRule>
  </conditionalFormatting>
  <conditionalFormatting sqref="E2408:F2408">
    <cfRule type="colorScale" priority="1577">
      <colorScale>
        <cfvo type="min"/>
        <cfvo type="percentile" val="50"/>
        <cfvo type="max"/>
        <color rgb="FFF8696B"/>
        <color rgb="FFFFEB84"/>
        <color rgb="FF63BE7B"/>
      </colorScale>
    </cfRule>
    <cfRule type="notContainsBlanks" dxfId="787" priority="1578">
      <formula>LEN(TRIM(E2408))&gt;0</formula>
    </cfRule>
  </conditionalFormatting>
  <conditionalFormatting sqref="E2412:F2413">
    <cfRule type="notContainsBlanks" dxfId="786" priority="1580">
      <formula>LEN(TRIM(E2412))&gt;0</formula>
    </cfRule>
    <cfRule type="colorScale" priority="1579">
      <colorScale>
        <cfvo type="min"/>
        <cfvo type="percentile" val="50"/>
        <cfvo type="max"/>
        <color rgb="FFF8696B"/>
        <color rgb="FFFFEB84"/>
        <color rgb="FF63BE7B"/>
      </colorScale>
    </cfRule>
  </conditionalFormatting>
  <conditionalFormatting sqref="E2417:F2418">
    <cfRule type="notContainsBlanks" dxfId="785" priority="1582">
      <formula>LEN(TRIM(E2417))&gt;0</formula>
    </cfRule>
    <cfRule type="colorScale" priority="1581">
      <colorScale>
        <cfvo type="min"/>
        <cfvo type="percentile" val="50"/>
        <cfvo type="max"/>
        <color rgb="FFF8696B"/>
        <color rgb="FFFFEB84"/>
        <color rgb="FF63BE7B"/>
      </colorScale>
    </cfRule>
  </conditionalFormatting>
  <conditionalFormatting sqref="E2422:F2422">
    <cfRule type="notContainsBlanks" dxfId="784" priority="1584">
      <formula>LEN(TRIM(E2422))&gt;0</formula>
    </cfRule>
    <cfRule type="colorScale" priority="1583">
      <colorScale>
        <cfvo type="min"/>
        <cfvo type="percentile" val="50"/>
        <cfvo type="max"/>
        <color rgb="FFF8696B"/>
        <color rgb="FFFFEB84"/>
        <color rgb="FF63BE7B"/>
      </colorScale>
    </cfRule>
  </conditionalFormatting>
  <conditionalFormatting sqref="E2426:F2426">
    <cfRule type="colorScale" priority="1585">
      <colorScale>
        <cfvo type="min"/>
        <cfvo type="percentile" val="50"/>
        <cfvo type="max"/>
        <color rgb="FFF8696B"/>
        <color rgb="FFFFEB84"/>
        <color rgb="FF63BE7B"/>
      </colorScale>
    </cfRule>
    <cfRule type="notContainsBlanks" dxfId="783" priority="1586">
      <formula>LEN(TRIM(E2426))&gt;0</formula>
    </cfRule>
  </conditionalFormatting>
  <conditionalFormatting sqref="E2430:F2430">
    <cfRule type="colorScale" priority="1587">
      <colorScale>
        <cfvo type="min"/>
        <cfvo type="percentile" val="50"/>
        <cfvo type="max"/>
        <color rgb="FFF8696B"/>
        <color rgb="FFFFEB84"/>
        <color rgb="FF63BE7B"/>
      </colorScale>
    </cfRule>
    <cfRule type="notContainsBlanks" dxfId="782" priority="1588">
      <formula>LEN(TRIM(E2430))&gt;0</formula>
    </cfRule>
  </conditionalFormatting>
  <conditionalFormatting sqref="E2434:F2435">
    <cfRule type="notContainsBlanks" dxfId="781" priority="1590">
      <formula>LEN(TRIM(E2434))&gt;0</formula>
    </cfRule>
    <cfRule type="colorScale" priority="1589">
      <colorScale>
        <cfvo type="min"/>
        <cfvo type="percentile" val="50"/>
        <cfvo type="max"/>
        <color rgb="FFF8696B"/>
        <color rgb="FFFFEB84"/>
        <color rgb="FF63BE7B"/>
      </colorScale>
    </cfRule>
  </conditionalFormatting>
  <conditionalFormatting sqref="E2439:F2441">
    <cfRule type="colorScale" priority="1591">
      <colorScale>
        <cfvo type="min"/>
        <cfvo type="percentile" val="50"/>
        <cfvo type="max"/>
        <color rgb="FFF8696B"/>
        <color rgb="FFFFEB84"/>
        <color rgb="FF63BE7B"/>
      </colorScale>
    </cfRule>
    <cfRule type="notContainsBlanks" dxfId="780" priority="1592">
      <formula>LEN(TRIM(E2439))&gt;0</formula>
    </cfRule>
  </conditionalFormatting>
  <conditionalFormatting sqref="E2449:F2449">
    <cfRule type="colorScale" priority="1595">
      <colorScale>
        <cfvo type="min"/>
        <cfvo type="percentile" val="50"/>
        <cfvo type="max"/>
        <color rgb="FFF8696B"/>
        <color rgb="FFFFEB84"/>
        <color rgb="FF63BE7B"/>
      </colorScale>
    </cfRule>
    <cfRule type="notContainsBlanks" dxfId="779" priority="1596">
      <formula>LEN(TRIM(E2449))&gt;0</formula>
    </cfRule>
  </conditionalFormatting>
  <conditionalFormatting sqref="E2457:F2457">
    <cfRule type="notContainsBlanks" dxfId="778" priority="1600">
      <formula>LEN(TRIM(E2457))&gt;0</formula>
    </cfRule>
    <cfRule type="colorScale" priority="1599">
      <colorScale>
        <cfvo type="min"/>
        <cfvo type="percentile" val="50"/>
        <cfvo type="max"/>
        <color rgb="FFF8696B"/>
        <color rgb="FFFFEB84"/>
        <color rgb="FF63BE7B"/>
      </colorScale>
    </cfRule>
  </conditionalFormatting>
  <conditionalFormatting sqref="E2461:F2461">
    <cfRule type="colorScale" priority="1601">
      <colorScale>
        <cfvo type="min"/>
        <cfvo type="percentile" val="50"/>
        <cfvo type="max"/>
        <color rgb="FFF8696B"/>
        <color rgb="FFFFEB84"/>
        <color rgb="FF63BE7B"/>
      </colorScale>
    </cfRule>
    <cfRule type="notContainsBlanks" dxfId="777" priority="1602">
      <formula>LEN(TRIM(E2461))&gt;0</formula>
    </cfRule>
  </conditionalFormatting>
  <conditionalFormatting sqref="E2465:F2466">
    <cfRule type="colorScale" priority="1603">
      <colorScale>
        <cfvo type="min"/>
        <cfvo type="percentile" val="50"/>
        <cfvo type="max"/>
        <color rgb="FFF8696B"/>
        <color rgb="FFFFEB84"/>
        <color rgb="FF63BE7B"/>
      </colorScale>
    </cfRule>
    <cfRule type="notContainsBlanks" dxfId="776" priority="1604">
      <formula>LEN(TRIM(E2465))&gt;0</formula>
    </cfRule>
  </conditionalFormatting>
  <conditionalFormatting sqref="E2470:F2470">
    <cfRule type="colorScale" priority="1605">
      <colorScale>
        <cfvo type="min"/>
        <cfvo type="percentile" val="50"/>
        <cfvo type="max"/>
        <color rgb="FFF8696B"/>
        <color rgb="FFFFEB84"/>
        <color rgb="FF63BE7B"/>
      </colorScale>
    </cfRule>
    <cfRule type="notContainsBlanks" dxfId="775" priority="1606">
      <formula>LEN(TRIM(E2470))&gt;0</formula>
    </cfRule>
  </conditionalFormatting>
  <conditionalFormatting sqref="E2474:F2474">
    <cfRule type="colorScale" priority="1607">
      <colorScale>
        <cfvo type="min"/>
        <cfvo type="percentile" val="50"/>
        <cfvo type="max"/>
        <color rgb="FFF8696B"/>
        <color rgb="FFFFEB84"/>
        <color rgb="FF63BE7B"/>
      </colorScale>
    </cfRule>
    <cfRule type="notContainsBlanks" dxfId="774" priority="1608">
      <formula>LEN(TRIM(E2474))&gt;0</formula>
    </cfRule>
  </conditionalFormatting>
  <conditionalFormatting sqref="E2478:F2478">
    <cfRule type="colorScale" priority="1609">
      <colorScale>
        <cfvo type="min"/>
        <cfvo type="percentile" val="50"/>
        <cfvo type="max"/>
        <color rgb="FFF8696B"/>
        <color rgb="FFFFEB84"/>
        <color rgb="FF63BE7B"/>
      </colorScale>
    </cfRule>
    <cfRule type="notContainsBlanks" dxfId="773" priority="1610">
      <formula>LEN(TRIM(E2478))&gt;0</formula>
    </cfRule>
  </conditionalFormatting>
  <conditionalFormatting sqref="E2482:F2483">
    <cfRule type="notContainsBlanks" dxfId="772" priority="1612">
      <formula>LEN(TRIM(E2482))&gt;0</formula>
    </cfRule>
    <cfRule type="colorScale" priority="1611">
      <colorScale>
        <cfvo type="min"/>
        <cfvo type="percentile" val="50"/>
        <cfvo type="max"/>
        <color rgb="FFF8696B"/>
        <color rgb="FFFFEB84"/>
        <color rgb="FF63BE7B"/>
      </colorScale>
    </cfRule>
  </conditionalFormatting>
  <conditionalFormatting sqref="E2487:F2488">
    <cfRule type="colorScale" priority="1613">
      <colorScale>
        <cfvo type="min"/>
        <cfvo type="percentile" val="50"/>
        <cfvo type="max"/>
        <color rgb="FFF8696B"/>
        <color rgb="FFFFEB84"/>
        <color rgb="FF63BE7B"/>
      </colorScale>
    </cfRule>
    <cfRule type="notContainsBlanks" dxfId="771" priority="1614">
      <formula>LEN(TRIM(E2487))&gt;0</formula>
    </cfRule>
  </conditionalFormatting>
  <conditionalFormatting sqref="E2492:F2492">
    <cfRule type="colorScale" priority="1615">
      <colorScale>
        <cfvo type="min"/>
        <cfvo type="percentile" val="50"/>
        <cfvo type="max"/>
        <color rgb="FFF8696B"/>
        <color rgb="FFFFEB84"/>
        <color rgb="FF63BE7B"/>
      </colorScale>
    </cfRule>
    <cfRule type="notContainsBlanks" dxfId="770" priority="1616">
      <formula>LEN(TRIM(E2492))&gt;0</formula>
    </cfRule>
  </conditionalFormatting>
  <conditionalFormatting sqref="E2496:F2497">
    <cfRule type="notContainsBlanks" dxfId="769" priority="1618">
      <formula>LEN(TRIM(E2496))&gt;0</formula>
    </cfRule>
    <cfRule type="colorScale" priority="1617">
      <colorScale>
        <cfvo type="min"/>
        <cfvo type="percentile" val="50"/>
        <cfvo type="max"/>
        <color rgb="FFF8696B"/>
        <color rgb="FFFFEB84"/>
        <color rgb="FF63BE7B"/>
      </colorScale>
    </cfRule>
  </conditionalFormatting>
  <conditionalFormatting sqref="E2501:F2502">
    <cfRule type="notContainsBlanks" dxfId="768" priority="1620">
      <formula>LEN(TRIM(E2501))&gt;0</formula>
    </cfRule>
    <cfRule type="colorScale" priority="1619">
      <colorScale>
        <cfvo type="min"/>
        <cfvo type="percentile" val="50"/>
        <cfvo type="max"/>
        <color rgb="FFF8696B"/>
        <color rgb="FFFFEB84"/>
        <color rgb="FF63BE7B"/>
      </colorScale>
    </cfRule>
  </conditionalFormatting>
  <conditionalFormatting sqref="E2506:F2506">
    <cfRule type="notContainsBlanks" dxfId="767" priority="1622">
      <formula>LEN(TRIM(E2506))&gt;0</formula>
    </cfRule>
    <cfRule type="colorScale" priority="1621">
      <colorScale>
        <cfvo type="min"/>
        <cfvo type="percentile" val="50"/>
        <cfvo type="max"/>
        <color rgb="FFF8696B"/>
        <color rgb="FFFFEB84"/>
        <color rgb="FF63BE7B"/>
      </colorScale>
    </cfRule>
  </conditionalFormatting>
  <conditionalFormatting sqref="E3132:F3132">
    <cfRule type="colorScale" priority="1895">
      <colorScale>
        <cfvo type="min"/>
        <cfvo type="percentile" val="50"/>
        <cfvo type="max"/>
        <color rgb="FFF8696B"/>
        <color rgb="FFFFEB84"/>
        <color rgb="FF63BE7B"/>
      </colorScale>
    </cfRule>
    <cfRule type="notContainsBlanks" dxfId="766" priority="1896">
      <formula>LEN(TRIM(E3132))&gt;0</formula>
    </cfRule>
  </conditionalFormatting>
  <conditionalFormatting sqref="E3140:F3141">
    <cfRule type="colorScale" priority="1899">
      <colorScale>
        <cfvo type="min"/>
        <cfvo type="percentile" val="50"/>
        <cfvo type="max"/>
        <color rgb="FFF8696B"/>
        <color rgb="FFFFEB84"/>
        <color rgb="FF63BE7B"/>
      </colorScale>
    </cfRule>
    <cfRule type="notContainsBlanks" dxfId="765" priority="1900">
      <formula>LEN(TRIM(E3140))&gt;0</formula>
    </cfRule>
  </conditionalFormatting>
  <conditionalFormatting sqref="E3145:F3145">
    <cfRule type="colorScale" priority="1901">
      <colorScale>
        <cfvo type="min"/>
        <cfvo type="percentile" val="50"/>
        <cfvo type="max"/>
        <color rgb="FFF8696B"/>
        <color rgb="FFFFEB84"/>
        <color rgb="FF63BE7B"/>
      </colorScale>
    </cfRule>
    <cfRule type="notContainsBlanks" dxfId="764" priority="1902">
      <formula>LEN(TRIM(E3145))&gt;0</formula>
    </cfRule>
  </conditionalFormatting>
  <conditionalFormatting sqref="E3149:F3149">
    <cfRule type="colorScale" priority="1903">
      <colorScale>
        <cfvo type="min"/>
        <cfvo type="percentile" val="50"/>
        <cfvo type="max"/>
        <color rgb="FFF8696B"/>
        <color rgb="FFFFEB84"/>
        <color rgb="FF63BE7B"/>
      </colorScale>
    </cfRule>
    <cfRule type="notContainsBlanks" dxfId="763" priority="1904">
      <formula>LEN(TRIM(E3149))&gt;0</formula>
    </cfRule>
  </conditionalFormatting>
  <conditionalFormatting sqref="E3153:F3153">
    <cfRule type="colorScale" priority="1905">
      <colorScale>
        <cfvo type="min"/>
        <cfvo type="percentile" val="50"/>
        <cfvo type="max"/>
        <color rgb="FFF8696B"/>
        <color rgb="FFFFEB84"/>
        <color rgb="FF63BE7B"/>
      </colorScale>
    </cfRule>
    <cfRule type="notContainsBlanks" dxfId="762" priority="1906">
      <formula>LEN(TRIM(E3153))&gt;0</formula>
    </cfRule>
  </conditionalFormatting>
  <conditionalFormatting sqref="E3157:F3157">
    <cfRule type="colorScale" priority="1907">
      <colorScale>
        <cfvo type="min"/>
        <cfvo type="percentile" val="50"/>
        <cfvo type="max"/>
        <color rgb="FFF8696B"/>
        <color rgb="FFFFEB84"/>
        <color rgb="FF63BE7B"/>
      </colorScale>
    </cfRule>
    <cfRule type="notContainsBlanks" dxfId="761" priority="1908">
      <formula>LEN(TRIM(E3157))&gt;0</formula>
    </cfRule>
  </conditionalFormatting>
  <conditionalFormatting sqref="E3161:F3161">
    <cfRule type="colorScale" priority="1909">
      <colorScale>
        <cfvo type="min"/>
        <cfvo type="percentile" val="50"/>
        <cfvo type="max"/>
        <color rgb="FFF8696B"/>
        <color rgb="FFFFEB84"/>
        <color rgb="FF63BE7B"/>
      </colorScale>
    </cfRule>
    <cfRule type="notContainsBlanks" dxfId="760" priority="1910">
      <formula>LEN(TRIM(E3161))&gt;0</formula>
    </cfRule>
  </conditionalFormatting>
  <conditionalFormatting sqref="E3165:F3166">
    <cfRule type="colorScale" priority="1911">
      <colorScale>
        <cfvo type="min"/>
        <cfvo type="percentile" val="50"/>
        <cfvo type="max"/>
        <color rgb="FFF8696B"/>
        <color rgb="FFFFEB84"/>
        <color rgb="FF63BE7B"/>
      </colorScale>
    </cfRule>
    <cfRule type="notContainsBlanks" dxfId="759" priority="1912">
      <formula>LEN(TRIM(E3165))&gt;0</formula>
    </cfRule>
  </conditionalFormatting>
  <conditionalFormatting sqref="E3170:F3170">
    <cfRule type="colorScale" priority="1913">
      <colorScale>
        <cfvo type="min"/>
        <cfvo type="percentile" val="50"/>
        <cfvo type="max"/>
        <color rgb="FFF8696B"/>
        <color rgb="FFFFEB84"/>
        <color rgb="FF63BE7B"/>
      </colorScale>
    </cfRule>
    <cfRule type="notContainsBlanks" dxfId="758" priority="1914">
      <formula>LEN(TRIM(E3170))&gt;0</formula>
    </cfRule>
  </conditionalFormatting>
  <conditionalFormatting sqref="E3174:F3174">
    <cfRule type="colorScale" priority="1915">
      <colorScale>
        <cfvo type="min"/>
        <cfvo type="percentile" val="50"/>
        <cfvo type="max"/>
        <color rgb="FFF8696B"/>
        <color rgb="FFFFEB84"/>
        <color rgb="FF63BE7B"/>
      </colorScale>
    </cfRule>
    <cfRule type="notContainsBlanks" dxfId="757" priority="1916">
      <formula>LEN(TRIM(E3174))&gt;0</formula>
    </cfRule>
  </conditionalFormatting>
  <conditionalFormatting sqref="E3178:F3179">
    <cfRule type="colorScale" priority="1917">
      <colorScale>
        <cfvo type="min"/>
        <cfvo type="percentile" val="50"/>
        <cfvo type="max"/>
        <color rgb="FFF8696B"/>
        <color rgb="FFFFEB84"/>
        <color rgb="FF63BE7B"/>
      </colorScale>
    </cfRule>
    <cfRule type="notContainsBlanks" dxfId="756" priority="1918">
      <formula>LEN(TRIM(E3178))&gt;0</formula>
    </cfRule>
  </conditionalFormatting>
  <conditionalFormatting sqref="E3183:F3183">
    <cfRule type="colorScale" priority="1919">
      <colorScale>
        <cfvo type="min"/>
        <cfvo type="percentile" val="50"/>
        <cfvo type="max"/>
        <color rgb="FFF8696B"/>
        <color rgb="FFFFEB84"/>
        <color rgb="FF63BE7B"/>
      </colorScale>
    </cfRule>
    <cfRule type="notContainsBlanks" dxfId="755" priority="1920">
      <formula>LEN(TRIM(E3183))&gt;0</formula>
    </cfRule>
  </conditionalFormatting>
  <conditionalFormatting sqref="E3187:F3188">
    <cfRule type="notContainsBlanks" dxfId="754" priority="1922">
      <formula>LEN(TRIM(E3187))&gt;0</formula>
    </cfRule>
    <cfRule type="colorScale" priority="1921">
      <colorScale>
        <cfvo type="min"/>
        <cfvo type="percentile" val="50"/>
        <cfvo type="max"/>
        <color rgb="FFF8696B"/>
        <color rgb="FFFFEB84"/>
        <color rgb="FF63BE7B"/>
      </colorScale>
    </cfRule>
  </conditionalFormatting>
  <conditionalFormatting sqref="E3196:F3196">
    <cfRule type="notContainsBlanks" dxfId="753" priority="1926">
      <formula>LEN(TRIM(E3196))&gt;0</formula>
    </cfRule>
    <cfRule type="colorScale" priority="1925">
      <colorScale>
        <cfvo type="min"/>
        <cfvo type="percentile" val="50"/>
        <cfvo type="max"/>
        <color rgb="FFF8696B"/>
        <color rgb="FFFFEB84"/>
        <color rgb="FF63BE7B"/>
      </colorScale>
    </cfRule>
  </conditionalFormatting>
  <conditionalFormatting sqref="E3204:F3204">
    <cfRule type="colorScale" priority="1929">
      <colorScale>
        <cfvo type="min"/>
        <cfvo type="percentile" val="50"/>
        <cfvo type="max"/>
        <color rgb="FFF8696B"/>
        <color rgb="FFFFEB84"/>
        <color rgb="FF63BE7B"/>
      </colorScale>
    </cfRule>
    <cfRule type="notContainsBlanks" dxfId="752" priority="1930">
      <formula>LEN(TRIM(E3204))&gt;0</formula>
    </cfRule>
  </conditionalFormatting>
  <conditionalFormatting sqref="E3208:F3208">
    <cfRule type="colorScale" priority="1931">
      <colorScale>
        <cfvo type="min"/>
        <cfvo type="percentile" val="50"/>
        <cfvo type="max"/>
        <color rgb="FFF8696B"/>
        <color rgb="FFFFEB84"/>
        <color rgb="FF63BE7B"/>
      </colorScale>
    </cfRule>
    <cfRule type="notContainsBlanks" dxfId="751" priority="1932">
      <formula>LEN(TRIM(E3208))&gt;0</formula>
    </cfRule>
  </conditionalFormatting>
  <conditionalFormatting sqref="E3212:F3212">
    <cfRule type="notContainsBlanks" dxfId="750" priority="1934">
      <formula>LEN(TRIM(E3212))&gt;0</formula>
    </cfRule>
    <cfRule type="colorScale" priority="1933">
      <colorScale>
        <cfvo type="min"/>
        <cfvo type="percentile" val="50"/>
        <cfvo type="max"/>
        <color rgb="FFF8696B"/>
        <color rgb="FFFFEB84"/>
        <color rgb="FF63BE7B"/>
      </colorScale>
    </cfRule>
  </conditionalFormatting>
  <conditionalFormatting sqref="E3216:F3216">
    <cfRule type="colorScale" priority="1935">
      <colorScale>
        <cfvo type="min"/>
        <cfvo type="percentile" val="50"/>
        <cfvo type="max"/>
        <color rgb="FFF8696B"/>
        <color rgb="FFFFEB84"/>
        <color rgb="FF63BE7B"/>
      </colorScale>
    </cfRule>
    <cfRule type="notContainsBlanks" dxfId="749" priority="1936">
      <formula>LEN(TRIM(E3216))&gt;0</formula>
    </cfRule>
  </conditionalFormatting>
  <conditionalFormatting sqref="E3220:F3220">
    <cfRule type="notContainsBlanks" dxfId="748" priority="1938">
      <formula>LEN(TRIM(E3220))&gt;0</formula>
    </cfRule>
    <cfRule type="colorScale" priority="1937">
      <colorScale>
        <cfvo type="min"/>
        <cfvo type="percentile" val="50"/>
        <cfvo type="max"/>
        <color rgb="FFF8696B"/>
        <color rgb="FFFFEB84"/>
        <color rgb="FF63BE7B"/>
      </colorScale>
    </cfRule>
  </conditionalFormatting>
  <conditionalFormatting sqref="E3224:F3224">
    <cfRule type="notContainsBlanks" dxfId="747" priority="1940">
      <formula>LEN(TRIM(E3224))&gt;0</formula>
    </cfRule>
    <cfRule type="colorScale" priority="1939">
      <colorScale>
        <cfvo type="min"/>
        <cfvo type="percentile" val="50"/>
        <cfvo type="max"/>
        <color rgb="FFF8696B"/>
        <color rgb="FFFFEB84"/>
        <color rgb="FF63BE7B"/>
      </colorScale>
    </cfRule>
  </conditionalFormatting>
  <conditionalFormatting sqref="E3228:F3228">
    <cfRule type="notContainsBlanks" dxfId="746" priority="1942">
      <formula>LEN(TRIM(E3228))&gt;0</formula>
    </cfRule>
    <cfRule type="colorScale" priority="1941">
      <colorScale>
        <cfvo type="min"/>
        <cfvo type="percentile" val="50"/>
        <cfvo type="max"/>
        <color rgb="FFF8696B"/>
        <color rgb="FFFFEB84"/>
        <color rgb="FF63BE7B"/>
      </colorScale>
    </cfRule>
  </conditionalFormatting>
  <conditionalFormatting sqref="E3232:F3232">
    <cfRule type="colorScale" priority="1943">
      <colorScale>
        <cfvo type="min"/>
        <cfvo type="percentile" val="50"/>
        <cfvo type="max"/>
        <color rgb="FFF8696B"/>
        <color rgb="FFFFEB84"/>
        <color rgb="FF63BE7B"/>
      </colorScale>
    </cfRule>
    <cfRule type="notContainsBlanks" dxfId="745" priority="1944">
      <formula>LEN(TRIM(E3232))&gt;0</formula>
    </cfRule>
  </conditionalFormatting>
  <conditionalFormatting sqref="E3236:F3236">
    <cfRule type="notContainsBlanks" dxfId="744" priority="1946">
      <formula>LEN(TRIM(E3236))&gt;0</formula>
    </cfRule>
    <cfRule type="colorScale" priority="1945">
      <colorScale>
        <cfvo type="min"/>
        <cfvo type="percentile" val="50"/>
        <cfvo type="max"/>
        <color rgb="FFF8696B"/>
        <color rgb="FFFFEB84"/>
        <color rgb="FF63BE7B"/>
      </colorScale>
    </cfRule>
  </conditionalFormatting>
  <conditionalFormatting sqref="E3240:F3240">
    <cfRule type="notContainsBlanks" dxfId="743" priority="1948">
      <formula>LEN(TRIM(E3240))&gt;0</formula>
    </cfRule>
    <cfRule type="colorScale" priority="1947">
      <colorScale>
        <cfvo type="min"/>
        <cfvo type="percentile" val="50"/>
        <cfvo type="max"/>
        <color rgb="FFF8696B"/>
        <color rgb="FFFFEB84"/>
        <color rgb="FF63BE7B"/>
      </colorScale>
    </cfRule>
  </conditionalFormatting>
  <conditionalFormatting sqref="E3244:F3244">
    <cfRule type="notContainsBlanks" dxfId="742" priority="1950">
      <formula>LEN(TRIM(E3244))&gt;0</formula>
    </cfRule>
    <cfRule type="colorScale" priority="1949">
      <colorScale>
        <cfvo type="min"/>
        <cfvo type="percentile" val="50"/>
        <cfvo type="max"/>
        <color rgb="FFF8696B"/>
        <color rgb="FFFFEB84"/>
        <color rgb="FF63BE7B"/>
      </colorScale>
    </cfRule>
  </conditionalFormatting>
  <conditionalFormatting sqref="E3248:F3249">
    <cfRule type="colorScale" priority="1951">
      <colorScale>
        <cfvo type="min"/>
        <cfvo type="percentile" val="50"/>
        <cfvo type="max"/>
        <color rgb="FFF8696B"/>
        <color rgb="FFFFEB84"/>
        <color rgb="FF63BE7B"/>
      </colorScale>
    </cfRule>
    <cfRule type="notContainsBlanks" dxfId="741" priority="1952">
      <formula>LEN(TRIM(E3248))&gt;0</formula>
    </cfRule>
  </conditionalFormatting>
  <conditionalFormatting sqref="E3904:F3904">
    <cfRule type="colorScale" priority="2225">
      <colorScale>
        <cfvo type="min"/>
        <cfvo type="percentile" val="50"/>
        <cfvo type="max"/>
        <color rgb="FFF8696B"/>
        <color rgb="FFFFEB84"/>
        <color rgb="FF63BE7B"/>
      </colorScale>
    </cfRule>
    <cfRule type="notContainsBlanks" dxfId="740" priority="2226">
      <formula>LEN(TRIM(E3904))&gt;0</formula>
    </cfRule>
  </conditionalFormatting>
  <conditionalFormatting sqref="E3912:F3912">
    <cfRule type="notContainsBlanks" dxfId="739" priority="2230">
      <formula>LEN(TRIM(E3912))&gt;0</formula>
    </cfRule>
    <cfRule type="colorScale" priority="2229">
      <colorScale>
        <cfvo type="min"/>
        <cfvo type="percentile" val="50"/>
        <cfvo type="max"/>
        <color rgb="FFF8696B"/>
        <color rgb="FFFFEB84"/>
        <color rgb="FF63BE7B"/>
      </colorScale>
    </cfRule>
  </conditionalFormatting>
  <conditionalFormatting sqref="E3916:F3916">
    <cfRule type="colorScale" priority="2231">
      <colorScale>
        <cfvo type="min"/>
        <cfvo type="percentile" val="50"/>
        <cfvo type="max"/>
        <color rgb="FFF8696B"/>
        <color rgb="FFFFEB84"/>
        <color rgb="FF63BE7B"/>
      </colorScale>
    </cfRule>
    <cfRule type="notContainsBlanks" dxfId="738" priority="2232">
      <formula>LEN(TRIM(E3916))&gt;0</formula>
    </cfRule>
  </conditionalFormatting>
  <conditionalFormatting sqref="E3920:F3920">
    <cfRule type="colorScale" priority="2233">
      <colorScale>
        <cfvo type="min"/>
        <cfvo type="percentile" val="50"/>
        <cfvo type="max"/>
        <color rgb="FFF8696B"/>
        <color rgb="FFFFEB84"/>
        <color rgb="FF63BE7B"/>
      </colorScale>
    </cfRule>
    <cfRule type="notContainsBlanks" dxfId="737" priority="2234">
      <formula>LEN(TRIM(E3920))&gt;0</formula>
    </cfRule>
  </conditionalFormatting>
  <conditionalFormatting sqref="E3924:F3924">
    <cfRule type="colorScale" priority="2235">
      <colorScale>
        <cfvo type="min"/>
        <cfvo type="percentile" val="50"/>
        <cfvo type="max"/>
        <color rgb="FFF8696B"/>
        <color rgb="FFFFEB84"/>
        <color rgb="FF63BE7B"/>
      </colorScale>
    </cfRule>
    <cfRule type="notContainsBlanks" dxfId="736" priority="2236">
      <formula>LEN(TRIM(E3924))&gt;0</formula>
    </cfRule>
  </conditionalFormatting>
  <conditionalFormatting sqref="E3928:F3928">
    <cfRule type="colorScale" priority="2237">
      <colorScale>
        <cfvo type="min"/>
        <cfvo type="percentile" val="50"/>
        <cfvo type="max"/>
        <color rgb="FFF8696B"/>
        <color rgb="FFFFEB84"/>
        <color rgb="FF63BE7B"/>
      </colorScale>
    </cfRule>
    <cfRule type="notContainsBlanks" dxfId="735" priority="2238">
      <formula>LEN(TRIM(E3928))&gt;0</formula>
    </cfRule>
  </conditionalFormatting>
  <conditionalFormatting sqref="E3932:F3933">
    <cfRule type="notContainsBlanks" dxfId="734" priority="2240">
      <formula>LEN(TRIM(E3932))&gt;0</formula>
    </cfRule>
    <cfRule type="colorScale" priority="2239">
      <colorScale>
        <cfvo type="min"/>
        <cfvo type="percentile" val="50"/>
        <cfvo type="max"/>
        <color rgb="FFF8696B"/>
        <color rgb="FFFFEB84"/>
        <color rgb="FF63BE7B"/>
      </colorScale>
    </cfRule>
  </conditionalFormatting>
  <conditionalFormatting sqref="E3937:F3937">
    <cfRule type="notContainsBlanks" dxfId="733" priority="2242">
      <formula>LEN(TRIM(E3937))&gt;0</formula>
    </cfRule>
    <cfRule type="colorScale" priority="2241">
      <colorScale>
        <cfvo type="min"/>
        <cfvo type="percentile" val="50"/>
        <cfvo type="max"/>
        <color rgb="FFF8696B"/>
        <color rgb="FFFFEB84"/>
        <color rgb="FF63BE7B"/>
      </colorScale>
    </cfRule>
  </conditionalFormatting>
  <conditionalFormatting sqref="E3941:F3941">
    <cfRule type="notContainsBlanks" dxfId="732" priority="2244">
      <formula>LEN(TRIM(E3941))&gt;0</formula>
    </cfRule>
    <cfRule type="colorScale" priority="2243">
      <colorScale>
        <cfvo type="min"/>
        <cfvo type="percentile" val="50"/>
        <cfvo type="max"/>
        <color rgb="FFF8696B"/>
        <color rgb="FFFFEB84"/>
        <color rgb="FF63BE7B"/>
      </colorScale>
    </cfRule>
  </conditionalFormatting>
  <conditionalFormatting sqref="E3945:F3945">
    <cfRule type="notContainsBlanks" dxfId="731" priority="2246">
      <formula>LEN(TRIM(E3945))&gt;0</formula>
    </cfRule>
    <cfRule type="colorScale" priority="2245">
      <colorScale>
        <cfvo type="min"/>
        <cfvo type="percentile" val="50"/>
        <cfvo type="max"/>
        <color rgb="FFF8696B"/>
        <color rgb="FFFFEB84"/>
        <color rgb="FF63BE7B"/>
      </colorScale>
    </cfRule>
  </conditionalFormatting>
  <conditionalFormatting sqref="E3949:F3950">
    <cfRule type="notContainsBlanks" dxfId="730" priority="2248">
      <formula>LEN(TRIM(E3949))&gt;0</formula>
    </cfRule>
    <cfRule type="colorScale" priority="2247">
      <colorScale>
        <cfvo type="min"/>
        <cfvo type="percentile" val="50"/>
        <cfvo type="max"/>
        <color rgb="FFF8696B"/>
        <color rgb="FFFFEB84"/>
        <color rgb="FF63BE7B"/>
      </colorScale>
    </cfRule>
  </conditionalFormatting>
  <conditionalFormatting sqref="E3954:F3954">
    <cfRule type="colorScale" priority="2249">
      <colorScale>
        <cfvo type="min"/>
        <cfvo type="percentile" val="50"/>
        <cfvo type="max"/>
        <color rgb="FFF8696B"/>
        <color rgb="FFFFEB84"/>
        <color rgb="FF63BE7B"/>
      </colorScale>
    </cfRule>
    <cfRule type="notContainsBlanks" dxfId="729" priority="2250">
      <formula>LEN(TRIM(E3954))&gt;0</formula>
    </cfRule>
  </conditionalFormatting>
  <conditionalFormatting sqref="E3958:F3959">
    <cfRule type="colorScale" priority="2251">
      <colorScale>
        <cfvo type="min"/>
        <cfvo type="percentile" val="50"/>
        <cfvo type="max"/>
        <color rgb="FFF8696B"/>
        <color rgb="FFFFEB84"/>
        <color rgb="FF63BE7B"/>
      </colorScale>
    </cfRule>
    <cfRule type="notContainsBlanks" dxfId="728" priority="2252">
      <formula>LEN(TRIM(E3958))&gt;0</formula>
    </cfRule>
  </conditionalFormatting>
  <conditionalFormatting sqref="E7018:F7019">
    <cfRule type="notContainsBlanks" dxfId="727" priority="4536">
      <formula>LEN(TRIM(E7018))&gt;0</formula>
    </cfRule>
    <cfRule type="colorScale" priority="4535">
      <colorScale>
        <cfvo type="min"/>
        <cfvo type="percentile" val="50"/>
        <cfvo type="max"/>
        <color rgb="FFF8696B"/>
        <color rgb="FFFFEB84"/>
        <color rgb="FF63BE7B"/>
      </colorScale>
    </cfRule>
  </conditionalFormatting>
  <conditionalFormatting sqref="E7027:F7028">
    <cfRule type="colorScale" priority="4539">
      <colorScale>
        <cfvo type="min"/>
        <cfvo type="percentile" val="50"/>
        <cfvo type="max"/>
        <color rgb="FFF8696B"/>
        <color rgb="FFFFEB84"/>
        <color rgb="FF63BE7B"/>
      </colorScale>
    </cfRule>
    <cfRule type="notContainsBlanks" dxfId="726" priority="4540">
      <formula>LEN(TRIM(E7027))&gt;0</formula>
    </cfRule>
  </conditionalFormatting>
  <conditionalFormatting sqref="E7032:F7033">
    <cfRule type="colorScale" priority="4541">
      <colorScale>
        <cfvo type="min"/>
        <cfvo type="percentile" val="50"/>
        <cfvo type="max"/>
        <color rgb="FFF8696B"/>
        <color rgb="FFFFEB84"/>
        <color rgb="FF63BE7B"/>
      </colorScale>
    </cfRule>
    <cfRule type="notContainsBlanks" dxfId="725" priority="4542">
      <formula>LEN(TRIM(E7032))&gt;0</formula>
    </cfRule>
  </conditionalFormatting>
  <conditionalFormatting sqref="E7037:F7038">
    <cfRule type="colorScale" priority="4543">
      <colorScale>
        <cfvo type="min"/>
        <cfvo type="percentile" val="50"/>
        <cfvo type="max"/>
        <color rgb="FFF8696B"/>
        <color rgb="FFFFEB84"/>
        <color rgb="FF63BE7B"/>
      </colorScale>
    </cfRule>
    <cfRule type="notContainsBlanks" dxfId="724" priority="4544">
      <formula>LEN(TRIM(E7037))&gt;0</formula>
    </cfRule>
  </conditionalFormatting>
  <conditionalFormatting sqref="E7042:F7043">
    <cfRule type="colorScale" priority="4545">
      <colorScale>
        <cfvo type="min"/>
        <cfvo type="percentile" val="50"/>
        <cfvo type="max"/>
        <color rgb="FFF8696B"/>
        <color rgb="FFFFEB84"/>
        <color rgb="FF63BE7B"/>
      </colorScale>
    </cfRule>
    <cfRule type="notContainsBlanks" dxfId="723" priority="4546">
      <formula>LEN(TRIM(E7042))&gt;0</formula>
    </cfRule>
  </conditionalFormatting>
  <conditionalFormatting sqref="E7047:F7048">
    <cfRule type="notContainsBlanks" dxfId="722" priority="4548">
      <formula>LEN(TRIM(E7047))&gt;0</formula>
    </cfRule>
    <cfRule type="colorScale" priority="4547">
      <colorScale>
        <cfvo type="min"/>
        <cfvo type="percentile" val="50"/>
        <cfvo type="max"/>
        <color rgb="FFF8696B"/>
        <color rgb="FFFFEB84"/>
        <color rgb="FF63BE7B"/>
      </colorScale>
    </cfRule>
  </conditionalFormatting>
  <conditionalFormatting sqref="E7052:F7053">
    <cfRule type="notContainsBlanks" dxfId="721" priority="4550">
      <formula>LEN(TRIM(E7052))&gt;0</formula>
    </cfRule>
    <cfRule type="colorScale" priority="4549">
      <colorScale>
        <cfvo type="min"/>
        <cfvo type="percentile" val="50"/>
        <cfvo type="max"/>
        <color rgb="FFF8696B"/>
        <color rgb="FFFFEB84"/>
        <color rgb="FF63BE7B"/>
      </colorScale>
    </cfRule>
  </conditionalFormatting>
  <conditionalFormatting sqref="E7057:F7058">
    <cfRule type="notContainsBlanks" dxfId="720" priority="4552">
      <formula>LEN(TRIM(E7057))&gt;0</formula>
    </cfRule>
    <cfRule type="colorScale" priority="4551">
      <colorScale>
        <cfvo type="min"/>
        <cfvo type="percentile" val="50"/>
        <cfvo type="max"/>
        <color rgb="FFF8696B"/>
        <color rgb="FFFFEB84"/>
        <color rgb="FF63BE7B"/>
      </colorScale>
    </cfRule>
  </conditionalFormatting>
  <conditionalFormatting sqref="E7062:F7063">
    <cfRule type="notContainsBlanks" dxfId="719" priority="4554">
      <formula>LEN(TRIM(E7062))&gt;0</formula>
    </cfRule>
    <cfRule type="colorScale" priority="4553">
      <colorScale>
        <cfvo type="min"/>
        <cfvo type="percentile" val="50"/>
        <cfvo type="max"/>
        <color rgb="FFF8696B"/>
        <color rgb="FFFFEB84"/>
        <color rgb="FF63BE7B"/>
      </colorScale>
    </cfRule>
  </conditionalFormatting>
  <conditionalFormatting sqref="E7067:F7067">
    <cfRule type="notContainsBlanks" dxfId="718" priority="4556">
      <formula>LEN(TRIM(E7067))&gt;0</formula>
    </cfRule>
    <cfRule type="colorScale" priority="4555">
      <colorScale>
        <cfvo type="min"/>
        <cfvo type="percentile" val="50"/>
        <cfvo type="max"/>
        <color rgb="FFF8696B"/>
        <color rgb="FFFFEB84"/>
        <color rgb="FF63BE7B"/>
      </colorScale>
    </cfRule>
  </conditionalFormatting>
  <conditionalFormatting sqref="E7071:F7072">
    <cfRule type="colorScale" priority="4557">
      <colorScale>
        <cfvo type="min"/>
        <cfvo type="percentile" val="50"/>
        <cfvo type="max"/>
        <color rgb="FFF8696B"/>
        <color rgb="FFFFEB84"/>
        <color rgb="FF63BE7B"/>
      </colorScale>
    </cfRule>
    <cfRule type="notContainsBlanks" dxfId="717" priority="4558">
      <formula>LEN(TRIM(E7071))&gt;0</formula>
    </cfRule>
  </conditionalFormatting>
  <conditionalFormatting sqref="E7076:F7077">
    <cfRule type="notContainsBlanks" dxfId="716" priority="4560">
      <formula>LEN(TRIM(E7076))&gt;0</formula>
    </cfRule>
    <cfRule type="colorScale" priority="4559">
      <colorScale>
        <cfvo type="min"/>
        <cfvo type="percentile" val="50"/>
        <cfvo type="max"/>
        <color rgb="FFF8696B"/>
        <color rgb="FFFFEB84"/>
        <color rgb="FF63BE7B"/>
      </colorScale>
    </cfRule>
  </conditionalFormatting>
  <conditionalFormatting sqref="E7081:F7084">
    <cfRule type="notContainsBlanks" dxfId="715" priority="4562">
      <formula>LEN(TRIM(E7081))&gt;0</formula>
    </cfRule>
    <cfRule type="colorScale" priority="4561">
      <colorScale>
        <cfvo type="min"/>
        <cfvo type="percentile" val="50"/>
        <cfvo type="max"/>
        <color rgb="FFF8696B"/>
        <color rgb="FFFFEB84"/>
        <color rgb="FF63BE7B"/>
      </colorScale>
    </cfRule>
  </conditionalFormatting>
  <conditionalFormatting sqref="E1722:G1723">
    <cfRule type="colorScale" priority="1160">
      <colorScale>
        <cfvo type="min"/>
        <cfvo type="percentile" val="50"/>
        <cfvo type="max"/>
        <color rgb="FFF8696B"/>
        <color rgb="FFFFEB84"/>
        <color rgb="FF63BE7B"/>
      </colorScale>
    </cfRule>
    <cfRule type="notContainsBlanks" dxfId="714" priority="1161">
      <formula>LEN(TRIM(E1722))&gt;0</formula>
    </cfRule>
  </conditionalFormatting>
  <conditionalFormatting sqref="E1731:G1732">
    <cfRule type="colorScale" priority="1164">
      <colorScale>
        <cfvo type="min"/>
        <cfvo type="percentile" val="50"/>
        <cfvo type="max"/>
        <color rgb="FFF8696B"/>
        <color rgb="FFFFEB84"/>
        <color rgb="FF63BE7B"/>
      </colorScale>
    </cfRule>
    <cfRule type="notContainsBlanks" dxfId="713" priority="1165">
      <formula>LEN(TRIM(E1731))&gt;0</formula>
    </cfRule>
  </conditionalFormatting>
  <conditionalFormatting sqref="E1736:G1737">
    <cfRule type="colorScale" priority="1166">
      <colorScale>
        <cfvo type="min"/>
        <cfvo type="percentile" val="50"/>
        <cfvo type="max"/>
        <color rgb="FFF8696B"/>
        <color rgb="FFFFEB84"/>
        <color rgb="FF63BE7B"/>
      </colorScale>
    </cfRule>
    <cfRule type="notContainsBlanks" dxfId="712" priority="1167">
      <formula>LEN(TRIM(E1736))&gt;0</formula>
    </cfRule>
  </conditionalFormatting>
  <conditionalFormatting sqref="E1741:G1742">
    <cfRule type="notContainsBlanks" dxfId="711" priority="1169">
      <formula>LEN(TRIM(E1741))&gt;0</formula>
    </cfRule>
    <cfRule type="colorScale" priority="1168">
      <colorScale>
        <cfvo type="min"/>
        <cfvo type="percentile" val="50"/>
        <cfvo type="max"/>
        <color rgb="FFF8696B"/>
        <color rgb="FFFFEB84"/>
        <color rgb="FF63BE7B"/>
      </colorScale>
    </cfRule>
  </conditionalFormatting>
  <conditionalFormatting sqref="E1746:G1747">
    <cfRule type="colorScale" priority="1170">
      <colorScale>
        <cfvo type="min"/>
        <cfvo type="percentile" val="50"/>
        <cfvo type="max"/>
        <color rgb="FFF8696B"/>
        <color rgb="FFFFEB84"/>
        <color rgb="FF63BE7B"/>
      </colorScale>
    </cfRule>
    <cfRule type="notContainsBlanks" dxfId="710" priority="1171">
      <formula>LEN(TRIM(E1746))&gt;0</formula>
    </cfRule>
  </conditionalFormatting>
  <conditionalFormatting sqref="E1751:G1752">
    <cfRule type="notContainsBlanks" dxfId="709" priority="1173">
      <formula>LEN(TRIM(E1751))&gt;0</formula>
    </cfRule>
    <cfRule type="colorScale" priority="1172">
      <colorScale>
        <cfvo type="min"/>
        <cfvo type="percentile" val="50"/>
        <cfvo type="max"/>
        <color rgb="FFF8696B"/>
        <color rgb="FFFFEB84"/>
        <color rgb="FF63BE7B"/>
      </colorScale>
    </cfRule>
  </conditionalFormatting>
  <conditionalFormatting sqref="E1756:G1757">
    <cfRule type="notContainsBlanks" dxfId="708" priority="1175">
      <formula>LEN(TRIM(E1756))&gt;0</formula>
    </cfRule>
    <cfRule type="colorScale" priority="1174">
      <colorScale>
        <cfvo type="min"/>
        <cfvo type="percentile" val="50"/>
        <cfvo type="max"/>
        <color rgb="FFF8696B"/>
        <color rgb="FFFFEB84"/>
        <color rgb="FF63BE7B"/>
      </colorScale>
    </cfRule>
  </conditionalFormatting>
  <conditionalFormatting sqref="E1761:G1762">
    <cfRule type="notContainsBlanks" dxfId="707" priority="1177">
      <formula>LEN(TRIM(E1761))&gt;0</formula>
    </cfRule>
    <cfRule type="colorScale" priority="1176">
      <colorScale>
        <cfvo type="min"/>
        <cfvo type="percentile" val="50"/>
        <cfvo type="max"/>
        <color rgb="FFF8696B"/>
        <color rgb="FFFFEB84"/>
        <color rgb="FF63BE7B"/>
      </colorScale>
    </cfRule>
  </conditionalFormatting>
  <conditionalFormatting sqref="E1766:G1767">
    <cfRule type="notContainsBlanks" dxfId="706" priority="1179">
      <formula>LEN(TRIM(E1766))&gt;0</formula>
    </cfRule>
    <cfRule type="colorScale" priority="1178">
      <colorScale>
        <cfvo type="min"/>
        <cfvo type="percentile" val="50"/>
        <cfvo type="max"/>
        <color rgb="FFF8696B"/>
        <color rgb="FFFFEB84"/>
        <color rgb="FF63BE7B"/>
      </colorScale>
    </cfRule>
  </conditionalFormatting>
  <conditionalFormatting sqref="E1771:G1771">
    <cfRule type="notContainsBlanks" dxfId="705" priority="1181">
      <formula>LEN(TRIM(E1771))&gt;0</formula>
    </cfRule>
    <cfRule type="colorScale" priority="1180">
      <colorScale>
        <cfvo type="min"/>
        <cfvo type="percentile" val="50"/>
        <cfvo type="max"/>
        <color rgb="FFF8696B"/>
        <color rgb="FFFFEB84"/>
        <color rgb="FF63BE7B"/>
      </colorScale>
    </cfRule>
  </conditionalFormatting>
  <conditionalFormatting sqref="E1775:G1776">
    <cfRule type="notContainsBlanks" dxfId="704" priority="1183">
      <formula>LEN(TRIM(E1775))&gt;0</formula>
    </cfRule>
    <cfRule type="colorScale" priority="1182">
      <colorScale>
        <cfvo type="min"/>
        <cfvo type="percentile" val="50"/>
        <cfvo type="max"/>
        <color rgb="FFF8696B"/>
        <color rgb="FFFFEB84"/>
        <color rgb="FF63BE7B"/>
      </colorScale>
    </cfRule>
  </conditionalFormatting>
  <conditionalFormatting sqref="E1780:G1781">
    <cfRule type="colorScale" priority="1184">
      <colorScale>
        <cfvo type="min"/>
        <cfvo type="percentile" val="50"/>
        <cfvo type="max"/>
        <color rgb="FFF8696B"/>
        <color rgb="FFFFEB84"/>
        <color rgb="FF63BE7B"/>
      </colorScale>
    </cfRule>
    <cfRule type="notContainsBlanks" dxfId="703" priority="1185">
      <formula>LEN(TRIM(E1780))&gt;0</formula>
    </cfRule>
  </conditionalFormatting>
  <conditionalFormatting sqref="E1785:G1788">
    <cfRule type="notContainsBlanks" dxfId="702" priority="1187">
      <formula>LEN(TRIM(E1785))&gt;0</formula>
    </cfRule>
    <cfRule type="colorScale" priority="1186">
      <colorScale>
        <cfvo type="min"/>
        <cfvo type="percentile" val="50"/>
        <cfvo type="max"/>
        <color rgb="FFF8696B"/>
        <color rgb="FFFFEB84"/>
        <color rgb="FF63BE7B"/>
      </colorScale>
    </cfRule>
  </conditionalFormatting>
  <conditionalFormatting sqref="E1944:G1945">
    <cfRule type="notContainsBlanks" dxfId="701" priority="1341">
      <formula>LEN(TRIM(E1944))&gt;0</formula>
    </cfRule>
    <cfRule type="colorScale" priority="1340">
      <colorScale>
        <cfvo type="min"/>
        <cfvo type="percentile" val="50"/>
        <cfvo type="max"/>
        <color rgb="FFF8696B"/>
        <color rgb="FFFFEB84"/>
        <color rgb="FF63BE7B"/>
      </colorScale>
    </cfRule>
  </conditionalFormatting>
  <conditionalFormatting sqref="E1953:G1954">
    <cfRule type="notContainsBlanks" dxfId="700" priority="1345">
      <formula>LEN(TRIM(E1953))&gt;0</formula>
    </cfRule>
    <cfRule type="colorScale" priority="1344">
      <colorScale>
        <cfvo type="min"/>
        <cfvo type="percentile" val="50"/>
        <cfvo type="max"/>
        <color rgb="FFF8696B"/>
        <color rgb="FFFFEB84"/>
        <color rgb="FF63BE7B"/>
      </colorScale>
    </cfRule>
  </conditionalFormatting>
  <conditionalFormatting sqref="E1958:G1959">
    <cfRule type="notContainsBlanks" dxfId="699" priority="1347">
      <formula>LEN(TRIM(E1958))&gt;0</formula>
    </cfRule>
    <cfRule type="colorScale" priority="1346">
      <colorScale>
        <cfvo type="min"/>
        <cfvo type="percentile" val="50"/>
        <cfvo type="max"/>
        <color rgb="FFF8696B"/>
        <color rgb="FFFFEB84"/>
        <color rgb="FF63BE7B"/>
      </colorScale>
    </cfRule>
  </conditionalFormatting>
  <conditionalFormatting sqref="E1963:G1964">
    <cfRule type="colorScale" priority="1348">
      <colorScale>
        <cfvo type="min"/>
        <cfvo type="percentile" val="50"/>
        <cfvo type="max"/>
        <color rgb="FFF8696B"/>
        <color rgb="FFFFEB84"/>
        <color rgb="FF63BE7B"/>
      </colorScale>
    </cfRule>
    <cfRule type="notContainsBlanks" dxfId="698" priority="1349">
      <formula>LEN(TRIM(E1963))&gt;0</formula>
    </cfRule>
  </conditionalFormatting>
  <conditionalFormatting sqref="E1968:G1969">
    <cfRule type="colorScale" priority="1350">
      <colorScale>
        <cfvo type="min"/>
        <cfvo type="percentile" val="50"/>
        <cfvo type="max"/>
        <color rgb="FFF8696B"/>
        <color rgb="FFFFEB84"/>
        <color rgb="FF63BE7B"/>
      </colorScale>
    </cfRule>
    <cfRule type="notContainsBlanks" dxfId="697" priority="1351">
      <formula>LEN(TRIM(E1968))&gt;0</formula>
    </cfRule>
  </conditionalFormatting>
  <conditionalFormatting sqref="E1973:G1974">
    <cfRule type="colorScale" priority="1352">
      <colorScale>
        <cfvo type="min"/>
        <cfvo type="percentile" val="50"/>
        <cfvo type="max"/>
        <color rgb="FFF8696B"/>
        <color rgb="FFFFEB84"/>
        <color rgb="FF63BE7B"/>
      </colorScale>
    </cfRule>
    <cfRule type="notContainsBlanks" dxfId="696" priority="1353">
      <formula>LEN(TRIM(E1973))&gt;0</formula>
    </cfRule>
  </conditionalFormatting>
  <conditionalFormatting sqref="E1978:G1979">
    <cfRule type="colorScale" priority="1354">
      <colorScale>
        <cfvo type="min"/>
        <cfvo type="percentile" val="50"/>
        <cfvo type="max"/>
        <color rgb="FFF8696B"/>
        <color rgb="FFFFEB84"/>
        <color rgb="FF63BE7B"/>
      </colorScale>
    </cfRule>
    <cfRule type="notContainsBlanks" dxfId="695" priority="1355">
      <formula>LEN(TRIM(E1978))&gt;0</formula>
    </cfRule>
  </conditionalFormatting>
  <conditionalFormatting sqref="E1983:G1984">
    <cfRule type="colorScale" priority="1356">
      <colorScale>
        <cfvo type="min"/>
        <cfvo type="percentile" val="50"/>
        <cfvo type="max"/>
        <color rgb="FFF8696B"/>
        <color rgb="FFFFEB84"/>
        <color rgb="FF63BE7B"/>
      </colorScale>
    </cfRule>
    <cfRule type="notContainsBlanks" dxfId="694" priority="1357">
      <formula>LEN(TRIM(E1983))&gt;0</formula>
    </cfRule>
  </conditionalFormatting>
  <conditionalFormatting sqref="E1988:G1989">
    <cfRule type="notContainsBlanks" dxfId="693" priority="1359">
      <formula>LEN(TRIM(E1988))&gt;0</formula>
    </cfRule>
    <cfRule type="colorScale" priority="1358">
      <colorScale>
        <cfvo type="min"/>
        <cfvo type="percentile" val="50"/>
        <cfvo type="max"/>
        <color rgb="FFF8696B"/>
        <color rgb="FFFFEB84"/>
        <color rgb="FF63BE7B"/>
      </colorScale>
    </cfRule>
  </conditionalFormatting>
  <conditionalFormatting sqref="E1993:G1993">
    <cfRule type="notContainsBlanks" dxfId="692" priority="1361">
      <formula>LEN(TRIM(E1993))&gt;0</formula>
    </cfRule>
    <cfRule type="colorScale" priority="1360">
      <colorScale>
        <cfvo type="min"/>
        <cfvo type="percentile" val="50"/>
        <cfvo type="max"/>
        <color rgb="FFF8696B"/>
        <color rgb="FFFFEB84"/>
        <color rgb="FF63BE7B"/>
      </colorScale>
    </cfRule>
  </conditionalFormatting>
  <conditionalFormatting sqref="E1997:G1998">
    <cfRule type="colorScale" priority="1362">
      <colorScale>
        <cfvo type="min"/>
        <cfvo type="percentile" val="50"/>
        <cfvo type="max"/>
        <color rgb="FFF8696B"/>
        <color rgb="FFFFEB84"/>
        <color rgb="FF63BE7B"/>
      </colorScale>
    </cfRule>
    <cfRule type="notContainsBlanks" dxfId="691" priority="1363">
      <formula>LEN(TRIM(E1997))&gt;0</formula>
    </cfRule>
  </conditionalFormatting>
  <conditionalFormatting sqref="E2002:G2003">
    <cfRule type="notContainsBlanks" dxfId="690" priority="1365">
      <formula>LEN(TRIM(E2002))&gt;0</formula>
    </cfRule>
    <cfRule type="colorScale" priority="1364">
      <colorScale>
        <cfvo type="min"/>
        <cfvo type="percentile" val="50"/>
        <cfvo type="max"/>
        <color rgb="FFF8696B"/>
        <color rgb="FFFFEB84"/>
        <color rgb="FF63BE7B"/>
      </colorScale>
    </cfRule>
  </conditionalFormatting>
  <conditionalFormatting sqref="E2007:G2010">
    <cfRule type="notContainsBlanks" dxfId="689" priority="1367">
      <formula>LEN(TRIM(E2007))&gt;0</formula>
    </cfRule>
    <cfRule type="colorScale" priority="1366">
      <colorScale>
        <cfvo type="min"/>
        <cfvo type="percentile" val="50"/>
        <cfvo type="max"/>
        <color rgb="FFF8696B"/>
        <color rgb="FFFFEB84"/>
        <color rgb="FF63BE7B"/>
      </colorScale>
    </cfRule>
  </conditionalFormatting>
  <conditionalFormatting sqref="E2312:G2313">
    <cfRule type="colorScale" priority="1535">
      <colorScale>
        <cfvo type="min"/>
        <cfvo type="percentile" val="50"/>
        <cfvo type="max"/>
        <color rgb="FFF8696B"/>
        <color rgb="FFFFEB84"/>
        <color rgb="FF63BE7B"/>
      </colorScale>
    </cfRule>
    <cfRule type="notContainsBlanks" dxfId="688" priority="1536">
      <formula>LEN(TRIM(E2312))&gt;0</formula>
    </cfRule>
  </conditionalFormatting>
  <conditionalFormatting sqref="E2321:G2322">
    <cfRule type="colorScale" priority="1539">
      <colorScale>
        <cfvo type="min"/>
        <cfvo type="percentile" val="50"/>
        <cfvo type="max"/>
        <color rgb="FFF8696B"/>
        <color rgb="FFFFEB84"/>
        <color rgb="FF63BE7B"/>
      </colorScale>
    </cfRule>
    <cfRule type="notContainsBlanks" dxfId="687" priority="1540">
      <formula>LEN(TRIM(E2321))&gt;0</formula>
    </cfRule>
  </conditionalFormatting>
  <conditionalFormatting sqref="E2326:G2326">
    <cfRule type="colorScale" priority="1541">
      <colorScale>
        <cfvo type="min"/>
        <cfvo type="percentile" val="50"/>
        <cfvo type="max"/>
        <color rgb="FFF8696B"/>
        <color rgb="FFFFEB84"/>
        <color rgb="FF63BE7B"/>
      </colorScale>
    </cfRule>
    <cfRule type="notContainsBlanks" dxfId="686" priority="1542">
      <formula>LEN(TRIM(E2326))&gt;0</formula>
    </cfRule>
  </conditionalFormatting>
  <conditionalFormatting sqref="E2330:G2331">
    <cfRule type="notContainsBlanks" dxfId="685" priority="1544">
      <formula>LEN(TRIM(E2330))&gt;0</formula>
    </cfRule>
    <cfRule type="colorScale" priority="1543">
      <colorScale>
        <cfvo type="min"/>
        <cfvo type="percentile" val="50"/>
        <cfvo type="max"/>
        <color rgb="FFF8696B"/>
        <color rgb="FFFFEB84"/>
        <color rgb="FF63BE7B"/>
      </colorScale>
    </cfRule>
  </conditionalFormatting>
  <conditionalFormatting sqref="E2335:G2336">
    <cfRule type="notContainsBlanks" dxfId="684" priority="1546">
      <formula>LEN(TRIM(E2335))&gt;0</formula>
    </cfRule>
    <cfRule type="colorScale" priority="1545">
      <colorScale>
        <cfvo type="min"/>
        <cfvo type="percentile" val="50"/>
        <cfvo type="max"/>
        <color rgb="FFF8696B"/>
        <color rgb="FFFFEB84"/>
        <color rgb="FF63BE7B"/>
      </colorScale>
    </cfRule>
  </conditionalFormatting>
  <conditionalFormatting sqref="E2340:G2340">
    <cfRule type="colorScale" priority="1547">
      <colorScale>
        <cfvo type="min"/>
        <cfvo type="percentile" val="50"/>
        <cfvo type="max"/>
        <color rgb="FFF8696B"/>
        <color rgb="FFFFEB84"/>
        <color rgb="FF63BE7B"/>
      </colorScale>
    </cfRule>
    <cfRule type="notContainsBlanks" dxfId="683" priority="1548">
      <formula>LEN(TRIM(E2340))&gt;0</formula>
    </cfRule>
  </conditionalFormatting>
  <conditionalFormatting sqref="E2344:G2345">
    <cfRule type="notContainsBlanks" dxfId="682" priority="1550">
      <formula>LEN(TRIM(E2344))&gt;0</formula>
    </cfRule>
    <cfRule type="colorScale" priority="1549">
      <colorScale>
        <cfvo type="min"/>
        <cfvo type="percentile" val="50"/>
        <cfvo type="max"/>
        <color rgb="FFF8696B"/>
        <color rgb="FFFFEB84"/>
        <color rgb="FF63BE7B"/>
      </colorScale>
    </cfRule>
  </conditionalFormatting>
  <conditionalFormatting sqref="E2349:G2350">
    <cfRule type="notContainsBlanks" dxfId="681" priority="1552">
      <formula>LEN(TRIM(E2349))&gt;0</formula>
    </cfRule>
    <cfRule type="colorScale" priority="1551">
      <colorScale>
        <cfvo type="min"/>
        <cfvo type="percentile" val="50"/>
        <cfvo type="max"/>
        <color rgb="FFF8696B"/>
        <color rgb="FFFFEB84"/>
        <color rgb="FF63BE7B"/>
      </colorScale>
    </cfRule>
  </conditionalFormatting>
  <conditionalFormatting sqref="E2354:G2355">
    <cfRule type="notContainsBlanks" dxfId="680" priority="1554">
      <formula>LEN(TRIM(E2354))&gt;0</formula>
    </cfRule>
    <cfRule type="colorScale" priority="1553">
      <colorScale>
        <cfvo type="min"/>
        <cfvo type="percentile" val="50"/>
        <cfvo type="max"/>
        <color rgb="FFF8696B"/>
        <color rgb="FFFFEB84"/>
        <color rgb="FF63BE7B"/>
      </colorScale>
    </cfRule>
  </conditionalFormatting>
  <conditionalFormatting sqref="E2359:G2359">
    <cfRule type="notContainsBlanks" dxfId="679" priority="1556">
      <formula>LEN(TRIM(E2359))&gt;0</formula>
    </cfRule>
    <cfRule type="colorScale" priority="1555">
      <colorScale>
        <cfvo type="min"/>
        <cfvo type="percentile" val="50"/>
        <cfvo type="max"/>
        <color rgb="FFF8696B"/>
        <color rgb="FFFFEB84"/>
        <color rgb="FF63BE7B"/>
      </colorScale>
    </cfRule>
  </conditionalFormatting>
  <conditionalFormatting sqref="E2363:G2364">
    <cfRule type="notContainsBlanks" dxfId="678" priority="1558">
      <formula>LEN(TRIM(E2363))&gt;0</formula>
    </cfRule>
    <cfRule type="colorScale" priority="1557">
      <colorScale>
        <cfvo type="min"/>
        <cfvo type="percentile" val="50"/>
        <cfvo type="max"/>
        <color rgb="FFF8696B"/>
        <color rgb="FFFFEB84"/>
        <color rgb="FF63BE7B"/>
      </colorScale>
    </cfRule>
  </conditionalFormatting>
  <conditionalFormatting sqref="E2368:G2369">
    <cfRule type="notContainsBlanks" dxfId="677" priority="1560">
      <formula>LEN(TRIM(E2368))&gt;0</formula>
    </cfRule>
    <cfRule type="colorScale" priority="1559">
      <colorScale>
        <cfvo type="min"/>
        <cfvo type="percentile" val="50"/>
        <cfvo type="max"/>
        <color rgb="FFF8696B"/>
        <color rgb="FFFFEB84"/>
        <color rgb="FF63BE7B"/>
      </colorScale>
    </cfRule>
  </conditionalFormatting>
  <conditionalFormatting sqref="E2373:G2376">
    <cfRule type="colorScale" priority="1561">
      <colorScale>
        <cfvo type="min"/>
        <cfvo type="percentile" val="50"/>
        <cfvo type="max"/>
        <color rgb="FFF8696B"/>
        <color rgb="FFFFEB84"/>
        <color rgb="FF63BE7B"/>
      </colorScale>
    </cfRule>
    <cfRule type="notContainsBlanks" dxfId="676" priority="1562">
      <formula>LEN(TRIM(E2373))&gt;0</formula>
    </cfRule>
  </conditionalFormatting>
  <conditionalFormatting sqref="E2994:G2994">
    <cfRule type="notContainsBlanks" dxfId="675" priority="1836">
      <formula>LEN(TRIM(E2994))&gt;0</formula>
    </cfRule>
    <cfRule type="colorScale" priority="1835">
      <colorScale>
        <cfvo type="min"/>
        <cfvo type="percentile" val="50"/>
        <cfvo type="max"/>
        <color rgb="FFF8696B"/>
        <color rgb="FFFFEB84"/>
        <color rgb="FF63BE7B"/>
      </colorScale>
    </cfRule>
  </conditionalFormatting>
  <conditionalFormatting sqref="E3002:G3002">
    <cfRule type="notContainsBlanks" dxfId="674" priority="1840">
      <formula>LEN(TRIM(E3002))&gt;0</formula>
    </cfRule>
    <cfRule type="colorScale" priority="1839">
      <colorScale>
        <cfvo type="min"/>
        <cfvo type="percentile" val="50"/>
        <cfvo type="max"/>
        <color rgb="FFF8696B"/>
        <color rgb="FFFFEB84"/>
        <color rgb="FF63BE7B"/>
      </colorScale>
    </cfRule>
  </conditionalFormatting>
  <conditionalFormatting sqref="E3006:G3006">
    <cfRule type="notContainsBlanks" dxfId="673" priority="1842">
      <formula>LEN(TRIM(E3006))&gt;0</formula>
    </cfRule>
    <cfRule type="colorScale" priority="1841">
      <colorScale>
        <cfvo type="min"/>
        <cfvo type="percentile" val="50"/>
        <cfvo type="max"/>
        <color rgb="FFF8696B"/>
        <color rgb="FFFFEB84"/>
        <color rgb="FF63BE7B"/>
      </colorScale>
    </cfRule>
  </conditionalFormatting>
  <conditionalFormatting sqref="E3010:G3011">
    <cfRule type="notContainsBlanks" dxfId="672" priority="1844">
      <formula>LEN(TRIM(E3010))&gt;0</formula>
    </cfRule>
    <cfRule type="colorScale" priority="1843">
      <colorScale>
        <cfvo type="min"/>
        <cfvo type="percentile" val="50"/>
        <cfvo type="max"/>
        <color rgb="FFF8696B"/>
        <color rgb="FFFFEB84"/>
        <color rgb="FF63BE7B"/>
      </colorScale>
    </cfRule>
  </conditionalFormatting>
  <conditionalFormatting sqref="E3015:G3015">
    <cfRule type="notContainsBlanks" dxfId="671" priority="1846">
      <formula>LEN(TRIM(E3015))&gt;0</formula>
    </cfRule>
    <cfRule type="colorScale" priority="1845">
      <colorScale>
        <cfvo type="min"/>
        <cfvo type="percentile" val="50"/>
        <cfvo type="max"/>
        <color rgb="FFF8696B"/>
        <color rgb="FFFFEB84"/>
        <color rgb="FF63BE7B"/>
      </colorScale>
    </cfRule>
  </conditionalFormatting>
  <conditionalFormatting sqref="E3019:G3020">
    <cfRule type="notContainsBlanks" dxfId="670" priority="1848">
      <formula>LEN(TRIM(E3019))&gt;0</formula>
    </cfRule>
    <cfRule type="colorScale" priority="1847">
      <colorScale>
        <cfvo type="min"/>
        <cfvo type="percentile" val="50"/>
        <cfvo type="max"/>
        <color rgb="FFF8696B"/>
        <color rgb="FFFFEB84"/>
        <color rgb="FF63BE7B"/>
      </colorScale>
    </cfRule>
  </conditionalFormatting>
  <conditionalFormatting sqref="E3024:G3025">
    <cfRule type="colorScale" priority="1849">
      <colorScale>
        <cfvo type="min"/>
        <cfvo type="percentile" val="50"/>
        <cfvo type="max"/>
        <color rgb="FFF8696B"/>
        <color rgb="FFFFEB84"/>
        <color rgb="FF63BE7B"/>
      </colorScale>
    </cfRule>
    <cfRule type="notContainsBlanks" dxfId="669" priority="1850">
      <formula>LEN(TRIM(E3024))&gt;0</formula>
    </cfRule>
  </conditionalFormatting>
  <conditionalFormatting sqref="E3029:G3030">
    <cfRule type="notContainsBlanks" dxfId="668" priority="1852">
      <formula>LEN(TRIM(E3029))&gt;0</formula>
    </cfRule>
    <cfRule type="colorScale" priority="1851">
      <colorScale>
        <cfvo type="min"/>
        <cfvo type="percentile" val="50"/>
        <cfvo type="max"/>
        <color rgb="FFF8696B"/>
        <color rgb="FFFFEB84"/>
        <color rgb="FF63BE7B"/>
      </colorScale>
    </cfRule>
  </conditionalFormatting>
  <conditionalFormatting sqref="E3034:G3034">
    <cfRule type="notContainsBlanks" dxfId="667" priority="1854">
      <formula>LEN(TRIM(E3034))&gt;0</formula>
    </cfRule>
    <cfRule type="colorScale" priority="1853">
      <colorScale>
        <cfvo type="min"/>
        <cfvo type="percentile" val="50"/>
        <cfvo type="max"/>
        <color rgb="FFF8696B"/>
        <color rgb="FFFFEB84"/>
        <color rgb="FF63BE7B"/>
      </colorScale>
    </cfRule>
  </conditionalFormatting>
  <conditionalFormatting sqref="E3038:G3038">
    <cfRule type="notContainsBlanks" dxfId="666" priority="1856">
      <formula>LEN(TRIM(E3038))&gt;0</formula>
    </cfRule>
    <cfRule type="colorScale" priority="1855">
      <colorScale>
        <cfvo type="min"/>
        <cfvo type="percentile" val="50"/>
        <cfvo type="max"/>
        <color rgb="FFF8696B"/>
        <color rgb="FFFFEB84"/>
        <color rgb="FF63BE7B"/>
      </colorScale>
    </cfRule>
  </conditionalFormatting>
  <conditionalFormatting sqref="E3042:G3043">
    <cfRule type="notContainsBlanks" dxfId="665" priority="1858">
      <formula>LEN(TRIM(E3042))&gt;0</formula>
    </cfRule>
    <cfRule type="colorScale" priority="1857">
      <colorScale>
        <cfvo type="min"/>
        <cfvo type="percentile" val="50"/>
        <cfvo type="max"/>
        <color rgb="FFF8696B"/>
        <color rgb="FFFFEB84"/>
        <color rgb="FF63BE7B"/>
      </colorScale>
    </cfRule>
  </conditionalFormatting>
  <conditionalFormatting sqref="E3047:G3048">
    <cfRule type="colorScale" priority="1859">
      <colorScale>
        <cfvo type="min"/>
        <cfvo type="percentile" val="50"/>
        <cfvo type="max"/>
        <color rgb="FFF8696B"/>
        <color rgb="FFFFEB84"/>
        <color rgb="FF63BE7B"/>
      </colorScale>
    </cfRule>
    <cfRule type="notContainsBlanks" dxfId="664" priority="1860">
      <formula>LEN(TRIM(E3047))&gt;0</formula>
    </cfRule>
  </conditionalFormatting>
  <conditionalFormatting sqref="E3052:G3054">
    <cfRule type="colorScale" priority="1861">
      <colorScale>
        <cfvo type="min"/>
        <cfvo type="percentile" val="50"/>
        <cfvo type="max"/>
        <color rgb="FFF8696B"/>
        <color rgb="FFFFEB84"/>
        <color rgb="FF63BE7B"/>
      </colorScale>
    </cfRule>
    <cfRule type="notContainsBlanks" dxfId="663" priority="1862">
      <formula>LEN(TRIM(E3052))&gt;0</formula>
    </cfRule>
  </conditionalFormatting>
  <conditionalFormatting sqref="E3257:G3257">
    <cfRule type="colorScale" priority="1955">
      <colorScale>
        <cfvo type="min"/>
        <cfvo type="percentile" val="50"/>
        <cfvo type="max"/>
        <color rgb="FFF8696B"/>
        <color rgb="FFFFEB84"/>
        <color rgb="FF63BE7B"/>
      </colorScale>
    </cfRule>
    <cfRule type="notContainsBlanks" dxfId="662" priority="1956">
      <formula>LEN(TRIM(E3257))&gt;0</formula>
    </cfRule>
  </conditionalFormatting>
  <conditionalFormatting sqref="E3265:G3266">
    <cfRule type="notContainsBlanks" dxfId="661" priority="1960">
      <formula>LEN(TRIM(E3265))&gt;0</formula>
    </cfRule>
    <cfRule type="colorScale" priority="1959">
      <colorScale>
        <cfvo type="min"/>
        <cfvo type="percentile" val="50"/>
        <cfvo type="max"/>
        <color rgb="FFF8696B"/>
        <color rgb="FFFFEB84"/>
        <color rgb="FF63BE7B"/>
      </colorScale>
    </cfRule>
  </conditionalFormatting>
  <conditionalFormatting sqref="E3270:G3270">
    <cfRule type="notContainsBlanks" dxfId="660" priority="1962">
      <formula>LEN(TRIM(E3270))&gt;0</formula>
    </cfRule>
    <cfRule type="colorScale" priority="1961">
      <colorScale>
        <cfvo type="min"/>
        <cfvo type="percentile" val="50"/>
        <cfvo type="max"/>
        <color rgb="FFF8696B"/>
        <color rgb="FFFFEB84"/>
        <color rgb="FF63BE7B"/>
      </colorScale>
    </cfRule>
  </conditionalFormatting>
  <conditionalFormatting sqref="E3274:G3274">
    <cfRule type="notContainsBlanks" dxfId="659" priority="1964">
      <formula>LEN(TRIM(E3274))&gt;0</formula>
    </cfRule>
    <cfRule type="colorScale" priority="1963">
      <colorScale>
        <cfvo type="min"/>
        <cfvo type="percentile" val="50"/>
        <cfvo type="max"/>
        <color rgb="FFF8696B"/>
        <color rgb="FFFFEB84"/>
        <color rgb="FF63BE7B"/>
      </colorScale>
    </cfRule>
  </conditionalFormatting>
  <conditionalFormatting sqref="E3278:G3278">
    <cfRule type="notContainsBlanks" dxfId="658" priority="1966">
      <formula>LEN(TRIM(E3278))&gt;0</formula>
    </cfRule>
    <cfRule type="colorScale" priority="1965">
      <colorScale>
        <cfvo type="min"/>
        <cfvo type="percentile" val="50"/>
        <cfvo type="max"/>
        <color rgb="FFF8696B"/>
        <color rgb="FFFFEB84"/>
        <color rgb="FF63BE7B"/>
      </colorScale>
    </cfRule>
  </conditionalFormatting>
  <conditionalFormatting sqref="E3282:G3283">
    <cfRule type="colorScale" priority="1967">
      <colorScale>
        <cfvo type="min"/>
        <cfvo type="percentile" val="50"/>
        <cfvo type="max"/>
        <color rgb="FFF8696B"/>
        <color rgb="FFFFEB84"/>
        <color rgb="FF63BE7B"/>
      </colorScale>
    </cfRule>
    <cfRule type="notContainsBlanks" dxfId="657" priority="1968">
      <formula>LEN(TRIM(E3282))&gt;0</formula>
    </cfRule>
  </conditionalFormatting>
  <conditionalFormatting sqref="E3287:G3288">
    <cfRule type="notContainsBlanks" dxfId="656" priority="1970">
      <formula>LEN(TRIM(E3287))&gt;0</formula>
    </cfRule>
    <cfRule type="colorScale" priority="1969">
      <colorScale>
        <cfvo type="min"/>
        <cfvo type="percentile" val="50"/>
        <cfvo type="max"/>
        <color rgb="FFF8696B"/>
        <color rgb="FFFFEB84"/>
        <color rgb="FF63BE7B"/>
      </colorScale>
    </cfRule>
  </conditionalFormatting>
  <conditionalFormatting sqref="E3292:G3293">
    <cfRule type="colorScale" priority="1971">
      <colorScale>
        <cfvo type="min"/>
        <cfvo type="percentile" val="50"/>
        <cfvo type="max"/>
        <color rgb="FFF8696B"/>
        <color rgb="FFFFEB84"/>
        <color rgb="FF63BE7B"/>
      </colorScale>
    </cfRule>
    <cfRule type="notContainsBlanks" dxfId="655" priority="1972">
      <formula>LEN(TRIM(E3292))&gt;0</formula>
    </cfRule>
  </conditionalFormatting>
  <conditionalFormatting sqref="E3297:G3297">
    <cfRule type="colorScale" priority="1973">
      <colorScale>
        <cfvo type="min"/>
        <cfvo type="percentile" val="50"/>
        <cfvo type="max"/>
        <color rgb="FFF8696B"/>
        <color rgb="FFFFEB84"/>
        <color rgb="FF63BE7B"/>
      </colorScale>
    </cfRule>
    <cfRule type="notContainsBlanks" dxfId="654" priority="1974">
      <formula>LEN(TRIM(E3297))&gt;0</formula>
    </cfRule>
  </conditionalFormatting>
  <conditionalFormatting sqref="E3301:G3301">
    <cfRule type="notContainsBlanks" dxfId="653" priority="1976">
      <formula>LEN(TRIM(E3301))&gt;0</formula>
    </cfRule>
    <cfRule type="colorScale" priority="1975">
      <colorScale>
        <cfvo type="min"/>
        <cfvo type="percentile" val="50"/>
        <cfvo type="max"/>
        <color rgb="FFF8696B"/>
        <color rgb="FFFFEB84"/>
        <color rgb="FF63BE7B"/>
      </colorScale>
    </cfRule>
  </conditionalFormatting>
  <conditionalFormatting sqref="E3305:G3306">
    <cfRule type="colorScale" priority="1977">
      <colorScale>
        <cfvo type="min"/>
        <cfvo type="percentile" val="50"/>
        <cfvo type="max"/>
        <color rgb="FFF8696B"/>
        <color rgb="FFFFEB84"/>
        <color rgb="FF63BE7B"/>
      </colorScale>
    </cfRule>
    <cfRule type="notContainsBlanks" dxfId="652" priority="1978">
      <formula>LEN(TRIM(E3305))&gt;0</formula>
    </cfRule>
  </conditionalFormatting>
  <conditionalFormatting sqref="E3310:G3311">
    <cfRule type="colorScale" priority="1979">
      <colorScale>
        <cfvo type="min"/>
        <cfvo type="percentile" val="50"/>
        <cfvo type="max"/>
        <color rgb="FFF8696B"/>
        <color rgb="FFFFEB84"/>
        <color rgb="FF63BE7B"/>
      </colorScale>
    </cfRule>
    <cfRule type="notContainsBlanks" dxfId="651" priority="1980">
      <formula>LEN(TRIM(E3310))&gt;0</formula>
    </cfRule>
  </conditionalFormatting>
  <conditionalFormatting sqref="E3315:G3318">
    <cfRule type="notContainsBlanks" dxfId="650" priority="1982">
      <formula>LEN(TRIM(E3315))&gt;0</formula>
    </cfRule>
    <cfRule type="colorScale" priority="1981">
      <colorScale>
        <cfvo type="min"/>
        <cfvo type="percentile" val="50"/>
        <cfvo type="max"/>
        <color rgb="FFF8696B"/>
        <color rgb="FFFFEB84"/>
        <color rgb="FF63BE7B"/>
      </colorScale>
    </cfRule>
  </conditionalFormatting>
  <conditionalFormatting sqref="E3400:G3401">
    <cfRule type="colorScale" priority="2015">
      <colorScale>
        <cfvo type="min"/>
        <cfvo type="percentile" val="50"/>
        <cfvo type="max"/>
        <color rgb="FFF8696B"/>
        <color rgb="FFFFEB84"/>
        <color rgb="FF63BE7B"/>
      </colorScale>
    </cfRule>
    <cfRule type="notContainsBlanks" dxfId="649" priority="2016">
      <formula>LEN(TRIM(E3400))&gt;0</formula>
    </cfRule>
  </conditionalFormatting>
  <conditionalFormatting sqref="E3409:G3409">
    <cfRule type="colorScale" priority="2019">
      <colorScale>
        <cfvo type="min"/>
        <cfvo type="percentile" val="50"/>
        <cfvo type="max"/>
        <color rgb="FFF8696B"/>
        <color rgb="FFFFEB84"/>
        <color rgb="FF63BE7B"/>
      </colorScale>
    </cfRule>
    <cfRule type="notContainsBlanks" dxfId="648" priority="2020">
      <formula>LEN(TRIM(E3409))&gt;0</formula>
    </cfRule>
  </conditionalFormatting>
  <conditionalFormatting sqref="E3413:G3413">
    <cfRule type="colorScale" priority="2021">
      <colorScale>
        <cfvo type="min"/>
        <cfvo type="percentile" val="50"/>
        <cfvo type="max"/>
        <color rgb="FFF8696B"/>
        <color rgb="FFFFEB84"/>
        <color rgb="FF63BE7B"/>
      </colorScale>
    </cfRule>
    <cfRule type="notContainsBlanks" dxfId="647" priority="2022">
      <formula>LEN(TRIM(E3413))&gt;0</formula>
    </cfRule>
  </conditionalFormatting>
  <conditionalFormatting sqref="E3417:G3418">
    <cfRule type="colorScale" priority="2023">
      <colorScale>
        <cfvo type="min"/>
        <cfvo type="percentile" val="50"/>
        <cfvo type="max"/>
        <color rgb="FFF8696B"/>
        <color rgb="FFFFEB84"/>
        <color rgb="FF63BE7B"/>
      </colorScale>
    </cfRule>
    <cfRule type="notContainsBlanks" dxfId="646" priority="2024">
      <formula>LEN(TRIM(E3417))&gt;0</formula>
    </cfRule>
  </conditionalFormatting>
  <conditionalFormatting sqref="E3422:G3423">
    <cfRule type="colorScale" priority="2025">
      <colorScale>
        <cfvo type="min"/>
        <cfvo type="percentile" val="50"/>
        <cfvo type="max"/>
        <color rgb="FFF8696B"/>
        <color rgb="FFFFEB84"/>
        <color rgb="FF63BE7B"/>
      </colorScale>
    </cfRule>
    <cfRule type="notContainsBlanks" dxfId="645" priority="2026">
      <formula>LEN(TRIM(E3422))&gt;0</formula>
    </cfRule>
  </conditionalFormatting>
  <conditionalFormatting sqref="E3427:G3428">
    <cfRule type="notContainsBlanks" dxfId="644" priority="2028">
      <formula>LEN(TRIM(E3427))&gt;0</formula>
    </cfRule>
    <cfRule type="colorScale" priority="2027">
      <colorScale>
        <cfvo type="min"/>
        <cfvo type="percentile" val="50"/>
        <cfvo type="max"/>
        <color rgb="FFF8696B"/>
        <color rgb="FFFFEB84"/>
        <color rgb="FF63BE7B"/>
      </colorScale>
    </cfRule>
  </conditionalFormatting>
  <conditionalFormatting sqref="E3432:G3433">
    <cfRule type="colorScale" priority="2029">
      <colorScale>
        <cfvo type="min"/>
        <cfvo type="percentile" val="50"/>
        <cfvo type="max"/>
        <color rgb="FFF8696B"/>
        <color rgb="FFFFEB84"/>
        <color rgb="FF63BE7B"/>
      </colorScale>
    </cfRule>
    <cfRule type="notContainsBlanks" dxfId="643" priority="2030">
      <formula>LEN(TRIM(E3432))&gt;0</formula>
    </cfRule>
  </conditionalFormatting>
  <conditionalFormatting sqref="E3437:G3438">
    <cfRule type="notContainsBlanks" dxfId="642" priority="2032">
      <formula>LEN(TRIM(E3437))&gt;0</formula>
    </cfRule>
    <cfRule type="colorScale" priority="2031">
      <colorScale>
        <cfvo type="min"/>
        <cfvo type="percentile" val="50"/>
        <cfvo type="max"/>
        <color rgb="FFF8696B"/>
        <color rgb="FFFFEB84"/>
        <color rgb="FF63BE7B"/>
      </colorScale>
    </cfRule>
  </conditionalFormatting>
  <conditionalFormatting sqref="E3442:G3443">
    <cfRule type="colorScale" priority="2033">
      <colorScale>
        <cfvo type="min"/>
        <cfvo type="percentile" val="50"/>
        <cfvo type="max"/>
        <color rgb="FFF8696B"/>
        <color rgb="FFFFEB84"/>
        <color rgb="FF63BE7B"/>
      </colorScale>
    </cfRule>
    <cfRule type="notContainsBlanks" dxfId="641" priority="2034">
      <formula>LEN(TRIM(E3442))&gt;0</formula>
    </cfRule>
  </conditionalFormatting>
  <conditionalFormatting sqref="E3447:G3447">
    <cfRule type="colorScale" priority="2035">
      <colorScale>
        <cfvo type="min"/>
        <cfvo type="percentile" val="50"/>
        <cfvo type="max"/>
        <color rgb="FFF8696B"/>
        <color rgb="FFFFEB84"/>
        <color rgb="FF63BE7B"/>
      </colorScale>
    </cfRule>
    <cfRule type="notContainsBlanks" dxfId="640" priority="2036">
      <formula>LEN(TRIM(E3447))&gt;0</formula>
    </cfRule>
  </conditionalFormatting>
  <conditionalFormatting sqref="E3451:G3452">
    <cfRule type="colorScale" priority="2037">
      <colorScale>
        <cfvo type="min"/>
        <cfvo type="percentile" val="50"/>
        <cfvo type="max"/>
        <color rgb="FFF8696B"/>
        <color rgb="FFFFEB84"/>
        <color rgb="FF63BE7B"/>
      </colorScale>
    </cfRule>
    <cfRule type="notContainsBlanks" dxfId="639" priority="2038">
      <formula>LEN(TRIM(E3451))&gt;0</formula>
    </cfRule>
  </conditionalFormatting>
  <conditionalFormatting sqref="E3456:G3457">
    <cfRule type="colorScale" priority="2039">
      <colorScale>
        <cfvo type="min"/>
        <cfvo type="percentile" val="50"/>
        <cfvo type="max"/>
        <color rgb="FFF8696B"/>
        <color rgb="FFFFEB84"/>
        <color rgb="FF63BE7B"/>
      </colorScale>
    </cfRule>
    <cfRule type="notContainsBlanks" dxfId="638" priority="2040">
      <formula>LEN(TRIM(E3456))&gt;0</formula>
    </cfRule>
  </conditionalFormatting>
  <conditionalFormatting sqref="E3461:G3464">
    <cfRule type="notContainsBlanks" dxfId="637" priority="2042">
      <formula>LEN(TRIM(E3461))&gt;0</formula>
    </cfRule>
    <cfRule type="colorScale" priority="2041">
      <colorScale>
        <cfvo type="min"/>
        <cfvo type="percentile" val="50"/>
        <cfvo type="max"/>
        <color rgb="FFF8696B"/>
        <color rgb="FFFFEB84"/>
        <color rgb="FF63BE7B"/>
      </colorScale>
    </cfRule>
  </conditionalFormatting>
  <conditionalFormatting sqref="E4041:G4041">
    <cfRule type="colorScale" priority="2285">
      <colorScale>
        <cfvo type="min"/>
        <cfvo type="percentile" val="50"/>
        <cfvo type="max"/>
        <color rgb="FFF8696B"/>
        <color rgb="FFFFEB84"/>
        <color rgb="FF63BE7B"/>
      </colorScale>
    </cfRule>
    <cfRule type="notContainsBlanks" dxfId="636" priority="2286">
      <formula>LEN(TRIM(E4041))&gt;0</formula>
    </cfRule>
  </conditionalFormatting>
  <conditionalFormatting sqref="E4049:G4049">
    <cfRule type="colorScale" priority="2289">
      <colorScale>
        <cfvo type="min"/>
        <cfvo type="percentile" val="50"/>
        <cfvo type="max"/>
        <color rgb="FFF8696B"/>
        <color rgb="FFFFEB84"/>
        <color rgb="FF63BE7B"/>
      </colorScale>
    </cfRule>
    <cfRule type="notContainsBlanks" dxfId="635" priority="2290">
      <formula>LEN(TRIM(E4049))&gt;0</formula>
    </cfRule>
  </conditionalFormatting>
  <conditionalFormatting sqref="E4053:G4053">
    <cfRule type="notContainsBlanks" dxfId="634" priority="2292">
      <formula>LEN(TRIM(E4053))&gt;0</formula>
    </cfRule>
    <cfRule type="colorScale" priority="2291">
      <colorScale>
        <cfvo type="min"/>
        <cfvo type="percentile" val="50"/>
        <cfvo type="max"/>
        <color rgb="FFF8696B"/>
        <color rgb="FFFFEB84"/>
        <color rgb="FF63BE7B"/>
      </colorScale>
    </cfRule>
  </conditionalFormatting>
  <conditionalFormatting sqref="E4057:G4057">
    <cfRule type="notContainsBlanks" dxfId="633" priority="2294">
      <formula>LEN(TRIM(E4057))&gt;0</formula>
    </cfRule>
    <cfRule type="colorScale" priority="2293">
      <colorScale>
        <cfvo type="min"/>
        <cfvo type="percentile" val="50"/>
        <cfvo type="max"/>
        <color rgb="FFF8696B"/>
        <color rgb="FFFFEB84"/>
        <color rgb="FF63BE7B"/>
      </colorScale>
    </cfRule>
  </conditionalFormatting>
  <conditionalFormatting sqref="E4061:G4061">
    <cfRule type="notContainsBlanks" dxfId="632" priority="2296">
      <formula>LEN(TRIM(E4061))&gt;0</formula>
    </cfRule>
    <cfRule type="colorScale" priority="2295">
      <colorScale>
        <cfvo type="min"/>
        <cfvo type="percentile" val="50"/>
        <cfvo type="max"/>
        <color rgb="FFF8696B"/>
        <color rgb="FFFFEB84"/>
        <color rgb="FF63BE7B"/>
      </colorScale>
    </cfRule>
  </conditionalFormatting>
  <conditionalFormatting sqref="E4065:G4066">
    <cfRule type="colorScale" priority="2297">
      <colorScale>
        <cfvo type="min"/>
        <cfvo type="percentile" val="50"/>
        <cfvo type="max"/>
        <color rgb="FFF8696B"/>
        <color rgb="FFFFEB84"/>
        <color rgb="FF63BE7B"/>
      </colorScale>
    </cfRule>
    <cfRule type="notContainsBlanks" dxfId="631" priority="2298">
      <formula>LEN(TRIM(E4065))&gt;0</formula>
    </cfRule>
  </conditionalFormatting>
  <conditionalFormatting sqref="E4070:G4071">
    <cfRule type="colorScale" priority="2299">
      <colorScale>
        <cfvo type="min"/>
        <cfvo type="percentile" val="50"/>
        <cfvo type="max"/>
        <color rgb="FFF8696B"/>
        <color rgb="FFFFEB84"/>
        <color rgb="FF63BE7B"/>
      </colorScale>
    </cfRule>
    <cfRule type="notContainsBlanks" dxfId="630" priority="2300">
      <formula>LEN(TRIM(E4070))&gt;0</formula>
    </cfRule>
  </conditionalFormatting>
  <conditionalFormatting sqref="E4075:G4076">
    <cfRule type="colorScale" priority="2301">
      <colorScale>
        <cfvo type="min"/>
        <cfvo type="percentile" val="50"/>
        <cfvo type="max"/>
        <color rgb="FFF8696B"/>
        <color rgb="FFFFEB84"/>
        <color rgb="FF63BE7B"/>
      </colorScale>
    </cfRule>
    <cfRule type="notContainsBlanks" dxfId="629" priority="2302">
      <formula>LEN(TRIM(E4075))&gt;0</formula>
    </cfRule>
  </conditionalFormatting>
  <conditionalFormatting sqref="E4080:G4081">
    <cfRule type="colorScale" priority="2303">
      <colorScale>
        <cfvo type="min"/>
        <cfvo type="percentile" val="50"/>
        <cfvo type="max"/>
        <color rgb="FFF8696B"/>
        <color rgb="FFFFEB84"/>
        <color rgb="FF63BE7B"/>
      </colorScale>
    </cfRule>
    <cfRule type="notContainsBlanks" dxfId="628" priority="2304">
      <formula>LEN(TRIM(E4080))&gt;0</formula>
    </cfRule>
  </conditionalFormatting>
  <conditionalFormatting sqref="E4085:G4085">
    <cfRule type="colorScale" priority="2305">
      <colorScale>
        <cfvo type="min"/>
        <cfvo type="percentile" val="50"/>
        <cfvo type="max"/>
        <color rgb="FFF8696B"/>
        <color rgb="FFFFEB84"/>
        <color rgb="FF63BE7B"/>
      </colorScale>
    </cfRule>
    <cfRule type="notContainsBlanks" dxfId="627" priority="2306">
      <formula>LEN(TRIM(E4085))&gt;0</formula>
    </cfRule>
  </conditionalFormatting>
  <conditionalFormatting sqref="E4089:G4090">
    <cfRule type="colorScale" priority="2307">
      <colorScale>
        <cfvo type="min"/>
        <cfvo type="percentile" val="50"/>
        <cfvo type="max"/>
        <color rgb="FFF8696B"/>
        <color rgb="FFFFEB84"/>
        <color rgb="FF63BE7B"/>
      </colorScale>
    </cfRule>
    <cfRule type="notContainsBlanks" dxfId="626" priority="2308">
      <formula>LEN(TRIM(E4089))&gt;0</formula>
    </cfRule>
  </conditionalFormatting>
  <conditionalFormatting sqref="E4094:G4095">
    <cfRule type="notContainsBlanks" dxfId="625" priority="2310">
      <formula>LEN(TRIM(E4094))&gt;0</formula>
    </cfRule>
    <cfRule type="colorScale" priority="2309">
      <colorScale>
        <cfvo type="min"/>
        <cfvo type="percentile" val="50"/>
        <cfvo type="max"/>
        <color rgb="FFF8696B"/>
        <color rgb="FFFFEB84"/>
        <color rgb="FF63BE7B"/>
      </colorScale>
    </cfRule>
  </conditionalFormatting>
  <conditionalFormatting sqref="E4099:G4100">
    <cfRule type="colorScale" priority="2311">
      <colorScale>
        <cfvo type="min"/>
        <cfvo type="percentile" val="50"/>
        <cfvo type="max"/>
        <color rgb="FFF8696B"/>
        <color rgb="FFFFEB84"/>
        <color rgb="FF63BE7B"/>
      </colorScale>
    </cfRule>
    <cfRule type="notContainsBlanks" dxfId="624" priority="2312">
      <formula>LEN(TRIM(E4099))&gt;0</formula>
    </cfRule>
  </conditionalFormatting>
  <conditionalFormatting sqref="E4108:G4109">
    <cfRule type="notContainsBlanks" dxfId="623" priority="2316">
      <formula>LEN(TRIM(E4108))&gt;0</formula>
    </cfRule>
    <cfRule type="colorScale" priority="2315">
      <colorScale>
        <cfvo type="min"/>
        <cfvo type="percentile" val="50"/>
        <cfvo type="max"/>
        <color rgb="FFF8696B"/>
        <color rgb="FFFFEB84"/>
        <color rgb="FF63BE7B"/>
      </colorScale>
    </cfRule>
  </conditionalFormatting>
  <conditionalFormatting sqref="E4117:G4118">
    <cfRule type="notContainsBlanks" dxfId="622" priority="2320">
      <formula>LEN(TRIM(E4117))&gt;0</formula>
    </cfRule>
    <cfRule type="colorScale" priority="2319">
      <colorScale>
        <cfvo type="min"/>
        <cfvo type="percentile" val="50"/>
        <cfvo type="max"/>
        <color rgb="FFF8696B"/>
        <color rgb="FFFFEB84"/>
        <color rgb="FF63BE7B"/>
      </colorScale>
    </cfRule>
  </conditionalFormatting>
  <conditionalFormatting sqref="E4122:G4122">
    <cfRule type="notContainsBlanks" dxfId="621" priority="2322">
      <formula>LEN(TRIM(E4122))&gt;0</formula>
    </cfRule>
    <cfRule type="colorScale" priority="2321">
      <colorScale>
        <cfvo type="min"/>
        <cfvo type="percentile" val="50"/>
        <cfvo type="max"/>
        <color rgb="FFF8696B"/>
        <color rgb="FFFFEB84"/>
        <color rgb="FF63BE7B"/>
      </colorScale>
    </cfRule>
  </conditionalFormatting>
  <conditionalFormatting sqref="E4126:G4127">
    <cfRule type="notContainsBlanks" dxfId="620" priority="2324">
      <formula>LEN(TRIM(E4126))&gt;0</formula>
    </cfRule>
    <cfRule type="colorScale" priority="2323">
      <colorScale>
        <cfvo type="min"/>
        <cfvo type="percentile" val="50"/>
        <cfvo type="max"/>
        <color rgb="FFF8696B"/>
        <color rgb="FFFFEB84"/>
        <color rgb="FF63BE7B"/>
      </colorScale>
    </cfRule>
  </conditionalFormatting>
  <conditionalFormatting sqref="E4131:G4132">
    <cfRule type="colorScale" priority="2325">
      <colorScale>
        <cfvo type="min"/>
        <cfvo type="percentile" val="50"/>
        <cfvo type="max"/>
        <color rgb="FFF8696B"/>
        <color rgb="FFFFEB84"/>
        <color rgb="FF63BE7B"/>
      </colorScale>
    </cfRule>
    <cfRule type="notContainsBlanks" dxfId="619" priority="2326">
      <formula>LEN(TRIM(E4131))&gt;0</formula>
    </cfRule>
  </conditionalFormatting>
  <conditionalFormatting sqref="E4136:G4137">
    <cfRule type="colorScale" priority="2327">
      <colorScale>
        <cfvo type="min"/>
        <cfvo type="percentile" val="50"/>
        <cfvo type="max"/>
        <color rgb="FFF8696B"/>
        <color rgb="FFFFEB84"/>
        <color rgb="FF63BE7B"/>
      </colorScale>
    </cfRule>
    <cfRule type="notContainsBlanks" dxfId="618" priority="2328">
      <formula>LEN(TRIM(E4136))&gt;0</formula>
    </cfRule>
  </conditionalFormatting>
  <conditionalFormatting sqref="E4141:G4142">
    <cfRule type="notContainsBlanks" dxfId="617" priority="2330">
      <formula>LEN(TRIM(E4141))&gt;0</formula>
    </cfRule>
    <cfRule type="colorScale" priority="2329">
      <colorScale>
        <cfvo type="min"/>
        <cfvo type="percentile" val="50"/>
        <cfvo type="max"/>
        <color rgb="FFF8696B"/>
        <color rgb="FFFFEB84"/>
        <color rgb="FF63BE7B"/>
      </colorScale>
    </cfRule>
  </conditionalFormatting>
  <conditionalFormatting sqref="E4146:G4146">
    <cfRule type="notContainsBlanks" dxfId="616" priority="2332">
      <formula>LEN(TRIM(E4146))&gt;0</formula>
    </cfRule>
    <cfRule type="colorScale" priority="2331">
      <colorScale>
        <cfvo type="min"/>
        <cfvo type="percentile" val="50"/>
        <cfvo type="max"/>
        <color rgb="FFF8696B"/>
        <color rgb="FFFFEB84"/>
        <color rgb="FF63BE7B"/>
      </colorScale>
    </cfRule>
  </conditionalFormatting>
  <conditionalFormatting sqref="E4150:G4151">
    <cfRule type="colorScale" priority="2333">
      <colorScale>
        <cfvo type="min"/>
        <cfvo type="percentile" val="50"/>
        <cfvo type="max"/>
        <color rgb="FFF8696B"/>
        <color rgb="FFFFEB84"/>
        <color rgb="FF63BE7B"/>
      </colorScale>
    </cfRule>
    <cfRule type="notContainsBlanks" dxfId="615" priority="2334">
      <formula>LEN(TRIM(E4150))&gt;0</formula>
    </cfRule>
  </conditionalFormatting>
  <conditionalFormatting sqref="E4155:G4155">
    <cfRule type="colorScale" priority="2335">
      <colorScale>
        <cfvo type="min"/>
        <cfvo type="percentile" val="50"/>
        <cfvo type="max"/>
        <color rgb="FFF8696B"/>
        <color rgb="FFFFEB84"/>
        <color rgb="FF63BE7B"/>
      </colorScale>
    </cfRule>
    <cfRule type="notContainsBlanks" dxfId="614" priority="2336">
      <formula>LEN(TRIM(E4155))&gt;0</formula>
    </cfRule>
  </conditionalFormatting>
  <conditionalFormatting sqref="E4159:G4160">
    <cfRule type="colorScale" priority="2337">
      <colorScale>
        <cfvo type="min"/>
        <cfvo type="percentile" val="50"/>
        <cfvo type="max"/>
        <color rgb="FFF8696B"/>
        <color rgb="FFFFEB84"/>
        <color rgb="FF63BE7B"/>
      </colorScale>
    </cfRule>
    <cfRule type="notContainsBlanks" dxfId="613" priority="2338">
      <formula>LEN(TRIM(E4159))&gt;0</formula>
    </cfRule>
  </conditionalFormatting>
  <conditionalFormatting sqref="E4164:G4164">
    <cfRule type="colorScale" priority="2339">
      <colorScale>
        <cfvo type="min"/>
        <cfvo type="percentile" val="50"/>
        <cfvo type="max"/>
        <color rgb="FFF8696B"/>
        <color rgb="FFFFEB84"/>
        <color rgb="FF63BE7B"/>
      </colorScale>
    </cfRule>
    <cfRule type="notContainsBlanks" dxfId="612" priority="2340">
      <formula>LEN(TRIM(E4164))&gt;0</formula>
    </cfRule>
  </conditionalFormatting>
  <conditionalFormatting sqref="E4168:G4171">
    <cfRule type="colorScale" priority="2341">
      <colorScale>
        <cfvo type="min"/>
        <cfvo type="percentile" val="50"/>
        <cfvo type="max"/>
        <color rgb="FFF8696B"/>
        <color rgb="FFFFEB84"/>
        <color rgb="FF63BE7B"/>
      </colorScale>
    </cfRule>
    <cfRule type="notContainsBlanks" dxfId="611" priority="2342">
      <formula>LEN(TRIM(E4168))&gt;0</formula>
    </cfRule>
  </conditionalFormatting>
  <conditionalFormatting sqref="E4313:G4313">
    <cfRule type="colorScale" priority="2405">
      <colorScale>
        <cfvo type="min"/>
        <cfvo type="percentile" val="50"/>
        <cfvo type="max"/>
        <color rgb="FFF8696B"/>
        <color rgb="FFFFEB84"/>
        <color rgb="FF63BE7B"/>
      </colorScale>
    </cfRule>
    <cfRule type="notContainsBlanks" dxfId="610" priority="2406">
      <formula>LEN(TRIM(E4313))&gt;0</formula>
    </cfRule>
  </conditionalFormatting>
  <conditionalFormatting sqref="E4321:G4321">
    <cfRule type="colorScale" priority="2409">
      <colorScale>
        <cfvo type="min"/>
        <cfvo type="percentile" val="50"/>
        <cfvo type="max"/>
        <color rgb="FFF8696B"/>
        <color rgb="FFFFEB84"/>
        <color rgb="FF63BE7B"/>
      </colorScale>
    </cfRule>
    <cfRule type="notContainsBlanks" dxfId="609" priority="2410">
      <formula>LEN(TRIM(E4321))&gt;0</formula>
    </cfRule>
  </conditionalFormatting>
  <conditionalFormatting sqref="E4325:G4325">
    <cfRule type="colorScale" priority="2411">
      <colorScale>
        <cfvo type="min"/>
        <cfvo type="percentile" val="50"/>
        <cfvo type="max"/>
        <color rgb="FFF8696B"/>
        <color rgb="FFFFEB84"/>
        <color rgb="FF63BE7B"/>
      </colorScale>
    </cfRule>
    <cfRule type="notContainsBlanks" dxfId="608" priority="2412">
      <formula>LEN(TRIM(E4325))&gt;0</formula>
    </cfRule>
  </conditionalFormatting>
  <conditionalFormatting sqref="E4329:G4329">
    <cfRule type="notContainsBlanks" dxfId="607" priority="2414">
      <formula>LEN(TRIM(E4329))&gt;0</formula>
    </cfRule>
    <cfRule type="colorScale" priority="2413">
      <colorScale>
        <cfvo type="min"/>
        <cfvo type="percentile" val="50"/>
        <cfvo type="max"/>
        <color rgb="FFF8696B"/>
        <color rgb="FFFFEB84"/>
        <color rgb="FF63BE7B"/>
      </colorScale>
    </cfRule>
  </conditionalFormatting>
  <conditionalFormatting sqref="E4333:G4333">
    <cfRule type="notContainsBlanks" dxfId="606" priority="2416">
      <formula>LEN(TRIM(E4333))&gt;0</formula>
    </cfRule>
    <cfRule type="colorScale" priority="2415">
      <colorScale>
        <cfvo type="min"/>
        <cfvo type="percentile" val="50"/>
        <cfvo type="max"/>
        <color rgb="FFF8696B"/>
        <color rgb="FFFFEB84"/>
        <color rgb="FF63BE7B"/>
      </colorScale>
    </cfRule>
  </conditionalFormatting>
  <conditionalFormatting sqref="E4337:G4338">
    <cfRule type="colorScale" priority="2417">
      <colorScale>
        <cfvo type="min"/>
        <cfvo type="percentile" val="50"/>
        <cfvo type="max"/>
        <color rgb="FFF8696B"/>
        <color rgb="FFFFEB84"/>
        <color rgb="FF63BE7B"/>
      </colorScale>
    </cfRule>
    <cfRule type="notContainsBlanks" dxfId="605" priority="2418">
      <formula>LEN(TRIM(E4337))&gt;0</formula>
    </cfRule>
  </conditionalFormatting>
  <conditionalFormatting sqref="E4342:G4342">
    <cfRule type="colorScale" priority="2419">
      <colorScale>
        <cfvo type="min"/>
        <cfvo type="percentile" val="50"/>
        <cfvo type="max"/>
        <color rgb="FFF8696B"/>
        <color rgb="FFFFEB84"/>
        <color rgb="FF63BE7B"/>
      </colorScale>
    </cfRule>
    <cfRule type="notContainsBlanks" dxfId="604" priority="2420">
      <formula>LEN(TRIM(E4342))&gt;0</formula>
    </cfRule>
  </conditionalFormatting>
  <conditionalFormatting sqref="E4346:G4347">
    <cfRule type="colorScale" priority="2421">
      <colorScale>
        <cfvo type="min"/>
        <cfvo type="percentile" val="50"/>
        <cfvo type="max"/>
        <color rgb="FFF8696B"/>
        <color rgb="FFFFEB84"/>
        <color rgb="FF63BE7B"/>
      </colorScale>
    </cfRule>
    <cfRule type="notContainsBlanks" dxfId="603" priority="2422">
      <formula>LEN(TRIM(E4346))&gt;0</formula>
    </cfRule>
  </conditionalFormatting>
  <conditionalFormatting sqref="E4351:G4351">
    <cfRule type="colorScale" priority="2423">
      <colorScale>
        <cfvo type="min"/>
        <cfvo type="percentile" val="50"/>
        <cfvo type="max"/>
        <color rgb="FFF8696B"/>
        <color rgb="FFFFEB84"/>
        <color rgb="FF63BE7B"/>
      </colorScale>
    </cfRule>
    <cfRule type="notContainsBlanks" dxfId="602" priority="2424">
      <formula>LEN(TRIM(E4351))&gt;0</formula>
    </cfRule>
  </conditionalFormatting>
  <conditionalFormatting sqref="E4355:G4355">
    <cfRule type="notContainsBlanks" dxfId="601" priority="2426">
      <formula>LEN(TRIM(E4355))&gt;0</formula>
    </cfRule>
    <cfRule type="colorScale" priority="2425">
      <colorScale>
        <cfvo type="min"/>
        <cfvo type="percentile" val="50"/>
        <cfvo type="max"/>
        <color rgb="FFF8696B"/>
        <color rgb="FFFFEB84"/>
        <color rgb="FF63BE7B"/>
      </colorScale>
    </cfRule>
  </conditionalFormatting>
  <conditionalFormatting sqref="E4359:G4359">
    <cfRule type="colorScale" priority="2427">
      <colorScale>
        <cfvo type="min"/>
        <cfvo type="percentile" val="50"/>
        <cfvo type="max"/>
        <color rgb="FFF8696B"/>
        <color rgb="FFFFEB84"/>
        <color rgb="FF63BE7B"/>
      </colorScale>
    </cfRule>
    <cfRule type="notContainsBlanks" dxfId="600" priority="2428">
      <formula>LEN(TRIM(E4359))&gt;0</formula>
    </cfRule>
  </conditionalFormatting>
  <conditionalFormatting sqref="E4363:G4364">
    <cfRule type="notContainsBlanks" dxfId="599" priority="2430">
      <formula>LEN(TRIM(E4363))&gt;0</formula>
    </cfRule>
    <cfRule type="colorScale" priority="2429">
      <colorScale>
        <cfvo type="min"/>
        <cfvo type="percentile" val="50"/>
        <cfvo type="max"/>
        <color rgb="FFF8696B"/>
        <color rgb="FFFFEB84"/>
        <color rgb="FF63BE7B"/>
      </colorScale>
    </cfRule>
  </conditionalFormatting>
  <conditionalFormatting sqref="E4368:G4370">
    <cfRule type="colorScale" priority="2431">
      <colorScale>
        <cfvo type="min"/>
        <cfvo type="percentile" val="50"/>
        <cfvo type="max"/>
        <color rgb="FFF8696B"/>
        <color rgb="FFFFEB84"/>
        <color rgb="FF63BE7B"/>
      </colorScale>
    </cfRule>
    <cfRule type="notContainsBlanks" dxfId="598" priority="2432">
      <formula>LEN(TRIM(E4368))&gt;0</formula>
    </cfRule>
  </conditionalFormatting>
  <conditionalFormatting sqref="E4451:G4451">
    <cfRule type="notContainsBlanks" dxfId="597" priority="2466">
      <formula>LEN(TRIM(E4451))&gt;0</formula>
    </cfRule>
    <cfRule type="colorScale" priority="2465">
      <colorScale>
        <cfvo type="min"/>
        <cfvo type="percentile" val="50"/>
        <cfvo type="max"/>
        <color rgb="FFF8696B"/>
        <color rgb="FFFFEB84"/>
        <color rgb="FF63BE7B"/>
      </colorScale>
    </cfRule>
  </conditionalFormatting>
  <conditionalFormatting sqref="E4459:G4459">
    <cfRule type="colorScale" priority="2469">
      <colorScale>
        <cfvo type="min"/>
        <cfvo type="percentile" val="50"/>
        <cfvo type="max"/>
        <color rgb="FFF8696B"/>
        <color rgb="FFFFEB84"/>
        <color rgb="FF63BE7B"/>
      </colorScale>
    </cfRule>
    <cfRule type="notContainsBlanks" dxfId="596" priority="2470">
      <formula>LEN(TRIM(E4459))&gt;0</formula>
    </cfRule>
  </conditionalFormatting>
  <conditionalFormatting sqref="E4463:G4463">
    <cfRule type="colorScale" priority="2471">
      <colorScale>
        <cfvo type="min"/>
        <cfvo type="percentile" val="50"/>
        <cfvo type="max"/>
        <color rgb="FFF8696B"/>
        <color rgb="FFFFEB84"/>
        <color rgb="FF63BE7B"/>
      </colorScale>
    </cfRule>
    <cfRule type="notContainsBlanks" dxfId="595" priority="2472">
      <formula>LEN(TRIM(E4463))&gt;0</formula>
    </cfRule>
  </conditionalFormatting>
  <conditionalFormatting sqref="E4467:G4467">
    <cfRule type="colorScale" priority="2473">
      <colorScale>
        <cfvo type="min"/>
        <cfvo type="percentile" val="50"/>
        <cfvo type="max"/>
        <color rgb="FFF8696B"/>
        <color rgb="FFFFEB84"/>
        <color rgb="FF63BE7B"/>
      </colorScale>
    </cfRule>
    <cfRule type="notContainsBlanks" dxfId="594" priority="2474">
      <formula>LEN(TRIM(E4467))&gt;0</formula>
    </cfRule>
  </conditionalFormatting>
  <conditionalFormatting sqref="E4471:G4472">
    <cfRule type="colorScale" priority="2475">
      <colorScale>
        <cfvo type="min"/>
        <cfvo type="percentile" val="50"/>
        <cfvo type="max"/>
        <color rgb="FFF8696B"/>
        <color rgb="FFFFEB84"/>
        <color rgb="FF63BE7B"/>
      </colorScale>
    </cfRule>
    <cfRule type="notContainsBlanks" dxfId="593" priority="2476">
      <formula>LEN(TRIM(E4471))&gt;0</formula>
    </cfRule>
  </conditionalFormatting>
  <conditionalFormatting sqref="E4476:G4477">
    <cfRule type="colorScale" priority="2477">
      <colorScale>
        <cfvo type="min"/>
        <cfvo type="percentile" val="50"/>
        <cfvo type="max"/>
        <color rgb="FFF8696B"/>
        <color rgb="FFFFEB84"/>
        <color rgb="FF63BE7B"/>
      </colorScale>
    </cfRule>
    <cfRule type="notContainsBlanks" dxfId="592" priority="2478">
      <formula>LEN(TRIM(E4476))&gt;0</formula>
    </cfRule>
  </conditionalFormatting>
  <conditionalFormatting sqref="E4481:G4482">
    <cfRule type="colorScale" priority="2479">
      <colorScale>
        <cfvo type="min"/>
        <cfvo type="percentile" val="50"/>
        <cfvo type="max"/>
        <color rgb="FFF8696B"/>
        <color rgb="FFFFEB84"/>
        <color rgb="FF63BE7B"/>
      </colorScale>
    </cfRule>
    <cfRule type="notContainsBlanks" dxfId="591" priority="2480">
      <formula>LEN(TRIM(E4481))&gt;0</formula>
    </cfRule>
  </conditionalFormatting>
  <conditionalFormatting sqref="E4486:G4487">
    <cfRule type="colorScale" priority="2481">
      <colorScale>
        <cfvo type="min"/>
        <cfvo type="percentile" val="50"/>
        <cfvo type="max"/>
        <color rgb="FFF8696B"/>
        <color rgb="FFFFEB84"/>
        <color rgb="FF63BE7B"/>
      </colorScale>
    </cfRule>
    <cfRule type="notContainsBlanks" dxfId="590" priority="2482">
      <formula>LEN(TRIM(E4486))&gt;0</formula>
    </cfRule>
  </conditionalFormatting>
  <conditionalFormatting sqref="E4491:G4492">
    <cfRule type="colorScale" priority="2483">
      <colorScale>
        <cfvo type="min"/>
        <cfvo type="percentile" val="50"/>
        <cfvo type="max"/>
        <color rgb="FFF8696B"/>
        <color rgb="FFFFEB84"/>
        <color rgb="FF63BE7B"/>
      </colorScale>
    </cfRule>
    <cfRule type="notContainsBlanks" dxfId="589" priority="2484">
      <formula>LEN(TRIM(E4491))&gt;0</formula>
    </cfRule>
  </conditionalFormatting>
  <conditionalFormatting sqref="E4496:G4496">
    <cfRule type="colorScale" priority="2485">
      <colorScale>
        <cfvo type="min"/>
        <cfvo type="percentile" val="50"/>
        <cfvo type="max"/>
        <color rgb="FFF8696B"/>
        <color rgb="FFFFEB84"/>
        <color rgb="FF63BE7B"/>
      </colorScale>
    </cfRule>
    <cfRule type="notContainsBlanks" dxfId="588" priority="2486">
      <formula>LEN(TRIM(E4496))&gt;0</formula>
    </cfRule>
  </conditionalFormatting>
  <conditionalFormatting sqref="E4500:G4501">
    <cfRule type="notContainsBlanks" dxfId="587" priority="2488">
      <formula>LEN(TRIM(E4500))&gt;0</formula>
    </cfRule>
    <cfRule type="colorScale" priority="2487">
      <colorScale>
        <cfvo type="min"/>
        <cfvo type="percentile" val="50"/>
        <cfvo type="max"/>
        <color rgb="FFF8696B"/>
        <color rgb="FFFFEB84"/>
        <color rgb="FF63BE7B"/>
      </colorScale>
    </cfRule>
  </conditionalFormatting>
  <conditionalFormatting sqref="E4505:G4505">
    <cfRule type="colorScale" priority="2489">
      <colorScale>
        <cfvo type="min"/>
        <cfvo type="percentile" val="50"/>
        <cfvo type="max"/>
        <color rgb="FFF8696B"/>
        <color rgb="FFFFEB84"/>
        <color rgb="FF63BE7B"/>
      </colorScale>
    </cfRule>
    <cfRule type="notContainsBlanks" dxfId="586" priority="2490">
      <formula>LEN(TRIM(E4505))&gt;0</formula>
    </cfRule>
  </conditionalFormatting>
  <conditionalFormatting sqref="E4509:G4512">
    <cfRule type="colorScale" priority="2491">
      <colorScale>
        <cfvo type="min"/>
        <cfvo type="percentile" val="50"/>
        <cfvo type="max"/>
        <color rgb="FFF8696B"/>
        <color rgb="FFFFEB84"/>
        <color rgb="FF63BE7B"/>
      </colorScale>
    </cfRule>
    <cfRule type="notContainsBlanks" dxfId="585" priority="2492">
      <formula>LEN(TRIM(E4509))&gt;0</formula>
    </cfRule>
  </conditionalFormatting>
  <conditionalFormatting sqref="E4520:G4520">
    <cfRule type="colorScale" priority="2495">
      <colorScale>
        <cfvo type="min"/>
        <cfvo type="percentile" val="50"/>
        <cfvo type="max"/>
        <color rgb="FFF8696B"/>
        <color rgb="FFFFEB84"/>
        <color rgb="FF63BE7B"/>
      </colorScale>
    </cfRule>
    <cfRule type="notContainsBlanks" dxfId="584" priority="2496">
      <formula>LEN(TRIM(E4520))&gt;0</formula>
    </cfRule>
  </conditionalFormatting>
  <conditionalFormatting sqref="E4528:G4528">
    <cfRule type="colorScale" priority="2499">
      <colorScale>
        <cfvo type="min"/>
        <cfvo type="percentile" val="50"/>
        <cfvo type="max"/>
        <color rgb="FFF8696B"/>
        <color rgb="FFFFEB84"/>
        <color rgb="FF63BE7B"/>
      </colorScale>
    </cfRule>
    <cfRule type="notContainsBlanks" dxfId="583" priority="2500">
      <formula>LEN(TRIM(E4528))&gt;0</formula>
    </cfRule>
  </conditionalFormatting>
  <conditionalFormatting sqref="E4532:G4532">
    <cfRule type="notContainsBlanks" dxfId="582" priority="2502">
      <formula>LEN(TRIM(E4532))&gt;0</formula>
    </cfRule>
    <cfRule type="colorScale" priority="2501">
      <colorScale>
        <cfvo type="min"/>
        <cfvo type="percentile" val="50"/>
        <cfvo type="max"/>
        <color rgb="FFF8696B"/>
        <color rgb="FFFFEB84"/>
        <color rgb="FF63BE7B"/>
      </colorScale>
    </cfRule>
  </conditionalFormatting>
  <conditionalFormatting sqref="E4536:G4536">
    <cfRule type="notContainsBlanks" dxfId="581" priority="2504">
      <formula>LEN(TRIM(E4536))&gt;0</formula>
    </cfRule>
    <cfRule type="colorScale" priority="2503">
      <colorScale>
        <cfvo type="min"/>
        <cfvo type="percentile" val="50"/>
        <cfvo type="max"/>
        <color rgb="FFF8696B"/>
        <color rgb="FFFFEB84"/>
        <color rgb="FF63BE7B"/>
      </colorScale>
    </cfRule>
  </conditionalFormatting>
  <conditionalFormatting sqref="E4540:G4540">
    <cfRule type="notContainsBlanks" dxfId="580" priority="2506">
      <formula>LEN(TRIM(E4540))&gt;0</formula>
    </cfRule>
    <cfRule type="colorScale" priority="2505">
      <colorScale>
        <cfvo type="min"/>
        <cfvo type="percentile" val="50"/>
        <cfvo type="max"/>
        <color rgb="FFF8696B"/>
        <color rgb="FFFFEB84"/>
        <color rgb="FF63BE7B"/>
      </colorScale>
    </cfRule>
  </conditionalFormatting>
  <conditionalFormatting sqref="E4544:G4545">
    <cfRule type="notContainsBlanks" dxfId="579" priority="2508">
      <formula>LEN(TRIM(E4544))&gt;0</formula>
    </cfRule>
    <cfRule type="colorScale" priority="2507">
      <colorScale>
        <cfvo type="min"/>
        <cfvo type="percentile" val="50"/>
        <cfvo type="max"/>
        <color rgb="FFF8696B"/>
        <color rgb="FFFFEB84"/>
        <color rgb="FF63BE7B"/>
      </colorScale>
    </cfRule>
  </conditionalFormatting>
  <conditionalFormatting sqref="E4549:G4549">
    <cfRule type="notContainsBlanks" dxfId="578" priority="2510">
      <formula>LEN(TRIM(E4549))&gt;0</formula>
    </cfRule>
    <cfRule type="colorScale" priority="2509">
      <colorScale>
        <cfvo type="min"/>
        <cfvo type="percentile" val="50"/>
        <cfvo type="max"/>
        <color rgb="FFF8696B"/>
        <color rgb="FFFFEB84"/>
        <color rgb="FF63BE7B"/>
      </colorScale>
    </cfRule>
  </conditionalFormatting>
  <conditionalFormatting sqref="E4553:G4554">
    <cfRule type="colorScale" priority="2511">
      <colorScale>
        <cfvo type="min"/>
        <cfvo type="percentile" val="50"/>
        <cfvo type="max"/>
        <color rgb="FFF8696B"/>
        <color rgb="FFFFEB84"/>
        <color rgb="FF63BE7B"/>
      </colorScale>
    </cfRule>
    <cfRule type="notContainsBlanks" dxfId="577" priority="2512">
      <formula>LEN(TRIM(E4553))&gt;0</formula>
    </cfRule>
  </conditionalFormatting>
  <conditionalFormatting sqref="E4558:G4558">
    <cfRule type="colorScale" priority="2513">
      <colorScale>
        <cfvo type="min"/>
        <cfvo type="percentile" val="50"/>
        <cfvo type="max"/>
        <color rgb="FFF8696B"/>
        <color rgb="FFFFEB84"/>
        <color rgb="FF63BE7B"/>
      </colorScale>
    </cfRule>
    <cfRule type="notContainsBlanks" dxfId="576" priority="2514">
      <formula>LEN(TRIM(E4558))&gt;0</formula>
    </cfRule>
  </conditionalFormatting>
  <conditionalFormatting sqref="E4562:G4562">
    <cfRule type="colorScale" priority="2515">
      <colorScale>
        <cfvo type="min"/>
        <cfvo type="percentile" val="50"/>
        <cfvo type="max"/>
        <color rgb="FFF8696B"/>
        <color rgb="FFFFEB84"/>
        <color rgb="FF63BE7B"/>
      </colorScale>
    </cfRule>
    <cfRule type="notContainsBlanks" dxfId="575" priority="2516">
      <formula>LEN(TRIM(E4562))&gt;0</formula>
    </cfRule>
  </conditionalFormatting>
  <conditionalFormatting sqref="E4566:G4567">
    <cfRule type="colorScale" priority="2517">
      <colorScale>
        <cfvo type="min"/>
        <cfvo type="percentile" val="50"/>
        <cfvo type="max"/>
        <color rgb="FFF8696B"/>
        <color rgb="FFFFEB84"/>
        <color rgb="FF63BE7B"/>
      </colorScale>
    </cfRule>
    <cfRule type="notContainsBlanks" dxfId="574" priority="2518">
      <formula>LEN(TRIM(E4566))&gt;0</formula>
    </cfRule>
  </conditionalFormatting>
  <conditionalFormatting sqref="E4571:G4572">
    <cfRule type="colorScale" priority="2519">
      <colorScale>
        <cfvo type="min"/>
        <cfvo type="percentile" val="50"/>
        <cfvo type="max"/>
        <color rgb="FFF8696B"/>
        <color rgb="FFFFEB84"/>
        <color rgb="FF63BE7B"/>
      </colorScale>
    </cfRule>
    <cfRule type="notContainsBlanks" dxfId="573" priority="2520">
      <formula>LEN(TRIM(E4571))&gt;0</formula>
    </cfRule>
  </conditionalFormatting>
  <conditionalFormatting sqref="E4576:G4578">
    <cfRule type="notContainsBlanks" dxfId="572" priority="2522">
      <formula>LEN(TRIM(E4576))&gt;0</formula>
    </cfRule>
    <cfRule type="colorScale" priority="2521">
      <colorScale>
        <cfvo type="min"/>
        <cfvo type="percentile" val="50"/>
        <cfvo type="max"/>
        <color rgb="FFF8696B"/>
        <color rgb="FFFFEB84"/>
        <color rgb="FF63BE7B"/>
      </colorScale>
    </cfRule>
  </conditionalFormatting>
  <conditionalFormatting sqref="E4656:G4656">
    <cfRule type="colorScale" priority="2555">
      <colorScale>
        <cfvo type="min"/>
        <cfvo type="percentile" val="50"/>
        <cfvo type="max"/>
        <color rgb="FFF8696B"/>
        <color rgb="FFFFEB84"/>
        <color rgb="FF63BE7B"/>
      </colorScale>
    </cfRule>
    <cfRule type="notContainsBlanks" dxfId="571" priority="2556">
      <formula>LEN(TRIM(E4656))&gt;0</formula>
    </cfRule>
  </conditionalFormatting>
  <conditionalFormatting sqref="E4664:G4665">
    <cfRule type="notContainsBlanks" dxfId="570" priority="2560">
      <formula>LEN(TRIM(E4664))&gt;0</formula>
    </cfRule>
    <cfRule type="colorScale" priority="2559">
      <colorScale>
        <cfvo type="min"/>
        <cfvo type="percentile" val="50"/>
        <cfvo type="max"/>
        <color rgb="FFF8696B"/>
        <color rgb="FFFFEB84"/>
        <color rgb="FF63BE7B"/>
      </colorScale>
    </cfRule>
  </conditionalFormatting>
  <conditionalFormatting sqref="E4669:G4669">
    <cfRule type="notContainsBlanks" dxfId="569" priority="2562">
      <formula>LEN(TRIM(E4669))&gt;0</formula>
    </cfRule>
    <cfRule type="colorScale" priority="2561">
      <colorScale>
        <cfvo type="min"/>
        <cfvo type="percentile" val="50"/>
        <cfvo type="max"/>
        <color rgb="FFF8696B"/>
        <color rgb="FFFFEB84"/>
        <color rgb="FF63BE7B"/>
      </colorScale>
    </cfRule>
  </conditionalFormatting>
  <conditionalFormatting sqref="E4673:G4674">
    <cfRule type="colorScale" priority="2563">
      <colorScale>
        <cfvo type="min"/>
        <cfvo type="percentile" val="50"/>
        <cfvo type="max"/>
        <color rgb="FFF8696B"/>
        <color rgb="FFFFEB84"/>
        <color rgb="FF63BE7B"/>
      </colorScale>
    </cfRule>
    <cfRule type="notContainsBlanks" dxfId="568" priority="2564">
      <formula>LEN(TRIM(E4673))&gt;0</formula>
    </cfRule>
  </conditionalFormatting>
  <conditionalFormatting sqref="E4678:G4679">
    <cfRule type="colorScale" priority="2565">
      <colorScale>
        <cfvo type="min"/>
        <cfvo type="percentile" val="50"/>
        <cfvo type="max"/>
        <color rgb="FFF8696B"/>
        <color rgb="FFFFEB84"/>
        <color rgb="FF63BE7B"/>
      </colorScale>
    </cfRule>
    <cfRule type="notContainsBlanks" dxfId="567" priority="2566">
      <formula>LEN(TRIM(E4678))&gt;0</formula>
    </cfRule>
  </conditionalFormatting>
  <conditionalFormatting sqref="E4683:G4684">
    <cfRule type="notContainsBlanks" dxfId="566" priority="2568">
      <formula>LEN(TRIM(E4683))&gt;0</formula>
    </cfRule>
    <cfRule type="colorScale" priority="2567">
      <colorScale>
        <cfvo type="min"/>
        <cfvo type="percentile" val="50"/>
        <cfvo type="max"/>
        <color rgb="FFF8696B"/>
        <color rgb="FFFFEB84"/>
        <color rgb="FF63BE7B"/>
      </colorScale>
    </cfRule>
  </conditionalFormatting>
  <conditionalFormatting sqref="E4688:G4689">
    <cfRule type="notContainsBlanks" dxfId="565" priority="2570">
      <formula>LEN(TRIM(E4688))&gt;0</formula>
    </cfRule>
    <cfRule type="colorScale" priority="2569">
      <colorScale>
        <cfvo type="min"/>
        <cfvo type="percentile" val="50"/>
        <cfvo type="max"/>
        <color rgb="FFF8696B"/>
        <color rgb="FFFFEB84"/>
        <color rgb="FF63BE7B"/>
      </colorScale>
    </cfRule>
  </conditionalFormatting>
  <conditionalFormatting sqref="E4693:G4694">
    <cfRule type="colorScale" priority="2571">
      <colorScale>
        <cfvo type="min"/>
        <cfvo type="percentile" val="50"/>
        <cfvo type="max"/>
        <color rgb="FFF8696B"/>
        <color rgb="FFFFEB84"/>
        <color rgb="FF63BE7B"/>
      </colorScale>
    </cfRule>
    <cfRule type="notContainsBlanks" dxfId="564" priority="2572">
      <formula>LEN(TRIM(E4693))&gt;0</formula>
    </cfRule>
  </conditionalFormatting>
  <conditionalFormatting sqref="E4698:G4699">
    <cfRule type="colorScale" priority="2573">
      <colorScale>
        <cfvo type="min"/>
        <cfvo type="percentile" val="50"/>
        <cfvo type="max"/>
        <color rgb="FFF8696B"/>
        <color rgb="FFFFEB84"/>
        <color rgb="FF63BE7B"/>
      </colorScale>
    </cfRule>
    <cfRule type="notContainsBlanks" dxfId="563" priority="2574">
      <formula>LEN(TRIM(E4698))&gt;0</formula>
    </cfRule>
  </conditionalFormatting>
  <conditionalFormatting sqref="E4703:G4703">
    <cfRule type="notContainsBlanks" dxfId="562" priority="2576">
      <formula>LEN(TRIM(E4703))&gt;0</formula>
    </cfRule>
    <cfRule type="colorScale" priority="2575">
      <colorScale>
        <cfvo type="min"/>
        <cfvo type="percentile" val="50"/>
        <cfvo type="max"/>
        <color rgb="FFF8696B"/>
        <color rgb="FFFFEB84"/>
        <color rgb="FF63BE7B"/>
      </colorScale>
    </cfRule>
  </conditionalFormatting>
  <conditionalFormatting sqref="E4707:G4708">
    <cfRule type="colorScale" priority="2577">
      <colorScale>
        <cfvo type="min"/>
        <cfvo type="percentile" val="50"/>
        <cfvo type="max"/>
        <color rgb="FFF8696B"/>
        <color rgb="FFFFEB84"/>
        <color rgb="FF63BE7B"/>
      </colorScale>
    </cfRule>
    <cfRule type="notContainsBlanks" dxfId="561" priority="2578">
      <formula>LEN(TRIM(E4707))&gt;0</formula>
    </cfRule>
  </conditionalFormatting>
  <conditionalFormatting sqref="E4712:G4713">
    <cfRule type="colorScale" priority="2579">
      <colorScale>
        <cfvo type="min"/>
        <cfvo type="percentile" val="50"/>
        <cfvo type="max"/>
        <color rgb="FFF8696B"/>
        <color rgb="FFFFEB84"/>
        <color rgb="FF63BE7B"/>
      </colorScale>
    </cfRule>
    <cfRule type="notContainsBlanks" dxfId="560" priority="2580">
      <formula>LEN(TRIM(E4712))&gt;0</formula>
    </cfRule>
  </conditionalFormatting>
  <conditionalFormatting sqref="E4717:G4720">
    <cfRule type="notContainsBlanks" dxfId="559" priority="2582">
      <formula>LEN(TRIM(E4717))&gt;0</formula>
    </cfRule>
    <cfRule type="colorScale" priority="2581">
      <colorScale>
        <cfvo type="min"/>
        <cfvo type="percentile" val="50"/>
        <cfvo type="max"/>
        <color rgb="FFF8696B"/>
        <color rgb="FFFFEB84"/>
        <color rgb="FF63BE7B"/>
      </colorScale>
    </cfRule>
  </conditionalFormatting>
  <conditionalFormatting sqref="E4728:G4728">
    <cfRule type="notContainsBlanks" dxfId="558" priority="2586">
      <formula>LEN(TRIM(E4728))&gt;0</formula>
    </cfRule>
    <cfRule type="colorScale" priority="2585">
      <colorScale>
        <cfvo type="min"/>
        <cfvo type="percentile" val="50"/>
        <cfvo type="max"/>
        <color rgb="FFF8696B"/>
        <color rgb="FFFFEB84"/>
        <color rgb="FF63BE7B"/>
      </colorScale>
    </cfRule>
  </conditionalFormatting>
  <conditionalFormatting sqref="E4736:G4736">
    <cfRule type="notContainsBlanks" dxfId="557" priority="2590">
      <formula>LEN(TRIM(E4736))&gt;0</formula>
    </cfRule>
    <cfRule type="colorScale" priority="2589">
      <colorScale>
        <cfvo type="min"/>
        <cfvo type="percentile" val="50"/>
        <cfvo type="max"/>
        <color rgb="FFF8696B"/>
        <color rgb="FFFFEB84"/>
        <color rgb="FF63BE7B"/>
      </colorScale>
    </cfRule>
  </conditionalFormatting>
  <conditionalFormatting sqref="E4740:G4740">
    <cfRule type="colorScale" priority="2591">
      <colorScale>
        <cfvo type="min"/>
        <cfvo type="percentile" val="50"/>
        <cfvo type="max"/>
        <color rgb="FFF8696B"/>
        <color rgb="FFFFEB84"/>
        <color rgb="FF63BE7B"/>
      </colorScale>
    </cfRule>
    <cfRule type="notContainsBlanks" dxfId="556" priority="2592">
      <formula>LEN(TRIM(E4740))&gt;0</formula>
    </cfRule>
  </conditionalFormatting>
  <conditionalFormatting sqref="E4744:G4745">
    <cfRule type="notContainsBlanks" dxfId="555" priority="2594">
      <formula>LEN(TRIM(E4744))&gt;0</formula>
    </cfRule>
    <cfRule type="colorScale" priority="2593">
      <colorScale>
        <cfvo type="min"/>
        <cfvo type="percentile" val="50"/>
        <cfvo type="max"/>
        <color rgb="FFF8696B"/>
        <color rgb="FFFFEB84"/>
        <color rgb="FF63BE7B"/>
      </colorScale>
    </cfRule>
  </conditionalFormatting>
  <conditionalFormatting sqref="E4749:G4749">
    <cfRule type="notContainsBlanks" dxfId="554" priority="2596">
      <formula>LEN(TRIM(E4749))&gt;0</formula>
    </cfRule>
    <cfRule type="colorScale" priority="2595">
      <colorScale>
        <cfvo type="min"/>
        <cfvo type="percentile" val="50"/>
        <cfvo type="max"/>
        <color rgb="FFF8696B"/>
        <color rgb="FFFFEB84"/>
        <color rgb="FF63BE7B"/>
      </colorScale>
    </cfRule>
  </conditionalFormatting>
  <conditionalFormatting sqref="E4753:G4754">
    <cfRule type="notContainsBlanks" dxfId="553" priority="2598">
      <formula>LEN(TRIM(E4753))&gt;0</formula>
    </cfRule>
    <cfRule type="colorScale" priority="2597">
      <colorScale>
        <cfvo type="min"/>
        <cfvo type="percentile" val="50"/>
        <cfvo type="max"/>
        <color rgb="FFF8696B"/>
        <color rgb="FFFFEB84"/>
        <color rgb="FF63BE7B"/>
      </colorScale>
    </cfRule>
  </conditionalFormatting>
  <conditionalFormatting sqref="E4758:G4759">
    <cfRule type="colorScale" priority="2599">
      <colorScale>
        <cfvo type="min"/>
        <cfvo type="percentile" val="50"/>
        <cfvo type="max"/>
        <color rgb="FFF8696B"/>
        <color rgb="FFFFEB84"/>
        <color rgb="FF63BE7B"/>
      </colorScale>
    </cfRule>
    <cfRule type="notContainsBlanks" dxfId="552" priority="2600">
      <formula>LEN(TRIM(E4758))&gt;0</formula>
    </cfRule>
  </conditionalFormatting>
  <conditionalFormatting sqref="E4763:G4764">
    <cfRule type="notContainsBlanks" dxfId="551" priority="2602">
      <formula>LEN(TRIM(E4763))&gt;0</formula>
    </cfRule>
    <cfRule type="colorScale" priority="2601">
      <colorScale>
        <cfvo type="min"/>
        <cfvo type="percentile" val="50"/>
        <cfvo type="max"/>
        <color rgb="FFF8696B"/>
        <color rgb="FFFFEB84"/>
        <color rgb="FF63BE7B"/>
      </colorScale>
    </cfRule>
  </conditionalFormatting>
  <conditionalFormatting sqref="E4768:G4769">
    <cfRule type="colorScale" priority="2603">
      <colorScale>
        <cfvo type="min"/>
        <cfvo type="percentile" val="50"/>
        <cfvo type="max"/>
        <color rgb="FFF8696B"/>
        <color rgb="FFFFEB84"/>
        <color rgb="FF63BE7B"/>
      </colorScale>
    </cfRule>
    <cfRule type="notContainsBlanks" dxfId="550" priority="2604">
      <formula>LEN(TRIM(E4768))&gt;0</formula>
    </cfRule>
  </conditionalFormatting>
  <conditionalFormatting sqref="E4773:G4773">
    <cfRule type="colorScale" priority="2605">
      <colorScale>
        <cfvo type="min"/>
        <cfvo type="percentile" val="50"/>
        <cfvo type="max"/>
        <color rgb="FFF8696B"/>
        <color rgb="FFFFEB84"/>
        <color rgb="FF63BE7B"/>
      </colorScale>
    </cfRule>
    <cfRule type="notContainsBlanks" dxfId="549" priority="2606">
      <formula>LEN(TRIM(E4773))&gt;0</formula>
    </cfRule>
  </conditionalFormatting>
  <conditionalFormatting sqref="E4777:G4778">
    <cfRule type="notContainsBlanks" dxfId="548" priority="2608">
      <formula>LEN(TRIM(E4777))&gt;0</formula>
    </cfRule>
    <cfRule type="colorScale" priority="2607">
      <colorScale>
        <cfvo type="min"/>
        <cfvo type="percentile" val="50"/>
        <cfvo type="max"/>
        <color rgb="FFF8696B"/>
        <color rgb="FFFFEB84"/>
        <color rgb="FF63BE7B"/>
      </colorScale>
    </cfRule>
  </conditionalFormatting>
  <conditionalFormatting sqref="E4782:G4783">
    <cfRule type="colorScale" priority="2609">
      <colorScale>
        <cfvo type="min"/>
        <cfvo type="percentile" val="50"/>
        <cfvo type="max"/>
        <color rgb="FFF8696B"/>
        <color rgb="FFFFEB84"/>
        <color rgb="FF63BE7B"/>
      </colorScale>
    </cfRule>
    <cfRule type="notContainsBlanks" dxfId="547" priority="2610">
      <formula>LEN(TRIM(E4782))&gt;0</formula>
    </cfRule>
  </conditionalFormatting>
  <conditionalFormatting sqref="E4787:G4790">
    <cfRule type="notContainsBlanks" dxfId="546" priority="2612">
      <formula>LEN(TRIM(E4787))&gt;0</formula>
    </cfRule>
    <cfRule type="colorScale" priority="2611">
      <colorScale>
        <cfvo type="min"/>
        <cfvo type="percentile" val="50"/>
        <cfvo type="max"/>
        <color rgb="FFF8696B"/>
        <color rgb="FFFFEB84"/>
        <color rgb="FF63BE7B"/>
      </colorScale>
    </cfRule>
  </conditionalFormatting>
  <conditionalFormatting sqref="E1414:H1415">
    <cfRule type="colorScale" priority="944">
      <colorScale>
        <cfvo type="min"/>
        <cfvo type="percentile" val="50"/>
        <cfvo type="max"/>
        <color rgb="FFF8696B"/>
        <color rgb="FFFFEB84"/>
        <color rgb="FF63BE7B"/>
      </colorScale>
    </cfRule>
    <cfRule type="notContainsBlanks" dxfId="545" priority="945">
      <formula>LEN(TRIM(E1414))&gt;0</formula>
    </cfRule>
  </conditionalFormatting>
  <conditionalFormatting sqref="E1423:H1424">
    <cfRule type="notContainsBlanks" dxfId="544" priority="949">
      <formula>LEN(TRIM(E1423))&gt;0</formula>
    </cfRule>
    <cfRule type="colorScale" priority="948">
      <colorScale>
        <cfvo type="min"/>
        <cfvo type="percentile" val="50"/>
        <cfvo type="max"/>
        <color rgb="FFF8696B"/>
        <color rgb="FFFFEB84"/>
        <color rgb="FF63BE7B"/>
      </colorScale>
    </cfRule>
  </conditionalFormatting>
  <conditionalFormatting sqref="E1428:H1429">
    <cfRule type="colorScale" priority="950">
      <colorScale>
        <cfvo type="min"/>
        <cfvo type="percentile" val="50"/>
        <cfvo type="max"/>
        <color rgb="FFF8696B"/>
        <color rgb="FFFFEB84"/>
        <color rgb="FF63BE7B"/>
      </colorScale>
    </cfRule>
    <cfRule type="notContainsBlanks" dxfId="543" priority="951">
      <formula>LEN(TRIM(E1428))&gt;0</formula>
    </cfRule>
  </conditionalFormatting>
  <conditionalFormatting sqref="E1433:H1434">
    <cfRule type="notContainsBlanks" dxfId="542" priority="953">
      <formula>LEN(TRIM(E1433))&gt;0</formula>
    </cfRule>
    <cfRule type="colorScale" priority="952">
      <colorScale>
        <cfvo type="min"/>
        <cfvo type="percentile" val="50"/>
        <cfvo type="max"/>
        <color rgb="FFF8696B"/>
        <color rgb="FFFFEB84"/>
        <color rgb="FF63BE7B"/>
      </colorScale>
    </cfRule>
  </conditionalFormatting>
  <conditionalFormatting sqref="E1438:H1439">
    <cfRule type="notContainsBlanks" dxfId="541" priority="955">
      <formula>LEN(TRIM(E1438))&gt;0</formula>
    </cfRule>
    <cfRule type="colorScale" priority="954">
      <colorScale>
        <cfvo type="min"/>
        <cfvo type="percentile" val="50"/>
        <cfvo type="max"/>
        <color rgb="FFF8696B"/>
        <color rgb="FFFFEB84"/>
        <color rgb="FF63BE7B"/>
      </colorScale>
    </cfRule>
  </conditionalFormatting>
  <conditionalFormatting sqref="E1443:H1444">
    <cfRule type="notContainsBlanks" dxfId="540" priority="957">
      <formula>LEN(TRIM(E1443))&gt;0</formula>
    </cfRule>
    <cfRule type="colorScale" priority="956">
      <colorScale>
        <cfvo type="min"/>
        <cfvo type="percentile" val="50"/>
        <cfvo type="max"/>
        <color rgb="FFF8696B"/>
        <color rgb="FFFFEB84"/>
        <color rgb="FF63BE7B"/>
      </colorScale>
    </cfRule>
  </conditionalFormatting>
  <conditionalFormatting sqref="E1448:H1449">
    <cfRule type="notContainsBlanks" dxfId="539" priority="959">
      <formula>LEN(TRIM(E1448))&gt;0</formula>
    </cfRule>
    <cfRule type="colorScale" priority="958">
      <colorScale>
        <cfvo type="min"/>
        <cfvo type="percentile" val="50"/>
        <cfvo type="max"/>
        <color rgb="FFF8696B"/>
        <color rgb="FFFFEB84"/>
        <color rgb="FF63BE7B"/>
      </colorScale>
    </cfRule>
  </conditionalFormatting>
  <conditionalFormatting sqref="E1453:H1454">
    <cfRule type="notContainsBlanks" dxfId="538" priority="961">
      <formula>LEN(TRIM(E1453))&gt;0</formula>
    </cfRule>
    <cfRule type="colorScale" priority="960">
      <colorScale>
        <cfvo type="min"/>
        <cfvo type="percentile" val="50"/>
        <cfvo type="max"/>
        <color rgb="FFF8696B"/>
        <color rgb="FFFFEB84"/>
        <color rgb="FF63BE7B"/>
      </colorScale>
    </cfRule>
  </conditionalFormatting>
  <conditionalFormatting sqref="E1458:H1459">
    <cfRule type="notContainsBlanks" dxfId="537" priority="963">
      <formula>LEN(TRIM(E1458))&gt;0</formula>
    </cfRule>
    <cfRule type="colorScale" priority="962">
      <colorScale>
        <cfvo type="min"/>
        <cfvo type="percentile" val="50"/>
        <cfvo type="max"/>
        <color rgb="FFF8696B"/>
        <color rgb="FFFFEB84"/>
        <color rgb="FF63BE7B"/>
      </colorScale>
    </cfRule>
  </conditionalFormatting>
  <conditionalFormatting sqref="E1463:H1463">
    <cfRule type="colorScale" priority="964">
      <colorScale>
        <cfvo type="min"/>
        <cfvo type="percentile" val="50"/>
        <cfvo type="max"/>
        <color rgb="FFF8696B"/>
        <color rgb="FFFFEB84"/>
        <color rgb="FF63BE7B"/>
      </colorScale>
    </cfRule>
    <cfRule type="notContainsBlanks" dxfId="536" priority="965">
      <formula>LEN(TRIM(E1463))&gt;0</formula>
    </cfRule>
  </conditionalFormatting>
  <conditionalFormatting sqref="E1467:H1468">
    <cfRule type="colorScale" priority="966">
      <colorScale>
        <cfvo type="min"/>
        <cfvo type="percentile" val="50"/>
        <cfvo type="max"/>
        <color rgb="FFF8696B"/>
        <color rgb="FFFFEB84"/>
        <color rgb="FF63BE7B"/>
      </colorScale>
    </cfRule>
    <cfRule type="notContainsBlanks" dxfId="535" priority="967">
      <formula>LEN(TRIM(E1467))&gt;0</formula>
    </cfRule>
  </conditionalFormatting>
  <conditionalFormatting sqref="E1472:H1473">
    <cfRule type="colorScale" priority="968">
      <colorScale>
        <cfvo type="min"/>
        <cfvo type="percentile" val="50"/>
        <cfvo type="max"/>
        <color rgb="FFF8696B"/>
        <color rgb="FFFFEB84"/>
        <color rgb="FF63BE7B"/>
      </colorScale>
    </cfRule>
    <cfRule type="notContainsBlanks" dxfId="534" priority="969">
      <formula>LEN(TRIM(E1472))&gt;0</formula>
    </cfRule>
  </conditionalFormatting>
  <conditionalFormatting sqref="E1477:H1480">
    <cfRule type="colorScale" priority="970">
      <colorScale>
        <cfvo type="min"/>
        <cfvo type="percentile" val="50"/>
        <cfvo type="max"/>
        <color rgb="FFF8696B"/>
        <color rgb="FFFFEB84"/>
        <color rgb="FF63BE7B"/>
      </colorScale>
    </cfRule>
    <cfRule type="notContainsBlanks" dxfId="533" priority="971">
      <formula>LEN(TRIM(E1477))&gt;0</formula>
    </cfRule>
  </conditionalFormatting>
  <conditionalFormatting sqref="E1562:H1563">
    <cfRule type="colorScale" priority="1049">
      <colorScale>
        <cfvo type="min"/>
        <cfvo type="percentile" val="50"/>
        <cfvo type="max"/>
        <color rgb="FFF8696B"/>
        <color rgb="FFFFEB84"/>
        <color rgb="FF63BE7B"/>
      </colorScale>
    </cfRule>
    <cfRule type="notContainsBlanks" dxfId="532" priority="1050">
      <formula>LEN(TRIM(E1562))&gt;0</formula>
    </cfRule>
  </conditionalFormatting>
  <conditionalFormatting sqref="E1571:H1572">
    <cfRule type="notContainsBlanks" dxfId="531" priority="1054">
      <formula>LEN(TRIM(E1571))&gt;0</formula>
    </cfRule>
    <cfRule type="colorScale" priority="1053">
      <colorScale>
        <cfvo type="min"/>
        <cfvo type="percentile" val="50"/>
        <cfvo type="max"/>
        <color rgb="FFF8696B"/>
        <color rgb="FFFFEB84"/>
        <color rgb="FF63BE7B"/>
      </colorScale>
    </cfRule>
  </conditionalFormatting>
  <conditionalFormatting sqref="E1576:H1577">
    <cfRule type="notContainsBlanks" dxfId="530" priority="1056">
      <formula>LEN(TRIM(E1576))&gt;0</formula>
    </cfRule>
    <cfRule type="colorScale" priority="1055">
      <colorScale>
        <cfvo type="min"/>
        <cfvo type="percentile" val="50"/>
        <cfvo type="max"/>
        <color rgb="FFF8696B"/>
        <color rgb="FFFFEB84"/>
        <color rgb="FF63BE7B"/>
      </colorScale>
    </cfRule>
  </conditionalFormatting>
  <conditionalFormatting sqref="E1581:H1582">
    <cfRule type="notContainsBlanks" dxfId="529" priority="1058">
      <formula>LEN(TRIM(E1581))&gt;0</formula>
    </cfRule>
    <cfRule type="colorScale" priority="1057">
      <colorScale>
        <cfvo type="min"/>
        <cfvo type="percentile" val="50"/>
        <cfvo type="max"/>
        <color rgb="FFF8696B"/>
        <color rgb="FFFFEB84"/>
        <color rgb="FF63BE7B"/>
      </colorScale>
    </cfRule>
  </conditionalFormatting>
  <conditionalFormatting sqref="E1586:H1587">
    <cfRule type="notContainsBlanks" dxfId="528" priority="1060">
      <formula>LEN(TRIM(E1586))&gt;0</formula>
    </cfRule>
    <cfRule type="colorScale" priority="1059">
      <colorScale>
        <cfvo type="min"/>
        <cfvo type="percentile" val="50"/>
        <cfvo type="max"/>
        <color rgb="FFF8696B"/>
        <color rgb="FFFFEB84"/>
        <color rgb="FF63BE7B"/>
      </colorScale>
    </cfRule>
  </conditionalFormatting>
  <conditionalFormatting sqref="E1591:H1592">
    <cfRule type="notContainsBlanks" dxfId="527" priority="1062">
      <formula>LEN(TRIM(E1591))&gt;0</formula>
    </cfRule>
    <cfRule type="colorScale" priority="1061">
      <colorScale>
        <cfvo type="min"/>
        <cfvo type="percentile" val="50"/>
        <cfvo type="max"/>
        <color rgb="FFF8696B"/>
        <color rgb="FFFFEB84"/>
        <color rgb="FF63BE7B"/>
      </colorScale>
    </cfRule>
  </conditionalFormatting>
  <conditionalFormatting sqref="E1596:H1597">
    <cfRule type="notContainsBlanks" dxfId="526" priority="1064">
      <formula>LEN(TRIM(E1596))&gt;0</formula>
    </cfRule>
    <cfRule type="colorScale" priority="1063">
      <colorScale>
        <cfvo type="min"/>
        <cfvo type="percentile" val="50"/>
        <cfvo type="max"/>
        <color rgb="FFF8696B"/>
        <color rgb="FFFFEB84"/>
        <color rgb="FF63BE7B"/>
      </colorScale>
    </cfRule>
  </conditionalFormatting>
  <conditionalFormatting sqref="E1601:H1602">
    <cfRule type="notContainsBlanks" dxfId="525" priority="1066">
      <formula>LEN(TRIM(E1601))&gt;0</formula>
    </cfRule>
    <cfRule type="colorScale" priority="1065">
      <colorScale>
        <cfvo type="min"/>
        <cfvo type="percentile" val="50"/>
        <cfvo type="max"/>
        <color rgb="FFF8696B"/>
        <color rgb="FFFFEB84"/>
        <color rgb="FF63BE7B"/>
      </colorScale>
    </cfRule>
  </conditionalFormatting>
  <conditionalFormatting sqref="E1606:H1607">
    <cfRule type="colorScale" priority="1067">
      <colorScale>
        <cfvo type="min"/>
        <cfvo type="percentile" val="50"/>
        <cfvo type="max"/>
        <color rgb="FFF8696B"/>
        <color rgb="FFFFEB84"/>
        <color rgb="FF63BE7B"/>
      </colorScale>
    </cfRule>
    <cfRule type="notContainsBlanks" dxfId="524" priority="1068">
      <formula>LEN(TRIM(E1606))&gt;0</formula>
    </cfRule>
  </conditionalFormatting>
  <conditionalFormatting sqref="E1611:H1611">
    <cfRule type="colorScale" priority="1069">
      <colorScale>
        <cfvo type="min"/>
        <cfvo type="percentile" val="50"/>
        <cfvo type="max"/>
        <color rgb="FFF8696B"/>
        <color rgb="FFFFEB84"/>
        <color rgb="FF63BE7B"/>
      </colorScale>
    </cfRule>
    <cfRule type="notContainsBlanks" dxfId="523" priority="1070">
      <formula>LEN(TRIM(E1611))&gt;0</formula>
    </cfRule>
  </conditionalFormatting>
  <conditionalFormatting sqref="E1615:H1616">
    <cfRule type="colorScale" priority="1071">
      <colorScale>
        <cfvo type="min"/>
        <cfvo type="percentile" val="50"/>
        <cfvo type="max"/>
        <color rgb="FFF8696B"/>
        <color rgb="FFFFEB84"/>
        <color rgb="FF63BE7B"/>
      </colorScale>
    </cfRule>
    <cfRule type="notContainsBlanks" dxfId="522" priority="1072">
      <formula>LEN(TRIM(E1615))&gt;0</formula>
    </cfRule>
  </conditionalFormatting>
  <conditionalFormatting sqref="E1620:H1621">
    <cfRule type="colorScale" priority="1073">
      <colorScale>
        <cfvo type="min"/>
        <cfvo type="percentile" val="50"/>
        <cfvo type="max"/>
        <color rgb="FFF8696B"/>
        <color rgb="FFFFEB84"/>
        <color rgb="FF63BE7B"/>
      </colorScale>
    </cfRule>
    <cfRule type="notContainsBlanks" dxfId="521" priority="1074">
      <formula>LEN(TRIM(E1620))&gt;0</formula>
    </cfRule>
  </conditionalFormatting>
  <conditionalFormatting sqref="E1625:H1628">
    <cfRule type="notContainsBlanks" dxfId="520" priority="1076">
      <formula>LEN(TRIM(E1625))&gt;0</formula>
    </cfRule>
    <cfRule type="colorScale" priority="1075">
      <colorScale>
        <cfvo type="min"/>
        <cfvo type="percentile" val="50"/>
        <cfvo type="max"/>
        <color rgb="FFF8696B"/>
        <color rgb="FFFFEB84"/>
        <color rgb="FF63BE7B"/>
      </colorScale>
    </cfRule>
  </conditionalFormatting>
  <conditionalFormatting sqref="E2854:H2854">
    <cfRule type="notContainsBlanks" dxfId="519" priority="1776">
      <formula>LEN(TRIM(E2854))&gt;0</formula>
    </cfRule>
    <cfRule type="colorScale" priority="1775">
      <colorScale>
        <cfvo type="min"/>
        <cfvo type="percentile" val="50"/>
        <cfvo type="max"/>
        <color rgb="FFF8696B"/>
        <color rgb="FFFFEB84"/>
        <color rgb="FF63BE7B"/>
      </colorScale>
    </cfRule>
  </conditionalFormatting>
  <conditionalFormatting sqref="E2862:H2862">
    <cfRule type="notContainsBlanks" dxfId="518" priority="1780">
      <formula>LEN(TRIM(E2862))&gt;0</formula>
    </cfRule>
    <cfRule type="colorScale" priority="1779">
      <colorScale>
        <cfvo type="min"/>
        <cfvo type="percentile" val="50"/>
        <cfvo type="max"/>
        <color rgb="FFF8696B"/>
        <color rgb="FFFFEB84"/>
        <color rgb="FF63BE7B"/>
      </colorScale>
    </cfRule>
  </conditionalFormatting>
  <conditionalFormatting sqref="E2866:H2866">
    <cfRule type="colorScale" priority="1781">
      <colorScale>
        <cfvo type="min"/>
        <cfvo type="percentile" val="50"/>
        <cfvo type="max"/>
        <color rgb="FFF8696B"/>
        <color rgb="FFFFEB84"/>
        <color rgb="FF63BE7B"/>
      </colorScale>
    </cfRule>
    <cfRule type="notContainsBlanks" dxfId="517" priority="1782">
      <formula>LEN(TRIM(E2866))&gt;0</formula>
    </cfRule>
  </conditionalFormatting>
  <conditionalFormatting sqref="E2870:H2870">
    <cfRule type="notContainsBlanks" dxfId="516" priority="1784">
      <formula>LEN(TRIM(E2870))&gt;0</formula>
    </cfRule>
    <cfRule type="colorScale" priority="1783">
      <colorScale>
        <cfvo type="min"/>
        <cfvo type="percentile" val="50"/>
        <cfvo type="max"/>
        <color rgb="FFF8696B"/>
        <color rgb="FFFFEB84"/>
        <color rgb="FF63BE7B"/>
      </colorScale>
    </cfRule>
  </conditionalFormatting>
  <conditionalFormatting sqref="E2874:H2874">
    <cfRule type="notContainsBlanks" dxfId="515" priority="1786">
      <formula>LEN(TRIM(E2874))&gt;0</formula>
    </cfRule>
    <cfRule type="colorScale" priority="1785">
      <colorScale>
        <cfvo type="min"/>
        <cfvo type="percentile" val="50"/>
        <cfvo type="max"/>
        <color rgb="FFF8696B"/>
        <color rgb="FFFFEB84"/>
        <color rgb="FF63BE7B"/>
      </colorScale>
    </cfRule>
  </conditionalFormatting>
  <conditionalFormatting sqref="E2878:H2878">
    <cfRule type="notContainsBlanks" dxfId="514" priority="1788">
      <formula>LEN(TRIM(E2878))&gt;0</formula>
    </cfRule>
    <cfRule type="colorScale" priority="1787">
      <colorScale>
        <cfvo type="min"/>
        <cfvo type="percentile" val="50"/>
        <cfvo type="max"/>
        <color rgb="FFF8696B"/>
        <color rgb="FFFFEB84"/>
        <color rgb="FF63BE7B"/>
      </colorScale>
    </cfRule>
  </conditionalFormatting>
  <conditionalFormatting sqref="E2882:H2883">
    <cfRule type="notContainsBlanks" dxfId="513" priority="1790">
      <formula>LEN(TRIM(E2882))&gt;0</formula>
    </cfRule>
    <cfRule type="colorScale" priority="1789">
      <colorScale>
        <cfvo type="min"/>
        <cfvo type="percentile" val="50"/>
        <cfvo type="max"/>
        <color rgb="FFF8696B"/>
        <color rgb="FFFFEB84"/>
        <color rgb="FF63BE7B"/>
      </colorScale>
    </cfRule>
  </conditionalFormatting>
  <conditionalFormatting sqref="E2887:H2888">
    <cfRule type="notContainsBlanks" dxfId="512" priority="1792">
      <formula>LEN(TRIM(E2887))&gt;0</formula>
    </cfRule>
    <cfRule type="colorScale" priority="1791">
      <colorScale>
        <cfvo type="min"/>
        <cfvo type="percentile" val="50"/>
        <cfvo type="max"/>
        <color rgb="FFF8696B"/>
        <color rgb="FFFFEB84"/>
        <color rgb="FF63BE7B"/>
      </colorScale>
    </cfRule>
  </conditionalFormatting>
  <conditionalFormatting sqref="E2892:H2893">
    <cfRule type="colorScale" priority="1793">
      <colorScale>
        <cfvo type="min"/>
        <cfvo type="percentile" val="50"/>
        <cfvo type="max"/>
        <color rgb="FFF8696B"/>
        <color rgb="FFFFEB84"/>
        <color rgb="FF63BE7B"/>
      </colorScale>
    </cfRule>
    <cfRule type="notContainsBlanks" dxfId="511" priority="1794">
      <formula>LEN(TRIM(E2892))&gt;0</formula>
    </cfRule>
  </conditionalFormatting>
  <conditionalFormatting sqref="E2897:H2897">
    <cfRule type="colorScale" priority="1795">
      <colorScale>
        <cfvo type="min"/>
        <cfvo type="percentile" val="50"/>
        <cfvo type="max"/>
        <color rgb="FFF8696B"/>
        <color rgb="FFFFEB84"/>
        <color rgb="FF63BE7B"/>
      </colorScale>
    </cfRule>
    <cfRule type="notContainsBlanks" dxfId="510" priority="1796">
      <formula>LEN(TRIM(E2897))&gt;0</formula>
    </cfRule>
  </conditionalFormatting>
  <conditionalFormatting sqref="E2901:H2902">
    <cfRule type="notContainsBlanks" dxfId="509" priority="1798">
      <formula>LEN(TRIM(E2901))&gt;0</formula>
    </cfRule>
    <cfRule type="colorScale" priority="1797">
      <colorScale>
        <cfvo type="min"/>
        <cfvo type="percentile" val="50"/>
        <cfvo type="max"/>
        <color rgb="FFF8696B"/>
        <color rgb="FFFFEB84"/>
        <color rgb="FF63BE7B"/>
      </colorScale>
    </cfRule>
  </conditionalFormatting>
  <conditionalFormatting sqref="E2906:H2906">
    <cfRule type="notContainsBlanks" dxfId="508" priority="1800">
      <formula>LEN(TRIM(E2906))&gt;0</formula>
    </cfRule>
    <cfRule type="colorScale" priority="1799">
      <colorScale>
        <cfvo type="min"/>
        <cfvo type="percentile" val="50"/>
        <cfvo type="max"/>
        <color rgb="FFF8696B"/>
        <color rgb="FFFFEB84"/>
        <color rgb="FF63BE7B"/>
      </colorScale>
    </cfRule>
  </conditionalFormatting>
  <conditionalFormatting sqref="E2910:H2912">
    <cfRule type="colorScale" priority="1801">
      <colorScale>
        <cfvo type="min"/>
        <cfvo type="percentile" val="50"/>
        <cfvo type="max"/>
        <color rgb="FFF8696B"/>
        <color rgb="FFFFEB84"/>
        <color rgb="FF63BE7B"/>
      </colorScale>
    </cfRule>
    <cfRule type="notContainsBlanks" dxfId="507" priority="1802">
      <formula>LEN(TRIM(E2910))&gt;0</formula>
    </cfRule>
  </conditionalFormatting>
  <conditionalFormatting sqref="E3062:H3063">
    <cfRule type="colorScale" priority="1865">
      <colorScale>
        <cfvo type="min"/>
        <cfvo type="percentile" val="50"/>
        <cfvo type="max"/>
        <color rgb="FFF8696B"/>
        <color rgb="FFFFEB84"/>
        <color rgb="FF63BE7B"/>
      </colorScale>
    </cfRule>
    <cfRule type="notContainsBlanks" dxfId="506" priority="1866">
      <formula>LEN(TRIM(E3062))&gt;0</formula>
    </cfRule>
  </conditionalFormatting>
  <conditionalFormatting sqref="E3071:H3071">
    <cfRule type="colorScale" priority="1869">
      <colorScale>
        <cfvo type="min"/>
        <cfvo type="percentile" val="50"/>
        <cfvo type="max"/>
        <color rgb="FFF8696B"/>
        <color rgb="FFFFEB84"/>
        <color rgb="FF63BE7B"/>
      </colorScale>
    </cfRule>
    <cfRule type="notContainsBlanks" dxfId="505" priority="1870">
      <formula>LEN(TRIM(E3071))&gt;0</formula>
    </cfRule>
  </conditionalFormatting>
  <conditionalFormatting sqref="E3075:H3075">
    <cfRule type="colorScale" priority="1871">
      <colorScale>
        <cfvo type="min"/>
        <cfvo type="percentile" val="50"/>
        <cfvo type="max"/>
        <color rgb="FFF8696B"/>
        <color rgb="FFFFEB84"/>
        <color rgb="FF63BE7B"/>
      </colorScale>
    </cfRule>
    <cfRule type="notContainsBlanks" dxfId="504" priority="1872">
      <formula>LEN(TRIM(E3075))&gt;0</formula>
    </cfRule>
  </conditionalFormatting>
  <conditionalFormatting sqref="E3079:H3080">
    <cfRule type="colorScale" priority="1873">
      <colorScale>
        <cfvo type="min"/>
        <cfvo type="percentile" val="50"/>
        <cfvo type="max"/>
        <color rgb="FFF8696B"/>
        <color rgb="FFFFEB84"/>
        <color rgb="FF63BE7B"/>
      </colorScale>
    </cfRule>
    <cfRule type="notContainsBlanks" dxfId="503" priority="1874">
      <formula>LEN(TRIM(E3079))&gt;0</formula>
    </cfRule>
  </conditionalFormatting>
  <conditionalFormatting sqref="E3084:H3084">
    <cfRule type="colorScale" priority="1875">
      <colorScale>
        <cfvo type="min"/>
        <cfvo type="percentile" val="50"/>
        <cfvo type="max"/>
        <color rgb="FFF8696B"/>
        <color rgb="FFFFEB84"/>
        <color rgb="FF63BE7B"/>
      </colorScale>
    </cfRule>
    <cfRule type="notContainsBlanks" dxfId="502" priority="1876">
      <formula>LEN(TRIM(E3084))&gt;0</formula>
    </cfRule>
  </conditionalFormatting>
  <conditionalFormatting sqref="E3088:H3089">
    <cfRule type="notContainsBlanks" dxfId="501" priority="1878">
      <formula>LEN(TRIM(E3088))&gt;0</formula>
    </cfRule>
    <cfRule type="colorScale" priority="1877">
      <colorScale>
        <cfvo type="min"/>
        <cfvo type="percentile" val="50"/>
        <cfvo type="max"/>
        <color rgb="FFF8696B"/>
        <color rgb="FFFFEB84"/>
        <color rgb="FF63BE7B"/>
      </colorScale>
    </cfRule>
  </conditionalFormatting>
  <conditionalFormatting sqref="E3093:H3094">
    <cfRule type="notContainsBlanks" dxfId="500" priority="1880">
      <formula>LEN(TRIM(E3093))&gt;0</formula>
    </cfRule>
    <cfRule type="colorScale" priority="1879">
      <colorScale>
        <cfvo type="min"/>
        <cfvo type="percentile" val="50"/>
        <cfvo type="max"/>
        <color rgb="FFF8696B"/>
        <color rgb="FFFFEB84"/>
        <color rgb="FF63BE7B"/>
      </colorScale>
    </cfRule>
  </conditionalFormatting>
  <conditionalFormatting sqref="E3098:H3099">
    <cfRule type="notContainsBlanks" dxfId="499" priority="1882">
      <formula>LEN(TRIM(E3098))&gt;0</formula>
    </cfRule>
    <cfRule type="colorScale" priority="1881">
      <colorScale>
        <cfvo type="min"/>
        <cfvo type="percentile" val="50"/>
        <cfvo type="max"/>
        <color rgb="FFF8696B"/>
        <color rgb="FFFFEB84"/>
        <color rgb="FF63BE7B"/>
      </colorScale>
    </cfRule>
  </conditionalFormatting>
  <conditionalFormatting sqref="E3103:H3103">
    <cfRule type="notContainsBlanks" dxfId="498" priority="1884">
      <formula>LEN(TRIM(E3103))&gt;0</formula>
    </cfRule>
    <cfRule type="colorScale" priority="1883">
      <colorScale>
        <cfvo type="min"/>
        <cfvo type="percentile" val="50"/>
        <cfvo type="max"/>
        <color rgb="FFF8696B"/>
        <color rgb="FFFFEB84"/>
        <color rgb="FF63BE7B"/>
      </colorScale>
    </cfRule>
  </conditionalFormatting>
  <conditionalFormatting sqref="E3107:H3107">
    <cfRule type="notContainsBlanks" dxfId="497" priority="1886">
      <formula>LEN(TRIM(E3107))&gt;0</formula>
    </cfRule>
    <cfRule type="colorScale" priority="1885">
      <colorScale>
        <cfvo type="min"/>
        <cfvo type="percentile" val="50"/>
        <cfvo type="max"/>
        <color rgb="FFF8696B"/>
        <color rgb="FFFFEB84"/>
        <color rgb="FF63BE7B"/>
      </colorScale>
    </cfRule>
  </conditionalFormatting>
  <conditionalFormatting sqref="E3111:H3112">
    <cfRule type="notContainsBlanks" dxfId="496" priority="1888">
      <formula>LEN(TRIM(E3111))&gt;0</formula>
    </cfRule>
    <cfRule type="colorScale" priority="1887">
      <colorScale>
        <cfvo type="min"/>
        <cfvo type="percentile" val="50"/>
        <cfvo type="max"/>
        <color rgb="FFF8696B"/>
        <color rgb="FFFFEB84"/>
        <color rgb="FF63BE7B"/>
      </colorScale>
    </cfRule>
  </conditionalFormatting>
  <conditionalFormatting sqref="E3116:H3117">
    <cfRule type="colorScale" priority="1889">
      <colorScale>
        <cfvo type="min"/>
        <cfvo type="percentile" val="50"/>
        <cfvo type="max"/>
        <color rgb="FFF8696B"/>
        <color rgb="FFFFEB84"/>
        <color rgb="FF63BE7B"/>
      </colorScale>
    </cfRule>
    <cfRule type="notContainsBlanks" dxfId="495" priority="1890">
      <formula>LEN(TRIM(E3116))&gt;0</formula>
    </cfRule>
  </conditionalFormatting>
  <conditionalFormatting sqref="E3121:H3124">
    <cfRule type="notContainsBlanks" dxfId="494" priority="1892">
      <formula>LEN(TRIM(E3121))&gt;0</formula>
    </cfRule>
    <cfRule type="colorScale" priority="1891">
      <colorScale>
        <cfvo type="min"/>
        <cfvo type="percentile" val="50"/>
        <cfvo type="max"/>
        <color rgb="FFF8696B"/>
        <color rgb="FFFFEB84"/>
        <color rgb="FF63BE7B"/>
      </colorScale>
    </cfRule>
  </conditionalFormatting>
  <conditionalFormatting sqref="E4378:H4379">
    <cfRule type="notContainsBlanks" dxfId="493" priority="2436">
      <formula>LEN(TRIM(E4378))&gt;0</formula>
    </cfRule>
    <cfRule type="colorScale" priority="2435">
      <colorScale>
        <cfvo type="min"/>
        <cfvo type="percentile" val="50"/>
        <cfvo type="max"/>
        <color rgb="FFF8696B"/>
        <color rgb="FFFFEB84"/>
        <color rgb="FF63BE7B"/>
      </colorScale>
    </cfRule>
  </conditionalFormatting>
  <conditionalFormatting sqref="E4387:H4388">
    <cfRule type="colorScale" priority="2439">
      <colorScale>
        <cfvo type="min"/>
        <cfvo type="percentile" val="50"/>
        <cfvo type="max"/>
        <color rgb="FFF8696B"/>
        <color rgb="FFFFEB84"/>
        <color rgb="FF63BE7B"/>
      </colorScale>
    </cfRule>
    <cfRule type="notContainsBlanks" dxfId="492" priority="2440">
      <formula>LEN(TRIM(E4387))&gt;0</formula>
    </cfRule>
  </conditionalFormatting>
  <conditionalFormatting sqref="E4392:H4392">
    <cfRule type="colorScale" priority="2441">
      <colorScale>
        <cfvo type="min"/>
        <cfvo type="percentile" val="50"/>
        <cfvo type="max"/>
        <color rgb="FFF8696B"/>
        <color rgb="FFFFEB84"/>
        <color rgb="FF63BE7B"/>
      </colorScale>
    </cfRule>
    <cfRule type="notContainsBlanks" dxfId="491" priority="2442">
      <formula>LEN(TRIM(E4392))&gt;0</formula>
    </cfRule>
  </conditionalFormatting>
  <conditionalFormatting sqref="E4396:H4397">
    <cfRule type="notContainsBlanks" dxfId="490" priority="2444">
      <formula>LEN(TRIM(E4396))&gt;0</formula>
    </cfRule>
    <cfRule type="colorScale" priority="2443">
      <colorScale>
        <cfvo type="min"/>
        <cfvo type="percentile" val="50"/>
        <cfvo type="max"/>
        <color rgb="FFF8696B"/>
        <color rgb="FFFFEB84"/>
        <color rgb="FF63BE7B"/>
      </colorScale>
    </cfRule>
  </conditionalFormatting>
  <conditionalFormatting sqref="E4401:H4402">
    <cfRule type="notContainsBlanks" dxfId="489" priority="2446">
      <formula>LEN(TRIM(E4401))&gt;0</formula>
    </cfRule>
    <cfRule type="colorScale" priority="2445">
      <colorScale>
        <cfvo type="min"/>
        <cfvo type="percentile" val="50"/>
        <cfvo type="max"/>
        <color rgb="FFF8696B"/>
        <color rgb="FFFFEB84"/>
        <color rgb="FF63BE7B"/>
      </colorScale>
    </cfRule>
  </conditionalFormatting>
  <conditionalFormatting sqref="E4406:H4407">
    <cfRule type="colorScale" priority="2447">
      <colorScale>
        <cfvo type="min"/>
        <cfvo type="percentile" val="50"/>
        <cfvo type="max"/>
        <color rgb="FFF8696B"/>
        <color rgb="FFFFEB84"/>
        <color rgb="FF63BE7B"/>
      </colorScale>
    </cfRule>
    <cfRule type="notContainsBlanks" dxfId="488" priority="2448">
      <formula>LEN(TRIM(E4406))&gt;0</formula>
    </cfRule>
  </conditionalFormatting>
  <conditionalFormatting sqref="E4411:H4412">
    <cfRule type="notContainsBlanks" dxfId="487" priority="2450">
      <formula>LEN(TRIM(E4411))&gt;0</formula>
    </cfRule>
    <cfRule type="colorScale" priority="2449">
      <colorScale>
        <cfvo type="min"/>
        <cfvo type="percentile" val="50"/>
        <cfvo type="max"/>
        <color rgb="FFF8696B"/>
        <color rgb="FFFFEB84"/>
        <color rgb="FF63BE7B"/>
      </colorScale>
    </cfRule>
  </conditionalFormatting>
  <conditionalFormatting sqref="E4416:H4417">
    <cfRule type="notContainsBlanks" dxfId="486" priority="2452">
      <formula>LEN(TRIM(E4416))&gt;0</formula>
    </cfRule>
    <cfRule type="colorScale" priority="2451">
      <colorScale>
        <cfvo type="min"/>
        <cfvo type="percentile" val="50"/>
        <cfvo type="max"/>
        <color rgb="FFF8696B"/>
        <color rgb="FFFFEB84"/>
        <color rgb="FF63BE7B"/>
      </colorScale>
    </cfRule>
  </conditionalFormatting>
  <conditionalFormatting sqref="E4421:H4422">
    <cfRule type="notContainsBlanks" dxfId="485" priority="2454">
      <formula>LEN(TRIM(E4421))&gt;0</formula>
    </cfRule>
    <cfRule type="colorScale" priority="2453">
      <colorScale>
        <cfvo type="min"/>
        <cfvo type="percentile" val="50"/>
        <cfvo type="max"/>
        <color rgb="FFF8696B"/>
        <color rgb="FFFFEB84"/>
        <color rgb="FF63BE7B"/>
      </colorScale>
    </cfRule>
  </conditionalFormatting>
  <conditionalFormatting sqref="E4426:H4426">
    <cfRule type="colorScale" priority="2455">
      <colorScale>
        <cfvo type="min"/>
        <cfvo type="percentile" val="50"/>
        <cfvo type="max"/>
        <color rgb="FFF8696B"/>
        <color rgb="FFFFEB84"/>
        <color rgb="FF63BE7B"/>
      </colorScale>
    </cfRule>
    <cfRule type="notContainsBlanks" dxfId="484" priority="2456">
      <formula>LEN(TRIM(E4426))&gt;0</formula>
    </cfRule>
  </conditionalFormatting>
  <conditionalFormatting sqref="E4430:H4431">
    <cfRule type="notContainsBlanks" dxfId="483" priority="2458">
      <formula>LEN(TRIM(E4430))&gt;0</formula>
    </cfRule>
    <cfRule type="colorScale" priority="2457">
      <colorScale>
        <cfvo type="min"/>
        <cfvo type="percentile" val="50"/>
        <cfvo type="max"/>
        <color rgb="FFF8696B"/>
        <color rgb="FFFFEB84"/>
        <color rgb="FF63BE7B"/>
      </colorScale>
    </cfRule>
  </conditionalFormatting>
  <conditionalFormatting sqref="E4435:H4436">
    <cfRule type="colorScale" priority="2459">
      <colorScale>
        <cfvo type="min"/>
        <cfvo type="percentile" val="50"/>
        <cfvo type="max"/>
        <color rgb="FFF8696B"/>
        <color rgb="FFFFEB84"/>
        <color rgb="FF63BE7B"/>
      </colorScale>
    </cfRule>
    <cfRule type="notContainsBlanks" dxfId="482" priority="2460">
      <formula>LEN(TRIM(E4435))&gt;0</formula>
    </cfRule>
  </conditionalFormatting>
  <conditionalFormatting sqref="E4440:H4443">
    <cfRule type="colorScale" priority="2461">
      <colorScale>
        <cfvo type="min"/>
        <cfvo type="percentile" val="50"/>
        <cfvo type="max"/>
        <color rgb="FFF8696B"/>
        <color rgb="FFFFEB84"/>
        <color rgb="FF63BE7B"/>
      </colorScale>
    </cfRule>
    <cfRule type="notContainsBlanks" dxfId="481" priority="2462">
      <formula>LEN(TRIM(E4440))&gt;0</formula>
    </cfRule>
  </conditionalFormatting>
  <conditionalFormatting sqref="E4586:H4587">
    <cfRule type="notContainsBlanks" dxfId="480" priority="2526">
      <formula>LEN(TRIM(E4586))&gt;0</formula>
    </cfRule>
    <cfRule type="colorScale" priority="2525">
      <colorScale>
        <cfvo type="min"/>
        <cfvo type="percentile" val="50"/>
        <cfvo type="max"/>
        <color rgb="FFF8696B"/>
        <color rgb="FFFFEB84"/>
        <color rgb="FF63BE7B"/>
      </colorScale>
    </cfRule>
  </conditionalFormatting>
  <conditionalFormatting sqref="E4595:H4596">
    <cfRule type="colorScale" priority="2529">
      <colorScale>
        <cfvo type="min"/>
        <cfvo type="percentile" val="50"/>
        <cfvo type="max"/>
        <color rgb="FFF8696B"/>
        <color rgb="FFFFEB84"/>
        <color rgb="FF63BE7B"/>
      </colorScale>
    </cfRule>
    <cfRule type="notContainsBlanks" dxfId="479" priority="2530">
      <formula>LEN(TRIM(E4595))&gt;0</formula>
    </cfRule>
  </conditionalFormatting>
  <conditionalFormatting sqref="E4600:H4600">
    <cfRule type="notContainsBlanks" dxfId="478" priority="2532">
      <formula>LEN(TRIM(E4600))&gt;0</formula>
    </cfRule>
    <cfRule type="colorScale" priority="2531">
      <colorScale>
        <cfvo type="min"/>
        <cfvo type="percentile" val="50"/>
        <cfvo type="max"/>
        <color rgb="FFF8696B"/>
        <color rgb="FFFFEB84"/>
        <color rgb="FF63BE7B"/>
      </colorScale>
    </cfRule>
  </conditionalFormatting>
  <conditionalFormatting sqref="E4604:H4605">
    <cfRule type="notContainsBlanks" dxfId="477" priority="2534">
      <formula>LEN(TRIM(E4604))&gt;0</formula>
    </cfRule>
    <cfRule type="colorScale" priority="2533">
      <colorScale>
        <cfvo type="min"/>
        <cfvo type="percentile" val="50"/>
        <cfvo type="max"/>
        <color rgb="FFF8696B"/>
        <color rgb="FFFFEB84"/>
        <color rgb="FF63BE7B"/>
      </colorScale>
    </cfRule>
  </conditionalFormatting>
  <conditionalFormatting sqref="E4609:H4609">
    <cfRule type="notContainsBlanks" dxfId="476" priority="2536">
      <formula>LEN(TRIM(E4609))&gt;0</formula>
    </cfRule>
    <cfRule type="colorScale" priority="2535">
      <colorScale>
        <cfvo type="min"/>
        <cfvo type="percentile" val="50"/>
        <cfvo type="max"/>
        <color rgb="FFF8696B"/>
        <color rgb="FFFFEB84"/>
        <color rgb="FF63BE7B"/>
      </colorScale>
    </cfRule>
  </conditionalFormatting>
  <conditionalFormatting sqref="E4613:H4614">
    <cfRule type="notContainsBlanks" dxfId="475" priority="2538">
      <formula>LEN(TRIM(E4613))&gt;0</formula>
    </cfRule>
    <cfRule type="colorScale" priority="2537">
      <colorScale>
        <cfvo type="min"/>
        <cfvo type="percentile" val="50"/>
        <cfvo type="max"/>
        <color rgb="FFF8696B"/>
        <color rgb="FFFFEB84"/>
        <color rgb="FF63BE7B"/>
      </colorScale>
    </cfRule>
  </conditionalFormatting>
  <conditionalFormatting sqref="E4618:H4619">
    <cfRule type="colorScale" priority="2539">
      <colorScale>
        <cfvo type="min"/>
        <cfvo type="percentile" val="50"/>
        <cfvo type="max"/>
        <color rgb="FFF8696B"/>
        <color rgb="FFFFEB84"/>
        <color rgb="FF63BE7B"/>
      </colorScale>
    </cfRule>
    <cfRule type="notContainsBlanks" dxfId="474" priority="2540">
      <formula>LEN(TRIM(E4618))&gt;0</formula>
    </cfRule>
  </conditionalFormatting>
  <conditionalFormatting sqref="E4623:H4624">
    <cfRule type="colorScale" priority="2541">
      <colorScale>
        <cfvo type="min"/>
        <cfvo type="percentile" val="50"/>
        <cfvo type="max"/>
        <color rgb="FFF8696B"/>
        <color rgb="FFFFEB84"/>
        <color rgb="FF63BE7B"/>
      </colorScale>
    </cfRule>
    <cfRule type="notContainsBlanks" dxfId="473" priority="2542">
      <formula>LEN(TRIM(E4623))&gt;0</formula>
    </cfRule>
  </conditionalFormatting>
  <conditionalFormatting sqref="E4628:H4628">
    <cfRule type="notContainsBlanks" dxfId="472" priority="2544">
      <formula>LEN(TRIM(E4628))&gt;0</formula>
    </cfRule>
    <cfRule type="colorScale" priority="2543">
      <colorScale>
        <cfvo type="min"/>
        <cfvo type="percentile" val="50"/>
        <cfvo type="max"/>
        <color rgb="FFF8696B"/>
        <color rgb="FFFFEB84"/>
        <color rgb="FF63BE7B"/>
      </colorScale>
    </cfRule>
  </conditionalFormatting>
  <conditionalFormatting sqref="E4632:H4632">
    <cfRule type="notContainsBlanks" dxfId="471" priority="2546">
      <formula>LEN(TRIM(E4632))&gt;0</formula>
    </cfRule>
    <cfRule type="colorScale" priority="2545">
      <colorScale>
        <cfvo type="min"/>
        <cfvo type="percentile" val="50"/>
        <cfvo type="max"/>
        <color rgb="FFF8696B"/>
        <color rgb="FFFFEB84"/>
        <color rgb="FF63BE7B"/>
      </colorScale>
    </cfRule>
  </conditionalFormatting>
  <conditionalFormatting sqref="E4636:H4637">
    <cfRule type="notContainsBlanks" dxfId="470" priority="2548">
      <formula>LEN(TRIM(E4636))&gt;0</formula>
    </cfRule>
    <cfRule type="colorScale" priority="2547">
      <colorScale>
        <cfvo type="min"/>
        <cfvo type="percentile" val="50"/>
        <cfvo type="max"/>
        <color rgb="FFF8696B"/>
        <color rgb="FFFFEB84"/>
        <color rgb="FF63BE7B"/>
      </colorScale>
    </cfRule>
  </conditionalFormatting>
  <conditionalFormatting sqref="E4641:H4641">
    <cfRule type="colorScale" priority="2549">
      <colorScale>
        <cfvo type="min"/>
        <cfvo type="percentile" val="50"/>
        <cfvo type="max"/>
        <color rgb="FFF8696B"/>
        <color rgb="FFFFEB84"/>
        <color rgb="FF63BE7B"/>
      </colorScale>
    </cfRule>
    <cfRule type="notContainsBlanks" dxfId="469" priority="2550">
      <formula>LEN(TRIM(E4641))&gt;0</formula>
    </cfRule>
  </conditionalFormatting>
  <conditionalFormatting sqref="E4645:H4648">
    <cfRule type="notContainsBlanks" dxfId="468" priority="2552">
      <formula>LEN(TRIM(E4645))&gt;0</formula>
    </cfRule>
    <cfRule type="colorScale" priority="2551">
      <colorScale>
        <cfvo type="min"/>
        <cfvo type="percentile" val="50"/>
        <cfvo type="max"/>
        <color rgb="FFF8696B"/>
        <color rgb="FFFFEB84"/>
        <color rgb="FF63BE7B"/>
      </colorScale>
    </cfRule>
  </conditionalFormatting>
  <conditionalFormatting sqref="E6722:H6723">
    <cfRule type="notContainsBlanks" dxfId="467" priority="4326">
      <formula>LEN(TRIM(E6722))&gt;0</formula>
    </cfRule>
    <cfRule type="colorScale" priority="4325">
      <colorScale>
        <cfvo type="min"/>
        <cfvo type="percentile" val="50"/>
        <cfvo type="max"/>
        <color rgb="FFF8696B"/>
        <color rgb="FFFFEB84"/>
        <color rgb="FF63BE7B"/>
      </colorScale>
    </cfRule>
  </conditionalFormatting>
  <conditionalFormatting sqref="E6731:H6732">
    <cfRule type="colorScale" priority="4329">
      <colorScale>
        <cfvo type="min"/>
        <cfvo type="percentile" val="50"/>
        <cfvo type="max"/>
        <color rgb="FFF8696B"/>
        <color rgb="FFFFEB84"/>
        <color rgb="FF63BE7B"/>
      </colorScale>
    </cfRule>
    <cfRule type="notContainsBlanks" dxfId="466" priority="4330">
      <formula>LEN(TRIM(E6731))&gt;0</formula>
    </cfRule>
  </conditionalFormatting>
  <conditionalFormatting sqref="E6736:H6737">
    <cfRule type="notContainsBlanks" dxfId="465" priority="4332">
      <formula>LEN(TRIM(E6736))&gt;0</formula>
    </cfRule>
    <cfRule type="colorScale" priority="4331">
      <colorScale>
        <cfvo type="min"/>
        <cfvo type="percentile" val="50"/>
        <cfvo type="max"/>
        <color rgb="FFF8696B"/>
        <color rgb="FFFFEB84"/>
        <color rgb="FF63BE7B"/>
      </colorScale>
    </cfRule>
  </conditionalFormatting>
  <conditionalFormatting sqref="E6741:H6742">
    <cfRule type="colorScale" priority="4333">
      <colorScale>
        <cfvo type="min"/>
        <cfvo type="percentile" val="50"/>
        <cfvo type="max"/>
        <color rgb="FFF8696B"/>
        <color rgb="FFFFEB84"/>
        <color rgb="FF63BE7B"/>
      </colorScale>
    </cfRule>
    <cfRule type="notContainsBlanks" dxfId="464" priority="4334">
      <formula>LEN(TRIM(E6741))&gt;0</formula>
    </cfRule>
  </conditionalFormatting>
  <conditionalFormatting sqref="E6746:H6747">
    <cfRule type="notContainsBlanks" dxfId="463" priority="4336">
      <formula>LEN(TRIM(E6746))&gt;0</formula>
    </cfRule>
    <cfRule type="colorScale" priority="4335">
      <colorScale>
        <cfvo type="min"/>
        <cfvo type="percentile" val="50"/>
        <cfvo type="max"/>
        <color rgb="FFF8696B"/>
        <color rgb="FFFFEB84"/>
        <color rgb="FF63BE7B"/>
      </colorScale>
    </cfRule>
  </conditionalFormatting>
  <conditionalFormatting sqref="E6751:H6752">
    <cfRule type="colorScale" priority="4337">
      <colorScale>
        <cfvo type="min"/>
        <cfvo type="percentile" val="50"/>
        <cfvo type="max"/>
        <color rgb="FFF8696B"/>
        <color rgb="FFFFEB84"/>
        <color rgb="FF63BE7B"/>
      </colorScale>
    </cfRule>
    <cfRule type="notContainsBlanks" dxfId="462" priority="4338">
      <formula>LEN(TRIM(E6751))&gt;0</formula>
    </cfRule>
  </conditionalFormatting>
  <conditionalFormatting sqref="E6756:H6757">
    <cfRule type="colorScale" priority="4339">
      <colorScale>
        <cfvo type="min"/>
        <cfvo type="percentile" val="50"/>
        <cfvo type="max"/>
        <color rgb="FFF8696B"/>
        <color rgb="FFFFEB84"/>
        <color rgb="FF63BE7B"/>
      </colorScale>
    </cfRule>
    <cfRule type="notContainsBlanks" dxfId="461" priority="4340">
      <formula>LEN(TRIM(E6756))&gt;0</formula>
    </cfRule>
  </conditionalFormatting>
  <conditionalFormatting sqref="E6761:H6762">
    <cfRule type="notContainsBlanks" dxfId="460" priority="4342">
      <formula>LEN(TRIM(E6761))&gt;0</formula>
    </cfRule>
    <cfRule type="colorScale" priority="4341">
      <colorScale>
        <cfvo type="min"/>
        <cfvo type="percentile" val="50"/>
        <cfvo type="max"/>
        <color rgb="FFF8696B"/>
        <color rgb="FFFFEB84"/>
        <color rgb="FF63BE7B"/>
      </colorScale>
    </cfRule>
  </conditionalFormatting>
  <conditionalFormatting sqref="E6766:H6767">
    <cfRule type="notContainsBlanks" dxfId="459" priority="4344">
      <formula>LEN(TRIM(E6766))&gt;0</formula>
    </cfRule>
    <cfRule type="colorScale" priority="4343">
      <colorScale>
        <cfvo type="min"/>
        <cfvo type="percentile" val="50"/>
        <cfvo type="max"/>
        <color rgb="FFF8696B"/>
        <color rgb="FFFFEB84"/>
        <color rgb="FF63BE7B"/>
      </colorScale>
    </cfRule>
  </conditionalFormatting>
  <conditionalFormatting sqref="E6771:H6771">
    <cfRule type="notContainsBlanks" dxfId="458" priority="4346">
      <formula>LEN(TRIM(E6771))&gt;0</formula>
    </cfRule>
    <cfRule type="colorScale" priority="4345">
      <colorScale>
        <cfvo type="min"/>
        <cfvo type="percentile" val="50"/>
        <cfvo type="max"/>
        <color rgb="FFF8696B"/>
        <color rgb="FFFFEB84"/>
        <color rgb="FF63BE7B"/>
      </colorScale>
    </cfRule>
  </conditionalFormatting>
  <conditionalFormatting sqref="E6775:H6776">
    <cfRule type="colorScale" priority="4347">
      <colorScale>
        <cfvo type="min"/>
        <cfvo type="percentile" val="50"/>
        <cfvo type="max"/>
        <color rgb="FFF8696B"/>
        <color rgb="FFFFEB84"/>
        <color rgb="FF63BE7B"/>
      </colorScale>
    </cfRule>
    <cfRule type="notContainsBlanks" dxfId="457" priority="4348">
      <formula>LEN(TRIM(E6775))&gt;0</formula>
    </cfRule>
  </conditionalFormatting>
  <conditionalFormatting sqref="E6780:H6781">
    <cfRule type="notContainsBlanks" dxfId="456" priority="4350">
      <formula>LEN(TRIM(E6780))&gt;0</formula>
    </cfRule>
    <cfRule type="colorScale" priority="4349">
      <colorScale>
        <cfvo type="min"/>
        <cfvo type="percentile" val="50"/>
        <cfvo type="max"/>
        <color rgb="FFF8696B"/>
        <color rgb="FFFFEB84"/>
        <color rgb="FF63BE7B"/>
      </colorScale>
    </cfRule>
  </conditionalFormatting>
  <conditionalFormatting sqref="E6785:H6788">
    <cfRule type="colorScale" priority="4351">
      <colorScale>
        <cfvo type="min"/>
        <cfvo type="percentile" val="50"/>
        <cfvo type="max"/>
        <color rgb="FFF8696B"/>
        <color rgb="FFFFEB84"/>
        <color rgb="FF63BE7B"/>
      </colorScale>
    </cfRule>
    <cfRule type="notContainsBlanks" dxfId="455" priority="4352">
      <formula>LEN(TRIM(E6785))&gt;0</formula>
    </cfRule>
  </conditionalFormatting>
  <conditionalFormatting sqref="E2166:I2167">
    <cfRule type="notContainsBlanks" dxfId="454" priority="1476">
      <formula>LEN(TRIM(E2166))&gt;0</formula>
    </cfRule>
    <cfRule type="colorScale" priority="1475">
      <colorScale>
        <cfvo type="min"/>
        <cfvo type="percentile" val="50"/>
        <cfvo type="max"/>
        <color rgb="FFF8696B"/>
        <color rgb="FFFFEB84"/>
        <color rgb="FF63BE7B"/>
      </colorScale>
    </cfRule>
  </conditionalFormatting>
  <conditionalFormatting sqref="E2175:I2176">
    <cfRule type="colorScale" priority="1479">
      <colorScale>
        <cfvo type="min"/>
        <cfvo type="percentile" val="50"/>
        <cfvo type="max"/>
        <color rgb="FFF8696B"/>
        <color rgb="FFFFEB84"/>
        <color rgb="FF63BE7B"/>
      </colorScale>
    </cfRule>
    <cfRule type="notContainsBlanks" dxfId="453" priority="1480">
      <formula>LEN(TRIM(E2175))&gt;0</formula>
    </cfRule>
  </conditionalFormatting>
  <conditionalFormatting sqref="E2180:I2180">
    <cfRule type="colorScale" priority="1481">
      <colorScale>
        <cfvo type="min"/>
        <cfvo type="percentile" val="50"/>
        <cfvo type="max"/>
        <color rgb="FFF8696B"/>
        <color rgb="FFFFEB84"/>
        <color rgb="FF63BE7B"/>
      </colorScale>
    </cfRule>
    <cfRule type="notContainsBlanks" dxfId="452" priority="1482">
      <formula>LEN(TRIM(E2180))&gt;0</formula>
    </cfRule>
  </conditionalFormatting>
  <conditionalFormatting sqref="E2184:I2185">
    <cfRule type="colorScale" priority="1483">
      <colorScale>
        <cfvo type="min"/>
        <cfvo type="percentile" val="50"/>
        <cfvo type="max"/>
        <color rgb="FFF8696B"/>
        <color rgb="FFFFEB84"/>
        <color rgb="FF63BE7B"/>
      </colorScale>
    </cfRule>
    <cfRule type="notContainsBlanks" dxfId="451" priority="1484">
      <formula>LEN(TRIM(E2184))&gt;0</formula>
    </cfRule>
  </conditionalFormatting>
  <conditionalFormatting sqref="E2189:I2189">
    <cfRule type="notContainsBlanks" dxfId="450" priority="1486">
      <formula>LEN(TRIM(E2189))&gt;0</formula>
    </cfRule>
    <cfRule type="colorScale" priority="1485">
      <colorScale>
        <cfvo type="min"/>
        <cfvo type="percentile" val="50"/>
        <cfvo type="max"/>
        <color rgb="FFF8696B"/>
        <color rgb="FFFFEB84"/>
        <color rgb="FF63BE7B"/>
      </colorScale>
    </cfRule>
  </conditionalFormatting>
  <conditionalFormatting sqref="E2193:I2194">
    <cfRule type="notContainsBlanks" dxfId="449" priority="1488">
      <formula>LEN(TRIM(E2193))&gt;0</formula>
    </cfRule>
    <cfRule type="colorScale" priority="1487">
      <colorScale>
        <cfvo type="min"/>
        <cfvo type="percentile" val="50"/>
        <cfvo type="max"/>
        <color rgb="FFF8696B"/>
        <color rgb="FFFFEB84"/>
        <color rgb="FF63BE7B"/>
      </colorScale>
    </cfRule>
  </conditionalFormatting>
  <conditionalFormatting sqref="E2198:I2199">
    <cfRule type="colorScale" priority="1489">
      <colorScale>
        <cfvo type="min"/>
        <cfvo type="percentile" val="50"/>
        <cfvo type="max"/>
        <color rgb="FFF8696B"/>
        <color rgb="FFFFEB84"/>
        <color rgb="FF63BE7B"/>
      </colorScale>
    </cfRule>
    <cfRule type="notContainsBlanks" dxfId="448" priority="1490">
      <formula>LEN(TRIM(E2198))&gt;0</formula>
    </cfRule>
  </conditionalFormatting>
  <conditionalFormatting sqref="E2203:I2204">
    <cfRule type="notContainsBlanks" dxfId="447" priority="1492">
      <formula>LEN(TRIM(E2203))&gt;0</formula>
    </cfRule>
    <cfRule type="colorScale" priority="1491">
      <colorScale>
        <cfvo type="min"/>
        <cfvo type="percentile" val="50"/>
        <cfvo type="max"/>
        <color rgb="FFF8696B"/>
        <color rgb="FFFFEB84"/>
        <color rgb="FF63BE7B"/>
      </colorScale>
    </cfRule>
  </conditionalFormatting>
  <conditionalFormatting sqref="E2208:I2209">
    <cfRule type="notContainsBlanks" dxfId="446" priority="1494">
      <formula>LEN(TRIM(E2208))&gt;0</formula>
    </cfRule>
    <cfRule type="colorScale" priority="1493">
      <colorScale>
        <cfvo type="min"/>
        <cfvo type="percentile" val="50"/>
        <cfvo type="max"/>
        <color rgb="FFF8696B"/>
        <color rgb="FFFFEB84"/>
        <color rgb="FF63BE7B"/>
      </colorScale>
    </cfRule>
  </conditionalFormatting>
  <conditionalFormatting sqref="E2213:I2213">
    <cfRule type="notContainsBlanks" dxfId="445" priority="1496">
      <formula>LEN(TRIM(E2213))&gt;0</formula>
    </cfRule>
    <cfRule type="colorScale" priority="1495">
      <colorScale>
        <cfvo type="min"/>
        <cfvo type="percentile" val="50"/>
        <cfvo type="max"/>
        <color rgb="FFF8696B"/>
        <color rgb="FFFFEB84"/>
        <color rgb="FF63BE7B"/>
      </colorScale>
    </cfRule>
  </conditionalFormatting>
  <conditionalFormatting sqref="E2217:I2218">
    <cfRule type="colorScale" priority="1497">
      <colorScale>
        <cfvo type="min"/>
        <cfvo type="percentile" val="50"/>
        <cfvo type="max"/>
        <color rgb="FFF8696B"/>
        <color rgb="FFFFEB84"/>
        <color rgb="FF63BE7B"/>
      </colorScale>
    </cfRule>
    <cfRule type="notContainsBlanks" dxfId="444" priority="1498">
      <formula>LEN(TRIM(E2217))&gt;0</formula>
    </cfRule>
  </conditionalFormatting>
  <conditionalFormatting sqref="E2222:I2223">
    <cfRule type="colorScale" priority="1499">
      <colorScale>
        <cfvo type="min"/>
        <cfvo type="percentile" val="50"/>
        <cfvo type="max"/>
        <color rgb="FFF8696B"/>
        <color rgb="FFFFEB84"/>
        <color rgb="FF63BE7B"/>
      </colorScale>
    </cfRule>
    <cfRule type="notContainsBlanks" dxfId="443" priority="1500">
      <formula>LEN(TRIM(E2222))&gt;0</formula>
    </cfRule>
  </conditionalFormatting>
  <conditionalFormatting sqref="E2227:I2230">
    <cfRule type="colorScale" priority="1501">
      <colorScale>
        <cfvo type="min"/>
        <cfvo type="percentile" val="50"/>
        <cfvo type="max"/>
        <color rgb="FFF8696B"/>
        <color rgb="FFFFEB84"/>
        <color rgb="FF63BE7B"/>
      </colorScale>
    </cfRule>
    <cfRule type="notContainsBlanks" dxfId="442" priority="1502">
      <formula>LEN(TRIM(E2227))&gt;0</formula>
    </cfRule>
  </conditionalFormatting>
  <conditionalFormatting sqref="E2238:I2239">
    <cfRule type="colorScale" priority="1505">
      <colorScale>
        <cfvo type="min"/>
        <cfvo type="percentile" val="50"/>
        <cfvo type="max"/>
        <color rgb="FFF8696B"/>
        <color rgb="FFFFEB84"/>
        <color rgb="FF63BE7B"/>
      </colorScale>
    </cfRule>
    <cfRule type="notContainsBlanks" dxfId="441" priority="1506">
      <formula>LEN(TRIM(E2238))&gt;0</formula>
    </cfRule>
  </conditionalFormatting>
  <conditionalFormatting sqref="E2247:I2248">
    <cfRule type="colorScale" priority="1509">
      <colorScale>
        <cfvo type="min"/>
        <cfvo type="percentile" val="50"/>
        <cfvo type="max"/>
        <color rgb="FFF8696B"/>
        <color rgb="FFFFEB84"/>
        <color rgb="FF63BE7B"/>
      </colorScale>
    </cfRule>
    <cfRule type="notContainsBlanks" dxfId="440" priority="1510">
      <formula>LEN(TRIM(E2247))&gt;0</formula>
    </cfRule>
  </conditionalFormatting>
  <conditionalFormatting sqref="E2252:I2253">
    <cfRule type="colorScale" priority="1511">
      <colorScale>
        <cfvo type="min"/>
        <cfvo type="percentile" val="50"/>
        <cfvo type="max"/>
        <color rgb="FFF8696B"/>
        <color rgb="FFFFEB84"/>
        <color rgb="FF63BE7B"/>
      </colorScale>
    </cfRule>
    <cfRule type="notContainsBlanks" dxfId="439" priority="1512">
      <formula>LEN(TRIM(E2252))&gt;0</formula>
    </cfRule>
  </conditionalFormatting>
  <conditionalFormatting sqref="E2257:I2258">
    <cfRule type="colorScale" priority="1513">
      <colorScale>
        <cfvo type="min"/>
        <cfvo type="percentile" val="50"/>
        <cfvo type="max"/>
        <color rgb="FFF8696B"/>
        <color rgb="FFFFEB84"/>
        <color rgb="FF63BE7B"/>
      </colorScale>
    </cfRule>
    <cfRule type="notContainsBlanks" dxfId="438" priority="1514">
      <formula>LEN(TRIM(E2257))&gt;0</formula>
    </cfRule>
  </conditionalFormatting>
  <conditionalFormatting sqref="E2262:I2263">
    <cfRule type="colorScale" priority="1515">
      <colorScale>
        <cfvo type="min"/>
        <cfvo type="percentile" val="50"/>
        <cfvo type="max"/>
        <color rgb="FFF8696B"/>
        <color rgb="FFFFEB84"/>
        <color rgb="FF63BE7B"/>
      </colorScale>
    </cfRule>
    <cfRule type="notContainsBlanks" dxfId="437" priority="1516">
      <formula>LEN(TRIM(E2262))&gt;0</formula>
    </cfRule>
  </conditionalFormatting>
  <conditionalFormatting sqref="E2267:I2268">
    <cfRule type="notContainsBlanks" dxfId="436" priority="1518">
      <formula>LEN(TRIM(E2267))&gt;0</formula>
    </cfRule>
    <cfRule type="colorScale" priority="1517">
      <colorScale>
        <cfvo type="min"/>
        <cfvo type="percentile" val="50"/>
        <cfvo type="max"/>
        <color rgb="FFF8696B"/>
        <color rgb="FFFFEB84"/>
        <color rgb="FF63BE7B"/>
      </colorScale>
    </cfRule>
  </conditionalFormatting>
  <conditionalFormatting sqref="E2272:I2273">
    <cfRule type="colorScale" priority="1519">
      <colorScale>
        <cfvo type="min"/>
        <cfvo type="percentile" val="50"/>
        <cfvo type="max"/>
        <color rgb="FFF8696B"/>
        <color rgb="FFFFEB84"/>
        <color rgb="FF63BE7B"/>
      </colorScale>
    </cfRule>
    <cfRule type="notContainsBlanks" dxfId="435" priority="1520">
      <formula>LEN(TRIM(E2272))&gt;0</formula>
    </cfRule>
  </conditionalFormatting>
  <conditionalFormatting sqref="E2277:I2278">
    <cfRule type="notContainsBlanks" dxfId="434" priority="1522">
      <formula>LEN(TRIM(E2277))&gt;0</formula>
    </cfRule>
    <cfRule type="colorScale" priority="1521">
      <colorScale>
        <cfvo type="min"/>
        <cfvo type="percentile" val="50"/>
        <cfvo type="max"/>
        <color rgb="FFF8696B"/>
        <color rgb="FFFFEB84"/>
        <color rgb="FF63BE7B"/>
      </colorScale>
    </cfRule>
  </conditionalFormatting>
  <conditionalFormatting sqref="E2282:I2283">
    <cfRule type="colorScale" priority="1523">
      <colorScale>
        <cfvo type="min"/>
        <cfvo type="percentile" val="50"/>
        <cfvo type="max"/>
        <color rgb="FFF8696B"/>
        <color rgb="FFFFEB84"/>
        <color rgb="FF63BE7B"/>
      </colorScale>
    </cfRule>
    <cfRule type="notContainsBlanks" dxfId="433" priority="1524">
      <formula>LEN(TRIM(E2282))&gt;0</formula>
    </cfRule>
  </conditionalFormatting>
  <conditionalFormatting sqref="E2287:I2287">
    <cfRule type="colorScale" priority="1525">
      <colorScale>
        <cfvo type="min"/>
        <cfvo type="percentile" val="50"/>
        <cfvo type="max"/>
        <color rgb="FFF8696B"/>
        <color rgb="FFFFEB84"/>
        <color rgb="FF63BE7B"/>
      </colorScale>
    </cfRule>
    <cfRule type="notContainsBlanks" dxfId="432" priority="1526">
      <formula>LEN(TRIM(E2287))&gt;0</formula>
    </cfRule>
  </conditionalFormatting>
  <conditionalFormatting sqref="E2291:I2292">
    <cfRule type="colorScale" priority="1527">
      <colorScale>
        <cfvo type="min"/>
        <cfvo type="percentile" val="50"/>
        <cfvo type="max"/>
        <color rgb="FFF8696B"/>
        <color rgb="FFFFEB84"/>
        <color rgb="FF63BE7B"/>
      </colorScale>
    </cfRule>
    <cfRule type="notContainsBlanks" dxfId="431" priority="1528">
      <formula>LEN(TRIM(E2291))&gt;0</formula>
    </cfRule>
  </conditionalFormatting>
  <conditionalFormatting sqref="E2296:I2297">
    <cfRule type="colorScale" priority="1529">
      <colorScale>
        <cfvo type="min"/>
        <cfvo type="percentile" val="50"/>
        <cfvo type="max"/>
        <color rgb="FFF8696B"/>
        <color rgb="FFFFEB84"/>
        <color rgb="FF63BE7B"/>
      </colorScale>
    </cfRule>
    <cfRule type="notContainsBlanks" dxfId="430" priority="1530">
      <formula>LEN(TRIM(E2296))&gt;0</formula>
    </cfRule>
  </conditionalFormatting>
  <conditionalFormatting sqref="E2301:I2304">
    <cfRule type="colorScale" priority="1531">
      <colorScale>
        <cfvo type="min"/>
        <cfvo type="percentile" val="50"/>
        <cfvo type="max"/>
        <color rgb="FFF8696B"/>
        <color rgb="FFFFEB84"/>
        <color rgb="FF63BE7B"/>
      </colorScale>
    </cfRule>
    <cfRule type="notContainsBlanks" dxfId="429" priority="1532">
      <formula>LEN(TRIM(E2301))&gt;0</formula>
    </cfRule>
  </conditionalFormatting>
  <conditionalFormatting sqref="E2514:I2515">
    <cfRule type="colorScale" priority="1625">
      <colorScale>
        <cfvo type="min"/>
        <cfvo type="percentile" val="50"/>
        <cfvo type="max"/>
        <color rgb="FFF8696B"/>
        <color rgb="FFFFEB84"/>
        <color rgb="FF63BE7B"/>
      </colorScale>
    </cfRule>
    <cfRule type="notContainsBlanks" dxfId="428" priority="1626">
      <formula>LEN(TRIM(E2514))&gt;0</formula>
    </cfRule>
  </conditionalFormatting>
  <conditionalFormatting sqref="E2523:I2524">
    <cfRule type="notContainsBlanks" dxfId="427" priority="1630">
      <formula>LEN(TRIM(E2523))&gt;0</formula>
    </cfRule>
    <cfRule type="colorScale" priority="1629">
      <colorScale>
        <cfvo type="min"/>
        <cfvo type="percentile" val="50"/>
        <cfvo type="max"/>
        <color rgb="FFF8696B"/>
        <color rgb="FFFFEB84"/>
        <color rgb="FF63BE7B"/>
      </colorScale>
    </cfRule>
  </conditionalFormatting>
  <conditionalFormatting sqref="E2528:I2528">
    <cfRule type="notContainsBlanks" dxfId="426" priority="1632">
      <formula>LEN(TRIM(E2528))&gt;0</formula>
    </cfRule>
    <cfRule type="colorScale" priority="1631">
      <colorScale>
        <cfvo type="min"/>
        <cfvo type="percentile" val="50"/>
        <cfvo type="max"/>
        <color rgb="FFF8696B"/>
        <color rgb="FFFFEB84"/>
        <color rgb="FF63BE7B"/>
      </colorScale>
    </cfRule>
  </conditionalFormatting>
  <conditionalFormatting sqref="E2532:I2533">
    <cfRule type="colorScale" priority="1633">
      <colorScale>
        <cfvo type="min"/>
        <cfvo type="percentile" val="50"/>
        <cfvo type="max"/>
        <color rgb="FFF8696B"/>
        <color rgb="FFFFEB84"/>
        <color rgb="FF63BE7B"/>
      </colorScale>
    </cfRule>
    <cfRule type="notContainsBlanks" dxfId="425" priority="1634">
      <formula>LEN(TRIM(E2532))&gt;0</formula>
    </cfRule>
  </conditionalFormatting>
  <conditionalFormatting sqref="E2537:I2538">
    <cfRule type="colorScale" priority="1635">
      <colorScale>
        <cfvo type="min"/>
        <cfvo type="percentile" val="50"/>
        <cfvo type="max"/>
        <color rgb="FFF8696B"/>
        <color rgb="FFFFEB84"/>
        <color rgb="FF63BE7B"/>
      </colorScale>
    </cfRule>
    <cfRule type="notContainsBlanks" dxfId="424" priority="1636">
      <formula>LEN(TRIM(E2537))&gt;0</formula>
    </cfRule>
  </conditionalFormatting>
  <conditionalFormatting sqref="E2542:I2543">
    <cfRule type="colorScale" priority="1637">
      <colorScale>
        <cfvo type="min"/>
        <cfvo type="percentile" val="50"/>
        <cfvo type="max"/>
        <color rgb="FFF8696B"/>
        <color rgb="FFFFEB84"/>
        <color rgb="FF63BE7B"/>
      </colorScale>
    </cfRule>
    <cfRule type="notContainsBlanks" dxfId="423" priority="1638">
      <formula>LEN(TRIM(E2542))&gt;0</formula>
    </cfRule>
  </conditionalFormatting>
  <conditionalFormatting sqref="E2547:I2548">
    <cfRule type="colorScale" priority="1639">
      <colorScale>
        <cfvo type="min"/>
        <cfvo type="percentile" val="50"/>
        <cfvo type="max"/>
        <color rgb="FFF8696B"/>
        <color rgb="FFFFEB84"/>
        <color rgb="FF63BE7B"/>
      </colorScale>
    </cfRule>
    <cfRule type="notContainsBlanks" dxfId="422" priority="1640">
      <formula>LEN(TRIM(E2547))&gt;0</formula>
    </cfRule>
  </conditionalFormatting>
  <conditionalFormatting sqref="E2552:I2553">
    <cfRule type="colorScale" priority="1641">
      <colorScale>
        <cfvo type="min"/>
        <cfvo type="percentile" val="50"/>
        <cfvo type="max"/>
        <color rgb="FFF8696B"/>
        <color rgb="FFFFEB84"/>
        <color rgb="FF63BE7B"/>
      </colorScale>
    </cfRule>
    <cfRule type="notContainsBlanks" dxfId="421" priority="1642">
      <formula>LEN(TRIM(E2552))&gt;0</formula>
    </cfRule>
  </conditionalFormatting>
  <conditionalFormatting sqref="E2557:I2558">
    <cfRule type="colorScale" priority="1643">
      <colorScale>
        <cfvo type="min"/>
        <cfvo type="percentile" val="50"/>
        <cfvo type="max"/>
        <color rgb="FFF8696B"/>
        <color rgb="FFFFEB84"/>
        <color rgb="FF63BE7B"/>
      </colorScale>
    </cfRule>
    <cfRule type="notContainsBlanks" dxfId="420" priority="1644">
      <formula>LEN(TRIM(E2557))&gt;0</formula>
    </cfRule>
  </conditionalFormatting>
  <conditionalFormatting sqref="E2562:I2562">
    <cfRule type="colorScale" priority="1645">
      <colorScale>
        <cfvo type="min"/>
        <cfvo type="percentile" val="50"/>
        <cfvo type="max"/>
        <color rgb="FFF8696B"/>
        <color rgb="FFFFEB84"/>
        <color rgb="FF63BE7B"/>
      </colorScale>
    </cfRule>
    <cfRule type="notContainsBlanks" dxfId="419" priority="1646">
      <formula>LEN(TRIM(E2562))&gt;0</formula>
    </cfRule>
  </conditionalFormatting>
  <conditionalFormatting sqref="E2566:I2567">
    <cfRule type="colorScale" priority="1647">
      <colorScale>
        <cfvo type="min"/>
        <cfvo type="percentile" val="50"/>
        <cfvo type="max"/>
        <color rgb="FFF8696B"/>
        <color rgb="FFFFEB84"/>
        <color rgb="FF63BE7B"/>
      </colorScale>
    </cfRule>
    <cfRule type="notContainsBlanks" dxfId="418" priority="1648">
      <formula>LEN(TRIM(E2566))&gt;0</formula>
    </cfRule>
  </conditionalFormatting>
  <conditionalFormatting sqref="E2571:I2572">
    <cfRule type="colorScale" priority="1649">
      <colorScale>
        <cfvo type="min"/>
        <cfvo type="percentile" val="50"/>
        <cfvo type="max"/>
        <color rgb="FFF8696B"/>
        <color rgb="FFFFEB84"/>
        <color rgb="FF63BE7B"/>
      </colorScale>
    </cfRule>
    <cfRule type="notContainsBlanks" dxfId="417" priority="1650">
      <formula>LEN(TRIM(E2571))&gt;0</formula>
    </cfRule>
  </conditionalFormatting>
  <conditionalFormatting sqref="E2576:I2579">
    <cfRule type="colorScale" priority="1651">
      <colorScale>
        <cfvo type="min"/>
        <cfvo type="percentile" val="50"/>
        <cfvo type="max"/>
        <color rgb="FFF8696B"/>
        <color rgb="FFFFEB84"/>
        <color rgb="FF63BE7B"/>
      </colorScale>
    </cfRule>
    <cfRule type="notContainsBlanks" dxfId="416" priority="1652">
      <formula>LEN(TRIM(E2576))&gt;0</formula>
    </cfRule>
  </conditionalFormatting>
  <conditionalFormatting sqref="E2587:I2588">
    <cfRule type="notContainsBlanks" dxfId="415" priority="1656">
      <formula>LEN(TRIM(E2587))&gt;0</formula>
    </cfRule>
    <cfRule type="colorScale" priority="1655">
      <colorScale>
        <cfvo type="min"/>
        <cfvo type="percentile" val="50"/>
        <cfvo type="max"/>
        <color rgb="FFF8696B"/>
        <color rgb="FFFFEB84"/>
        <color rgb="FF63BE7B"/>
      </colorScale>
    </cfRule>
  </conditionalFormatting>
  <conditionalFormatting sqref="E2596:I2597">
    <cfRule type="colorScale" priority="1659">
      <colorScale>
        <cfvo type="min"/>
        <cfvo type="percentile" val="50"/>
        <cfvo type="max"/>
        <color rgb="FFF8696B"/>
        <color rgb="FFFFEB84"/>
        <color rgb="FF63BE7B"/>
      </colorScale>
    </cfRule>
    <cfRule type="notContainsBlanks" dxfId="414" priority="1660">
      <formula>LEN(TRIM(E2596))&gt;0</formula>
    </cfRule>
  </conditionalFormatting>
  <conditionalFormatting sqref="E2601:I2601">
    <cfRule type="notContainsBlanks" dxfId="413" priority="1662">
      <formula>LEN(TRIM(E2601))&gt;0</formula>
    </cfRule>
    <cfRule type="colorScale" priority="1661">
      <colorScale>
        <cfvo type="min"/>
        <cfvo type="percentile" val="50"/>
        <cfvo type="max"/>
        <color rgb="FFF8696B"/>
        <color rgb="FFFFEB84"/>
        <color rgb="FF63BE7B"/>
      </colorScale>
    </cfRule>
  </conditionalFormatting>
  <conditionalFormatting sqref="E2605:I2606">
    <cfRule type="notContainsBlanks" dxfId="412" priority="1664">
      <formula>LEN(TRIM(E2605))&gt;0</formula>
    </cfRule>
    <cfRule type="colorScale" priority="1663">
      <colorScale>
        <cfvo type="min"/>
        <cfvo type="percentile" val="50"/>
        <cfvo type="max"/>
        <color rgb="FFF8696B"/>
        <color rgb="FFFFEB84"/>
        <color rgb="FF63BE7B"/>
      </colorScale>
    </cfRule>
  </conditionalFormatting>
  <conditionalFormatting sqref="E2610:I2611">
    <cfRule type="colorScale" priority="1665">
      <colorScale>
        <cfvo type="min"/>
        <cfvo type="percentile" val="50"/>
        <cfvo type="max"/>
        <color rgb="FFF8696B"/>
        <color rgb="FFFFEB84"/>
        <color rgb="FF63BE7B"/>
      </colorScale>
    </cfRule>
    <cfRule type="notContainsBlanks" dxfId="411" priority="1666">
      <formula>LEN(TRIM(E2610))&gt;0</formula>
    </cfRule>
  </conditionalFormatting>
  <conditionalFormatting sqref="E2615:I2616">
    <cfRule type="notContainsBlanks" dxfId="410" priority="1668">
      <formula>LEN(TRIM(E2615))&gt;0</formula>
    </cfRule>
    <cfRule type="colorScale" priority="1667">
      <colorScale>
        <cfvo type="min"/>
        <cfvo type="percentile" val="50"/>
        <cfvo type="max"/>
        <color rgb="FFF8696B"/>
        <color rgb="FFFFEB84"/>
        <color rgb="FF63BE7B"/>
      </colorScale>
    </cfRule>
  </conditionalFormatting>
  <conditionalFormatting sqref="E2620:I2621">
    <cfRule type="notContainsBlanks" dxfId="409" priority="1670">
      <formula>LEN(TRIM(E2620))&gt;0</formula>
    </cfRule>
    <cfRule type="colorScale" priority="1669">
      <colorScale>
        <cfvo type="min"/>
        <cfvo type="percentile" val="50"/>
        <cfvo type="max"/>
        <color rgb="FFF8696B"/>
        <color rgb="FFFFEB84"/>
        <color rgb="FF63BE7B"/>
      </colorScale>
    </cfRule>
  </conditionalFormatting>
  <conditionalFormatting sqref="E2625:I2626">
    <cfRule type="colorScale" priority="1671">
      <colorScale>
        <cfvo type="min"/>
        <cfvo type="percentile" val="50"/>
        <cfvo type="max"/>
        <color rgb="FFF8696B"/>
        <color rgb="FFFFEB84"/>
        <color rgb="FF63BE7B"/>
      </colorScale>
    </cfRule>
    <cfRule type="notContainsBlanks" dxfId="408" priority="1672">
      <formula>LEN(TRIM(E2625))&gt;0</formula>
    </cfRule>
  </conditionalFormatting>
  <conditionalFormatting sqref="E2630:I2631">
    <cfRule type="colorScale" priority="1673">
      <colorScale>
        <cfvo type="min"/>
        <cfvo type="percentile" val="50"/>
        <cfvo type="max"/>
        <color rgb="FFF8696B"/>
        <color rgb="FFFFEB84"/>
        <color rgb="FF63BE7B"/>
      </colorScale>
    </cfRule>
    <cfRule type="notContainsBlanks" dxfId="407" priority="1674">
      <formula>LEN(TRIM(E2630))&gt;0</formula>
    </cfRule>
  </conditionalFormatting>
  <conditionalFormatting sqref="E2635:I2635">
    <cfRule type="notContainsBlanks" dxfId="406" priority="1676">
      <formula>LEN(TRIM(E2635))&gt;0</formula>
    </cfRule>
    <cfRule type="colorScale" priority="1675">
      <colorScale>
        <cfvo type="min"/>
        <cfvo type="percentile" val="50"/>
        <cfvo type="max"/>
        <color rgb="FFF8696B"/>
        <color rgb="FFFFEB84"/>
        <color rgb="FF63BE7B"/>
      </colorScale>
    </cfRule>
  </conditionalFormatting>
  <conditionalFormatting sqref="E2639:I2640">
    <cfRule type="notContainsBlanks" dxfId="405" priority="1678">
      <formula>LEN(TRIM(E2639))&gt;0</formula>
    </cfRule>
    <cfRule type="colorScale" priority="1677">
      <colorScale>
        <cfvo type="min"/>
        <cfvo type="percentile" val="50"/>
        <cfvo type="max"/>
        <color rgb="FFF8696B"/>
        <color rgb="FFFFEB84"/>
        <color rgb="FF63BE7B"/>
      </colorScale>
    </cfRule>
  </conditionalFormatting>
  <conditionalFormatting sqref="E2644:I2645">
    <cfRule type="notContainsBlanks" dxfId="404" priority="1680">
      <formula>LEN(TRIM(E2644))&gt;0</formula>
    </cfRule>
    <cfRule type="colorScale" priority="1679">
      <colorScale>
        <cfvo type="min"/>
        <cfvo type="percentile" val="50"/>
        <cfvo type="max"/>
        <color rgb="FFF8696B"/>
        <color rgb="FFFFEB84"/>
        <color rgb="FF63BE7B"/>
      </colorScale>
    </cfRule>
  </conditionalFormatting>
  <conditionalFormatting sqref="E2649:I2652">
    <cfRule type="colorScale" priority="1681">
      <colorScale>
        <cfvo type="min"/>
        <cfvo type="percentile" val="50"/>
        <cfvo type="max"/>
        <color rgb="FFF8696B"/>
        <color rgb="FFFFEB84"/>
        <color rgb="FF63BE7B"/>
      </colorScale>
    </cfRule>
    <cfRule type="notContainsBlanks" dxfId="403" priority="1682">
      <formula>LEN(TRIM(E2649))&gt;0</formula>
    </cfRule>
  </conditionalFormatting>
  <conditionalFormatting sqref="E2720:I2721">
    <cfRule type="colorScale" priority="1715">
      <colorScale>
        <cfvo type="min"/>
        <cfvo type="percentile" val="50"/>
        <cfvo type="max"/>
        <color rgb="FFF8696B"/>
        <color rgb="FFFFEB84"/>
        <color rgb="FF63BE7B"/>
      </colorScale>
    </cfRule>
    <cfRule type="notContainsBlanks" dxfId="402" priority="1716">
      <formula>LEN(TRIM(E2720))&gt;0</formula>
    </cfRule>
  </conditionalFormatting>
  <conditionalFormatting sqref="E2729:I2730">
    <cfRule type="colorScale" priority="1719">
      <colorScale>
        <cfvo type="min"/>
        <cfvo type="percentile" val="50"/>
        <cfvo type="max"/>
        <color rgb="FFF8696B"/>
        <color rgb="FFFFEB84"/>
        <color rgb="FF63BE7B"/>
      </colorScale>
    </cfRule>
    <cfRule type="notContainsBlanks" dxfId="401" priority="1720">
      <formula>LEN(TRIM(E2729))&gt;0</formula>
    </cfRule>
  </conditionalFormatting>
  <conditionalFormatting sqref="E2734:I2735">
    <cfRule type="colorScale" priority="1721">
      <colorScale>
        <cfvo type="min"/>
        <cfvo type="percentile" val="50"/>
        <cfvo type="max"/>
        <color rgb="FFF8696B"/>
        <color rgb="FFFFEB84"/>
        <color rgb="FF63BE7B"/>
      </colorScale>
    </cfRule>
    <cfRule type="notContainsBlanks" dxfId="400" priority="1722">
      <formula>LEN(TRIM(E2734))&gt;0</formula>
    </cfRule>
  </conditionalFormatting>
  <conditionalFormatting sqref="E2739:I2740">
    <cfRule type="colorScale" priority="1723">
      <colorScale>
        <cfvo type="min"/>
        <cfvo type="percentile" val="50"/>
        <cfvo type="max"/>
        <color rgb="FFF8696B"/>
        <color rgb="FFFFEB84"/>
        <color rgb="FF63BE7B"/>
      </colorScale>
    </cfRule>
    <cfRule type="notContainsBlanks" dxfId="399" priority="1724">
      <formula>LEN(TRIM(E2739))&gt;0</formula>
    </cfRule>
  </conditionalFormatting>
  <conditionalFormatting sqref="E2744:I2745">
    <cfRule type="colorScale" priority="1725">
      <colorScale>
        <cfvo type="min"/>
        <cfvo type="percentile" val="50"/>
        <cfvo type="max"/>
        <color rgb="FFF8696B"/>
        <color rgb="FFFFEB84"/>
        <color rgb="FF63BE7B"/>
      </colorScale>
    </cfRule>
    <cfRule type="notContainsBlanks" dxfId="398" priority="1726">
      <formula>LEN(TRIM(E2744))&gt;0</formula>
    </cfRule>
  </conditionalFormatting>
  <conditionalFormatting sqref="E2749:I2750">
    <cfRule type="colorScale" priority="1727">
      <colorScale>
        <cfvo type="min"/>
        <cfvo type="percentile" val="50"/>
        <cfvo type="max"/>
        <color rgb="FFF8696B"/>
        <color rgb="FFFFEB84"/>
        <color rgb="FF63BE7B"/>
      </colorScale>
    </cfRule>
    <cfRule type="notContainsBlanks" dxfId="397" priority="1728">
      <formula>LEN(TRIM(E2749))&gt;0</formula>
    </cfRule>
  </conditionalFormatting>
  <conditionalFormatting sqref="E2754:I2755">
    <cfRule type="colorScale" priority="1729">
      <colorScale>
        <cfvo type="min"/>
        <cfvo type="percentile" val="50"/>
        <cfvo type="max"/>
        <color rgb="FFF8696B"/>
        <color rgb="FFFFEB84"/>
        <color rgb="FF63BE7B"/>
      </colorScale>
    </cfRule>
    <cfRule type="notContainsBlanks" dxfId="396" priority="1730">
      <formula>LEN(TRIM(E2754))&gt;0</formula>
    </cfRule>
  </conditionalFormatting>
  <conditionalFormatting sqref="E2759:I2760">
    <cfRule type="colorScale" priority="1731">
      <colorScale>
        <cfvo type="min"/>
        <cfvo type="percentile" val="50"/>
        <cfvo type="max"/>
        <color rgb="FFF8696B"/>
        <color rgb="FFFFEB84"/>
        <color rgb="FF63BE7B"/>
      </colorScale>
    </cfRule>
    <cfRule type="notContainsBlanks" dxfId="395" priority="1732">
      <formula>LEN(TRIM(E2759))&gt;0</formula>
    </cfRule>
  </conditionalFormatting>
  <conditionalFormatting sqref="E2764:I2765">
    <cfRule type="notContainsBlanks" dxfId="394" priority="1734">
      <formula>LEN(TRIM(E2764))&gt;0</formula>
    </cfRule>
    <cfRule type="colorScale" priority="1733">
      <colorScale>
        <cfvo type="min"/>
        <cfvo type="percentile" val="50"/>
        <cfvo type="max"/>
        <color rgb="FFF8696B"/>
        <color rgb="FFFFEB84"/>
        <color rgb="FF63BE7B"/>
      </colorScale>
    </cfRule>
  </conditionalFormatting>
  <conditionalFormatting sqref="E2769:I2769">
    <cfRule type="notContainsBlanks" dxfId="393" priority="1736">
      <formula>LEN(TRIM(E2769))&gt;0</formula>
    </cfRule>
    <cfRule type="colorScale" priority="1735">
      <colorScale>
        <cfvo type="min"/>
        <cfvo type="percentile" val="50"/>
        <cfvo type="max"/>
        <color rgb="FFF8696B"/>
        <color rgb="FFFFEB84"/>
        <color rgb="FF63BE7B"/>
      </colorScale>
    </cfRule>
  </conditionalFormatting>
  <conditionalFormatting sqref="E2773:I2774">
    <cfRule type="notContainsBlanks" dxfId="392" priority="1738">
      <formula>LEN(TRIM(E2773))&gt;0</formula>
    </cfRule>
    <cfRule type="colorScale" priority="1737">
      <colorScale>
        <cfvo type="min"/>
        <cfvo type="percentile" val="50"/>
        <cfvo type="max"/>
        <color rgb="FFF8696B"/>
        <color rgb="FFFFEB84"/>
        <color rgb="FF63BE7B"/>
      </colorScale>
    </cfRule>
  </conditionalFormatting>
  <conditionalFormatting sqref="E2778:I2779">
    <cfRule type="colorScale" priority="1739">
      <colorScale>
        <cfvo type="min"/>
        <cfvo type="percentile" val="50"/>
        <cfvo type="max"/>
        <color rgb="FFF8696B"/>
        <color rgb="FFFFEB84"/>
        <color rgb="FF63BE7B"/>
      </colorScale>
    </cfRule>
    <cfRule type="notContainsBlanks" dxfId="391" priority="1740">
      <formula>LEN(TRIM(E2778))&gt;0</formula>
    </cfRule>
  </conditionalFormatting>
  <conditionalFormatting sqref="E2783:I2786">
    <cfRule type="notContainsBlanks" dxfId="390" priority="1742">
      <formula>LEN(TRIM(E2783))&gt;0</formula>
    </cfRule>
    <cfRule type="colorScale" priority="1741">
      <colorScale>
        <cfvo type="min"/>
        <cfvo type="percentile" val="50"/>
        <cfvo type="max"/>
        <color rgb="FFF8696B"/>
        <color rgb="FFFFEB84"/>
        <color rgb="FF63BE7B"/>
      </colorScale>
    </cfRule>
  </conditionalFormatting>
  <conditionalFormatting sqref="E2920:I2921">
    <cfRule type="notContainsBlanks" dxfId="389" priority="1806">
      <formula>LEN(TRIM(E2920))&gt;0</formula>
    </cfRule>
    <cfRule type="colorScale" priority="1805">
      <colorScale>
        <cfvo type="min"/>
        <cfvo type="percentile" val="50"/>
        <cfvo type="max"/>
        <color rgb="FFF8696B"/>
        <color rgb="FFFFEB84"/>
        <color rgb="FF63BE7B"/>
      </colorScale>
    </cfRule>
  </conditionalFormatting>
  <conditionalFormatting sqref="E2929:I2930">
    <cfRule type="notContainsBlanks" dxfId="388" priority="1810">
      <formula>LEN(TRIM(E2929))&gt;0</formula>
    </cfRule>
    <cfRule type="colorScale" priority="1809">
      <colorScale>
        <cfvo type="min"/>
        <cfvo type="percentile" val="50"/>
        <cfvo type="max"/>
        <color rgb="FFF8696B"/>
        <color rgb="FFFFEB84"/>
        <color rgb="FF63BE7B"/>
      </colorScale>
    </cfRule>
  </conditionalFormatting>
  <conditionalFormatting sqref="E2934:I2935">
    <cfRule type="notContainsBlanks" dxfId="387" priority="1812">
      <formula>LEN(TRIM(E2934))&gt;0</formula>
    </cfRule>
    <cfRule type="colorScale" priority="1811">
      <colorScale>
        <cfvo type="min"/>
        <cfvo type="percentile" val="50"/>
        <cfvo type="max"/>
        <color rgb="FFF8696B"/>
        <color rgb="FFFFEB84"/>
        <color rgb="FF63BE7B"/>
      </colorScale>
    </cfRule>
  </conditionalFormatting>
  <conditionalFormatting sqref="E2939:I2940">
    <cfRule type="notContainsBlanks" dxfId="386" priority="1814">
      <formula>LEN(TRIM(E2939))&gt;0</formula>
    </cfRule>
    <cfRule type="colorScale" priority="1813">
      <colorScale>
        <cfvo type="min"/>
        <cfvo type="percentile" val="50"/>
        <cfvo type="max"/>
        <color rgb="FFF8696B"/>
        <color rgb="FFFFEB84"/>
        <color rgb="FF63BE7B"/>
      </colorScale>
    </cfRule>
  </conditionalFormatting>
  <conditionalFormatting sqref="E2944:I2945">
    <cfRule type="notContainsBlanks" dxfId="385" priority="1816">
      <formula>LEN(TRIM(E2944))&gt;0</formula>
    </cfRule>
    <cfRule type="colorScale" priority="1815">
      <colorScale>
        <cfvo type="min"/>
        <cfvo type="percentile" val="50"/>
        <cfvo type="max"/>
        <color rgb="FFF8696B"/>
        <color rgb="FFFFEB84"/>
        <color rgb="FF63BE7B"/>
      </colorScale>
    </cfRule>
  </conditionalFormatting>
  <conditionalFormatting sqref="E2949:I2950">
    <cfRule type="notContainsBlanks" dxfId="384" priority="1818">
      <formula>LEN(TRIM(E2949))&gt;0</formula>
    </cfRule>
    <cfRule type="colorScale" priority="1817">
      <colorScale>
        <cfvo type="min"/>
        <cfvo type="percentile" val="50"/>
        <cfvo type="max"/>
        <color rgb="FFF8696B"/>
        <color rgb="FFFFEB84"/>
        <color rgb="FF63BE7B"/>
      </colorScale>
    </cfRule>
  </conditionalFormatting>
  <conditionalFormatting sqref="E2954:I2955">
    <cfRule type="notContainsBlanks" dxfId="383" priority="1820">
      <formula>LEN(TRIM(E2954))&gt;0</formula>
    </cfRule>
    <cfRule type="colorScale" priority="1819">
      <colorScale>
        <cfvo type="min"/>
        <cfvo type="percentile" val="50"/>
        <cfvo type="max"/>
        <color rgb="FFF8696B"/>
        <color rgb="FFFFEB84"/>
        <color rgb="FF63BE7B"/>
      </colorScale>
    </cfRule>
  </conditionalFormatting>
  <conditionalFormatting sqref="E2959:I2960">
    <cfRule type="colorScale" priority="1821">
      <colorScale>
        <cfvo type="min"/>
        <cfvo type="percentile" val="50"/>
        <cfvo type="max"/>
        <color rgb="FFF8696B"/>
        <color rgb="FFFFEB84"/>
        <color rgb="FF63BE7B"/>
      </colorScale>
    </cfRule>
    <cfRule type="notContainsBlanks" dxfId="382" priority="1822">
      <formula>LEN(TRIM(E2959))&gt;0</formula>
    </cfRule>
  </conditionalFormatting>
  <conditionalFormatting sqref="E2964:I2965">
    <cfRule type="colorScale" priority="1823">
      <colorScale>
        <cfvo type="min"/>
        <cfvo type="percentile" val="50"/>
        <cfvo type="max"/>
        <color rgb="FFF8696B"/>
        <color rgb="FFFFEB84"/>
        <color rgb="FF63BE7B"/>
      </colorScale>
    </cfRule>
    <cfRule type="notContainsBlanks" dxfId="381" priority="1824">
      <formula>LEN(TRIM(E2964))&gt;0</formula>
    </cfRule>
  </conditionalFormatting>
  <conditionalFormatting sqref="E2969:I2969">
    <cfRule type="colorScale" priority="1825">
      <colorScale>
        <cfvo type="min"/>
        <cfvo type="percentile" val="50"/>
        <cfvo type="max"/>
        <color rgb="FFF8696B"/>
        <color rgb="FFFFEB84"/>
        <color rgb="FF63BE7B"/>
      </colorScale>
    </cfRule>
    <cfRule type="notContainsBlanks" dxfId="380" priority="1826">
      <formula>LEN(TRIM(E2969))&gt;0</formula>
    </cfRule>
  </conditionalFormatting>
  <conditionalFormatting sqref="E2973:I2974">
    <cfRule type="colorScale" priority="1827">
      <colorScale>
        <cfvo type="min"/>
        <cfvo type="percentile" val="50"/>
        <cfvo type="max"/>
        <color rgb="FFF8696B"/>
        <color rgb="FFFFEB84"/>
        <color rgb="FF63BE7B"/>
      </colorScale>
    </cfRule>
    <cfRule type="notContainsBlanks" dxfId="379" priority="1828">
      <formula>LEN(TRIM(E2973))&gt;0</formula>
    </cfRule>
  </conditionalFormatting>
  <conditionalFormatting sqref="E2978:I2979">
    <cfRule type="colorScale" priority="1829">
      <colorScale>
        <cfvo type="min"/>
        <cfvo type="percentile" val="50"/>
        <cfvo type="max"/>
        <color rgb="FFF8696B"/>
        <color rgb="FFFFEB84"/>
        <color rgb="FF63BE7B"/>
      </colorScale>
    </cfRule>
    <cfRule type="notContainsBlanks" dxfId="378" priority="1830">
      <formula>LEN(TRIM(E2978))&gt;0</formula>
    </cfRule>
  </conditionalFormatting>
  <conditionalFormatting sqref="E2983:I2986">
    <cfRule type="notContainsBlanks" dxfId="377" priority="1832">
      <formula>LEN(TRIM(E2983))&gt;0</formula>
    </cfRule>
    <cfRule type="colorScale" priority="1831">
      <colorScale>
        <cfvo type="min"/>
        <cfvo type="percentile" val="50"/>
        <cfvo type="max"/>
        <color rgb="FFF8696B"/>
        <color rgb="FFFFEB84"/>
        <color rgb="FF63BE7B"/>
      </colorScale>
    </cfRule>
  </conditionalFormatting>
  <conditionalFormatting sqref="E3472:I3473">
    <cfRule type="colorScale" priority="2045">
      <colorScale>
        <cfvo type="min"/>
        <cfvo type="percentile" val="50"/>
        <cfvo type="max"/>
        <color rgb="FFF8696B"/>
        <color rgb="FFFFEB84"/>
        <color rgb="FF63BE7B"/>
      </colorScale>
    </cfRule>
    <cfRule type="notContainsBlanks" dxfId="376" priority="2046">
      <formula>LEN(TRIM(E3472))&gt;0</formula>
    </cfRule>
  </conditionalFormatting>
  <conditionalFormatting sqref="E3481:I3482">
    <cfRule type="colorScale" priority="2049">
      <colorScale>
        <cfvo type="min"/>
        <cfvo type="percentile" val="50"/>
        <cfvo type="max"/>
        <color rgb="FFF8696B"/>
        <color rgb="FFFFEB84"/>
        <color rgb="FF63BE7B"/>
      </colorScale>
    </cfRule>
    <cfRule type="notContainsBlanks" dxfId="375" priority="2050">
      <formula>LEN(TRIM(E3481))&gt;0</formula>
    </cfRule>
  </conditionalFormatting>
  <conditionalFormatting sqref="E3486:I3486">
    <cfRule type="notContainsBlanks" dxfId="374" priority="2052">
      <formula>LEN(TRIM(E3486))&gt;0</formula>
    </cfRule>
    <cfRule type="colorScale" priority="2051">
      <colorScale>
        <cfvo type="min"/>
        <cfvo type="percentile" val="50"/>
        <cfvo type="max"/>
        <color rgb="FFF8696B"/>
        <color rgb="FFFFEB84"/>
        <color rgb="FF63BE7B"/>
      </colorScale>
    </cfRule>
  </conditionalFormatting>
  <conditionalFormatting sqref="E3490:I3491">
    <cfRule type="notContainsBlanks" dxfId="373" priority="2054">
      <formula>LEN(TRIM(E3490))&gt;0</formula>
    </cfRule>
    <cfRule type="colorScale" priority="2053">
      <colorScale>
        <cfvo type="min"/>
        <cfvo type="percentile" val="50"/>
        <cfvo type="max"/>
        <color rgb="FFF8696B"/>
        <color rgb="FFFFEB84"/>
        <color rgb="FF63BE7B"/>
      </colorScale>
    </cfRule>
  </conditionalFormatting>
  <conditionalFormatting sqref="E3495:I3496">
    <cfRule type="colorScale" priority="2055">
      <colorScale>
        <cfvo type="min"/>
        <cfvo type="percentile" val="50"/>
        <cfvo type="max"/>
        <color rgb="FFF8696B"/>
        <color rgb="FFFFEB84"/>
        <color rgb="FF63BE7B"/>
      </colorScale>
    </cfRule>
    <cfRule type="notContainsBlanks" dxfId="372" priority="2056">
      <formula>LEN(TRIM(E3495))&gt;0</formula>
    </cfRule>
  </conditionalFormatting>
  <conditionalFormatting sqref="E3500:I3501">
    <cfRule type="notContainsBlanks" dxfId="371" priority="2058">
      <formula>LEN(TRIM(E3500))&gt;0</formula>
    </cfRule>
    <cfRule type="colorScale" priority="2057">
      <colorScale>
        <cfvo type="min"/>
        <cfvo type="percentile" val="50"/>
        <cfvo type="max"/>
        <color rgb="FFF8696B"/>
        <color rgb="FFFFEB84"/>
        <color rgb="FF63BE7B"/>
      </colorScale>
    </cfRule>
  </conditionalFormatting>
  <conditionalFormatting sqref="E3505:I3506">
    <cfRule type="notContainsBlanks" dxfId="370" priority="2060">
      <formula>LEN(TRIM(E3505))&gt;0</formula>
    </cfRule>
    <cfRule type="colorScale" priority="2059">
      <colorScale>
        <cfvo type="min"/>
        <cfvo type="percentile" val="50"/>
        <cfvo type="max"/>
        <color rgb="FFF8696B"/>
        <color rgb="FFFFEB84"/>
        <color rgb="FF63BE7B"/>
      </colorScale>
    </cfRule>
  </conditionalFormatting>
  <conditionalFormatting sqref="E3510:I3511">
    <cfRule type="colorScale" priority="2061">
      <colorScale>
        <cfvo type="min"/>
        <cfvo type="percentile" val="50"/>
        <cfvo type="max"/>
        <color rgb="FFF8696B"/>
        <color rgb="FFFFEB84"/>
        <color rgb="FF63BE7B"/>
      </colorScale>
    </cfRule>
    <cfRule type="notContainsBlanks" dxfId="369" priority="2062">
      <formula>LEN(TRIM(E3510))&gt;0</formula>
    </cfRule>
  </conditionalFormatting>
  <conditionalFormatting sqref="E3515:I3516">
    <cfRule type="notContainsBlanks" dxfId="368" priority="2064">
      <formula>LEN(TRIM(E3515))&gt;0</formula>
    </cfRule>
    <cfRule type="colorScale" priority="2063">
      <colorScale>
        <cfvo type="min"/>
        <cfvo type="percentile" val="50"/>
        <cfvo type="max"/>
        <color rgb="FFF8696B"/>
        <color rgb="FFFFEB84"/>
        <color rgb="FF63BE7B"/>
      </colorScale>
    </cfRule>
  </conditionalFormatting>
  <conditionalFormatting sqref="E3520:I3520">
    <cfRule type="notContainsBlanks" dxfId="367" priority="2066">
      <formula>LEN(TRIM(E3520))&gt;0</formula>
    </cfRule>
    <cfRule type="colorScale" priority="2065">
      <colorScale>
        <cfvo type="min"/>
        <cfvo type="percentile" val="50"/>
        <cfvo type="max"/>
        <color rgb="FFF8696B"/>
        <color rgb="FFFFEB84"/>
        <color rgb="FF63BE7B"/>
      </colorScale>
    </cfRule>
  </conditionalFormatting>
  <conditionalFormatting sqref="E3524:I3525">
    <cfRule type="notContainsBlanks" dxfId="366" priority="2068">
      <formula>LEN(TRIM(E3524))&gt;0</formula>
    </cfRule>
    <cfRule type="colorScale" priority="2067">
      <colorScale>
        <cfvo type="min"/>
        <cfvo type="percentile" val="50"/>
        <cfvo type="max"/>
        <color rgb="FFF8696B"/>
        <color rgb="FFFFEB84"/>
        <color rgb="FF63BE7B"/>
      </colorScale>
    </cfRule>
  </conditionalFormatting>
  <conditionalFormatting sqref="E3529:I3530">
    <cfRule type="colorScale" priority="2069">
      <colorScale>
        <cfvo type="min"/>
        <cfvo type="percentile" val="50"/>
        <cfvo type="max"/>
        <color rgb="FFF8696B"/>
        <color rgb="FFFFEB84"/>
        <color rgb="FF63BE7B"/>
      </colorScale>
    </cfRule>
    <cfRule type="notContainsBlanks" dxfId="365" priority="2070">
      <formula>LEN(TRIM(E3529))&gt;0</formula>
    </cfRule>
  </conditionalFormatting>
  <conditionalFormatting sqref="E3534:I3537">
    <cfRule type="notContainsBlanks" dxfId="364" priority="2072">
      <formula>LEN(TRIM(E3534))&gt;0</formula>
    </cfRule>
    <cfRule type="colorScale" priority="2071">
      <colorScale>
        <cfvo type="min"/>
        <cfvo type="percentile" val="50"/>
        <cfvo type="max"/>
        <color rgb="FFF8696B"/>
        <color rgb="FFFFEB84"/>
        <color rgb="FF63BE7B"/>
      </colorScale>
    </cfRule>
  </conditionalFormatting>
  <conditionalFormatting sqref="E3545:I3545">
    <cfRule type="notContainsBlanks" dxfId="363" priority="2076">
      <formula>LEN(TRIM(E3545))&gt;0</formula>
    </cfRule>
    <cfRule type="colorScale" priority="2075">
      <colorScale>
        <cfvo type="min"/>
        <cfvo type="percentile" val="50"/>
        <cfvo type="max"/>
        <color rgb="FFF8696B"/>
        <color rgb="FFFFEB84"/>
        <color rgb="FF63BE7B"/>
      </colorScale>
    </cfRule>
  </conditionalFormatting>
  <conditionalFormatting sqref="E3553:I3553">
    <cfRule type="colorScale" priority="2079">
      <colorScale>
        <cfvo type="min"/>
        <cfvo type="percentile" val="50"/>
        <cfvo type="max"/>
        <color rgb="FFF8696B"/>
        <color rgb="FFFFEB84"/>
        <color rgb="FF63BE7B"/>
      </colorScale>
    </cfRule>
    <cfRule type="notContainsBlanks" dxfId="362" priority="2080">
      <formula>LEN(TRIM(E3553))&gt;0</formula>
    </cfRule>
  </conditionalFormatting>
  <conditionalFormatting sqref="E3557:I3557">
    <cfRule type="colorScale" priority="2081">
      <colorScale>
        <cfvo type="min"/>
        <cfvo type="percentile" val="50"/>
        <cfvo type="max"/>
        <color rgb="FFF8696B"/>
        <color rgb="FFFFEB84"/>
        <color rgb="FF63BE7B"/>
      </colorScale>
    </cfRule>
    <cfRule type="notContainsBlanks" dxfId="361" priority="2082">
      <formula>LEN(TRIM(E3557))&gt;0</formula>
    </cfRule>
  </conditionalFormatting>
  <conditionalFormatting sqref="E3561:I3562">
    <cfRule type="notContainsBlanks" dxfId="360" priority="2084">
      <formula>LEN(TRIM(E3561))&gt;0</formula>
    </cfRule>
    <cfRule type="colorScale" priority="2083">
      <colorScale>
        <cfvo type="min"/>
        <cfvo type="percentile" val="50"/>
        <cfvo type="max"/>
        <color rgb="FFF8696B"/>
        <color rgb="FFFFEB84"/>
        <color rgb="FF63BE7B"/>
      </colorScale>
    </cfRule>
  </conditionalFormatting>
  <conditionalFormatting sqref="E3566:I3567">
    <cfRule type="colorScale" priority="2085">
      <colorScale>
        <cfvo type="min"/>
        <cfvo type="percentile" val="50"/>
        <cfvo type="max"/>
        <color rgb="FFF8696B"/>
        <color rgb="FFFFEB84"/>
        <color rgb="FF63BE7B"/>
      </colorScale>
    </cfRule>
    <cfRule type="notContainsBlanks" dxfId="359" priority="2086">
      <formula>LEN(TRIM(E3566))&gt;0</formula>
    </cfRule>
  </conditionalFormatting>
  <conditionalFormatting sqref="E3571:I3572">
    <cfRule type="colorScale" priority="2087">
      <colorScale>
        <cfvo type="min"/>
        <cfvo type="percentile" val="50"/>
        <cfvo type="max"/>
        <color rgb="FFF8696B"/>
        <color rgb="FFFFEB84"/>
        <color rgb="FF63BE7B"/>
      </colorScale>
    </cfRule>
    <cfRule type="notContainsBlanks" dxfId="358" priority="2088">
      <formula>LEN(TRIM(E3571))&gt;0</formula>
    </cfRule>
  </conditionalFormatting>
  <conditionalFormatting sqref="E3576:I3577">
    <cfRule type="colorScale" priority="2089">
      <colorScale>
        <cfvo type="min"/>
        <cfvo type="percentile" val="50"/>
        <cfvo type="max"/>
        <color rgb="FFF8696B"/>
        <color rgb="FFFFEB84"/>
        <color rgb="FF63BE7B"/>
      </colorScale>
    </cfRule>
    <cfRule type="notContainsBlanks" dxfId="357" priority="2090">
      <formula>LEN(TRIM(E3576))&gt;0</formula>
    </cfRule>
  </conditionalFormatting>
  <conditionalFormatting sqref="E3581:I3582">
    <cfRule type="notContainsBlanks" dxfId="356" priority="2092">
      <formula>LEN(TRIM(E3581))&gt;0</formula>
    </cfRule>
    <cfRule type="colorScale" priority="2091">
      <colorScale>
        <cfvo type="min"/>
        <cfvo type="percentile" val="50"/>
        <cfvo type="max"/>
        <color rgb="FFF8696B"/>
        <color rgb="FFFFEB84"/>
        <color rgb="FF63BE7B"/>
      </colorScale>
    </cfRule>
  </conditionalFormatting>
  <conditionalFormatting sqref="E3586:I3587">
    <cfRule type="notContainsBlanks" dxfId="355" priority="2094">
      <formula>LEN(TRIM(E3586))&gt;0</formula>
    </cfRule>
    <cfRule type="colorScale" priority="2093">
      <colorScale>
        <cfvo type="min"/>
        <cfvo type="percentile" val="50"/>
        <cfvo type="max"/>
        <color rgb="FFF8696B"/>
        <color rgb="FFFFEB84"/>
        <color rgb="FF63BE7B"/>
      </colorScale>
    </cfRule>
  </conditionalFormatting>
  <conditionalFormatting sqref="E3591:I3591">
    <cfRule type="notContainsBlanks" dxfId="354" priority="2096">
      <formula>LEN(TRIM(E3591))&gt;0</formula>
    </cfRule>
    <cfRule type="colorScale" priority="2095">
      <colorScale>
        <cfvo type="min"/>
        <cfvo type="percentile" val="50"/>
        <cfvo type="max"/>
        <color rgb="FFF8696B"/>
        <color rgb="FFFFEB84"/>
        <color rgb="FF63BE7B"/>
      </colorScale>
    </cfRule>
  </conditionalFormatting>
  <conditionalFormatting sqref="E3595:I3596">
    <cfRule type="colorScale" priority="2097">
      <colorScale>
        <cfvo type="min"/>
        <cfvo type="percentile" val="50"/>
        <cfvo type="max"/>
        <color rgb="FFF8696B"/>
        <color rgb="FFFFEB84"/>
        <color rgb="FF63BE7B"/>
      </colorScale>
    </cfRule>
    <cfRule type="notContainsBlanks" dxfId="353" priority="2098">
      <formula>LEN(TRIM(E3595))&gt;0</formula>
    </cfRule>
  </conditionalFormatting>
  <conditionalFormatting sqref="E3600:I3601">
    <cfRule type="colorScale" priority="2099">
      <colorScale>
        <cfvo type="min"/>
        <cfvo type="percentile" val="50"/>
        <cfvo type="max"/>
        <color rgb="FFF8696B"/>
        <color rgb="FFFFEB84"/>
        <color rgb="FF63BE7B"/>
      </colorScale>
    </cfRule>
    <cfRule type="notContainsBlanks" dxfId="352" priority="2100">
      <formula>LEN(TRIM(E3600))&gt;0</formula>
    </cfRule>
  </conditionalFormatting>
  <conditionalFormatting sqref="E3605:I3608">
    <cfRule type="notContainsBlanks" dxfId="351" priority="2102">
      <formula>LEN(TRIM(E3605))&gt;0</formula>
    </cfRule>
    <cfRule type="colorScale" priority="2101">
      <colorScale>
        <cfvo type="min"/>
        <cfvo type="percentile" val="50"/>
        <cfvo type="max"/>
        <color rgb="FFF8696B"/>
        <color rgb="FFFFEB84"/>
        <color rgb="FF63BE7B"/>
      </colorScale>
    </cfRule>
  </conditionalFormatting>
  <conditionalFormatting sqref="E3616:I3616">
    <cfRule type="notContainsBlanks" dxfId="350" priority="2106">
      <formula>LEN(TRIM(E3616))&gt;0</formula>
    </cfRule>
    <cfRule type="colorScale" priority="2105">
      <colorScale>
        <cfvo type="min"/>
        <cfvo type="percentile" val="50"/>
        <cfvo type="max"/>
        <color rgb="FFF8696B"/>
        <color rgb="FFFFEB84"/>
        <color rgb="FF63BE7B"/>
      </colorScale>
    </cfRule>
  </conditionalFormatting>
  <conditionalFormatting sqref="E3624:I3624">
    <cfRule type="notContainsBlanks" dxfId="349" priority="2110">
      <formula>LEN(TRIM(E3624))&gt;0</formula>
    </cfRule>
    <cfRule type="colorScale" priority="2109">
      <colorScale>
        <cfvo type="min"/>
        <cfvo type="percentile" val="50"/>
        <cfvo type="max"/>
        <color rgb="FFF8696B"/>
        <color rgb="FFFFEB84"/>
        <color rgb="FF63BE7B"/>
      </colorScale>
    </cfRule>
  </conditionalFormatting>
  <conditionalFormatting sqref="E3628:I3628">
    <cfRule type="notContainsBlanks" dxfId="348" priority="2112">
      <formula>LEN(TRIM(E3628))&gt;0</formula>
    </cfRule>
    <cfRule type="colorScale" priority="2111">
      <colorScale>
        <cfvo type="min"/>
        <cfvo type="percentile" val="50"/>
        <cfvo type="max"/>
        <color rgb="FFF8696B"/>
        <color rgb="FFFFEB84"/>
        <color rgb="FF63BE7B"/>
      </colorScale>
    </cfRule>
  </conditionalFormatting>
  <conditionalFormatting sqref="E3632:I3633">
    <cfRule type="notContainsBlanks" dxfId="347" priority="2114">
      <formula>LEN(TRIM(E3632))&gt;0</formula>
    </cfRule>
    <cfRule type="colorScale" priority="2113">
      <colorScale>
        <cfvo type="min"/>
        <cfvo type="percentile" val="50"/>
        <cfvo type="max"/>
        <color rgb="FFF8696B"/>
        <color rgb="FFFFEB84"/>
        <color rgb="FF63BE7B"/>
      </colorScale>
    </cfRule>
  </conditionalFormatting>
  <conditionalFormatting sqref="E3637:I3638">
    <cfRule type="colorScale" priority="2115">
      <colorScale>
        <cfvo type="min"/>
        <cfvo type="percentile" val="50"/>
        <cfvo type="max"/>
        <color rgb="FFF8696B"/>
        <color rgb="FFFFEB84"/>
        <color rgb="FF63BE7B"/>
      </colorScale>
    </cfRule>
    <cfRule type="notContainsBlanks" dxfId="346" priority="2116">
      <formula>LEN(TRIM(E3637))&gt;0</formula>
    </cfRule>
  </conditionalFormatting>
  <conditionalFormatting sqref="E3642:I3643">
    <cfRule type="notContainsBlanks" dxfId="345" priority="2118">
      <formula>LEN(TRIM(E3642))&gt;0</formula>
    </cfRule>
    <cfRule type="colorScale" priority="2117">
      <colorScale>
        <cfvo type="min"/>
        <cfvo type="percentile" val="50"/>
        <cfvo type="max"/>
        <color rgb="FFF8696B"/>
        <color rgb="FFFFEB84"/>
        <color rgb="FF63BE7B"/>
      </colorScale>
    </cfRule>
  </conditionalFormatting>
  <conditionalFormatting sqref="E3647:I3648">
    <cfRule type="colorScale" priority="2119">
      <colorScale>
        <cfvo type="min"/>
        <cfvo type="percentile" val="50"/>
        <cfvo type="max"/>
        <color rgb="FFF8696B"/>
        <color rgb="FFFFEB84"/>
        <color rgb="FF63BE7B"/>
      </colorScale>
    </cfRule>
    <cfRule type="notContainsBlanks" dxfId="344" priority="2120">
      <formula>LEN(TRIM(E3647))&gt;0</formula>
    </cfRule>
  </conditionalFormatting>
  <conditionalFormatting sqref="E3652:I3653">
    <cfRule type="notContainsBlanks" dxfId="343" priority="2122">
      <formula>LEN(TRIM(E3652))&gt;0</formula>
    </cfRule>
    <cfRule type="colorScale" priority="2121">
      <colorScale>
        <cfvo type="min"/>
        <cfvo type="percentile" val="50"/>
        <cfvo type="max"/>
        <color rgb="FFF8696B"/>
        <color rgb="FFFFEB84"/>
        <color rgb="FF63BE7B"/>
      </colorScale>
    </cfRule>
  </conditionalFormatting>
  <conditionalFormatting sqref="E3657:I3658">
    <cfRule type="colorScale" priority="2123">
      <colorScale>
        <cfvo type="min"/>
        <cfvo type="percentile" val="50"/>
        <cfvo type="max"/>
        <color rgb="FFF8696B"/>
        <color rgb="FFFFEB84"/>
        <color rgb="FF63BE7B"/>
      </colorScale>
    </cfRule>
    <cfRule type="notContainsBlanks" dxfId="342" priority="2124">
      <formula>LEN(TRIM(E3657))&gt;0</formula>
    </cfRule>
  </conditionalFormatting>
  <conditionalFormatting sqref="E3662:I3662">
    <cfRule type="colorScale" priority="2125">
      <colorScale>
        <cfvo type="min"/>
        <cfvo type="percentile" val="50"/>
        <cfvo type="max"/>
        <color rgb="FFF8696B"/>
        <color rgb="FFFFEB84"/>
        <color rgb="FF63BE7B"/>
      </colorScale>
    </cfRule>
    <cfRule type="notContainsBlanks" dxfId="341" priority="2126">
      <formula>LEN(TRIM(E3662))&gt;0</formula>
    </cfRule>
  </conditionalFormatting>
  <conditionalFormatting sqref="E3666:I3667">
    <cfRule type="colorScale" priority="2127">
      <colorScale>
        <cfvo type="min"/>
        <cfvo type="percentile" val="50"/>
        <cfvo type="max"/>
        <color rgb="FFF8696B"/>
        <color rgb="FFFFEB84"/>
        <color rgb="FF63BE7B"/>
      </colorScale>
    </cfRule>
    <cfRule type="notContainsBlanks" dxfId="340" priority="2128">
      <formula>LEN(TRIM(E3666))&gt;0</formula>
    </cfRule>
  </conditionalFormatting>
  <conditionalFormatting sqref="E3671:I3672">
    <cfRule type="notContainsBlanks" dxfId="339" priority="2130">
      <formula>LEN(TRIM(E3671))&gt;0</formula>
    </cfRule>
    <cfRule type="colorScale" priority="2129">
      <colorScale>
        <cfvo type="min"/>
        <cfvo type="percentile" val="50"/>
        <cfvo type="max"/>
        <color rgb="FFF8696B"/>
        <color rgb="FFFFEB84"/>
        <color rgb="FF63BE7B"/>
      </colorScale>
    </cfRule>
  </conditionalFormatting>
  <conditionalFormatting sqref="E3676:I3679">
    <cfRule type="notContainsBlanks" dxfId="338" priority="2132">
      <formula>LEN(TRIM(E3676))&gt;0</formula>
    </cfRule>
    <cfRule type="colorScale" priority="2131">
      <colorScale>
        <cfvo type="min"/>
        <cfvo type="percentile" val="50"/>
        <cfvo type="max"/>
        <color rgb="FFF8696B"/>
        <color rgb="FFFFEB84"/>
        <color rgb="FF63BE7B"/>
      </colorScale>
    </cfRule>
  </conditionalFormatting>
  <conditionalFormatting sqref="E3687:I3687">
    <cfRule type="notContainsBlanks" dxfId="337" priority="2136">
      <formula>LEN(TRIM(E3687))&gt;0</formula>
    </cfRule>
    <cfRule type="colorScale" priority="2135">
      <colorScale>
        <cfvo type="min"/>
        <cfvo type="percentile" val="50"/>
        <cfvo type="max"/>
        <color rgb="FFF8696B"/>
        <color rgb="FFFFEB84"/>
        <color rgb="FF63BE7B"/>
      </colorScale>
    </cfRule>
  </conditionalFormatting>
  <conditionalFormatting sqref="E3695:I3696">
    <cfRule type="notContainsBlanks" dxfId="336" priority="2140">
      <formula>LEN(TRIM(E3695))&gt;0</formula>
    </cfRule>
    <cfRule type="colorScale" priority="2139">
      <colorScale>
        <cfvo type="min"/>
        <cfvo type="percentile" val="50"/>
        <cfvo type="max"/>
        <color rgb="FFF8696B"/>
        <color rgb="FFFFEB84"/>
        <color rgb="FF63BE7B"/>
      </colorScale>
    </cfRule>
  </conditionalFormatting>
  <conditionalFormatting sqref="E3700:I3700">
    <cfRule type="colorScale" priority="2141">
      <colorScale>
        <cfvo type="min"/>
        <cfvo type="percentile" val="50"/>
        <cfvo type="max"/>
        <color rgb="FFF8696B"/>
        <color rgb="FFFFEB84"/>
        <color rgb="FF63BE7B"/>
      </colorScale>
    </cfRule>
    <cfRule type="notContainsBlanks" dxfId="335" priority="2142">
      <formula>LEN(TRIM(E3700))&gt;0</formula>
    </cfRule>
  </conditionalFormatting>
  <conditionalFormatting sqref="E3704:I3705">
    <cfRule type="colorScale" priority="2143">
      <colorScale>
        <cfvo type="min"/>
        <cfvo type="percentile" val="50"/>
        <cfvo type="max"/>
        <color rgb="FFF8696B"/>
        <color rgb="FFFFEB84"/>
        <color rgb="FF63BE7B"/>
      </colorScale>
    </cfRule>
    <cfRule type="notContainsBlanks" dxfId="334" priority="2144">
      <formula>LEN(TRIM(E3704))&gt;0</formula>
    </cfRule>
  </conditionalFormatting>
  <conditionalFormatting sqref="E3709:I3709">
    <cfRule type="notContainsBlanks" dxfId="333" priority="2146">
      <formula>LEN(TRIM(E3709))&gt;0</formula>
    </cfRule>
    <cfRule type="colorScale" priority="2145">
      <colorScale>
        <cfvo type="min"/>
        <cfvo type="percentile" val="50"/>
        <cfvo type="max"/>
        <color rgb="FFF8696B"/>
        <color rgb="FFFFEB84"/>
        <color rgb="FF63BE7B"/>
      </colorScale>
    </cfRule>
  </conditionalFormatting>
  <conditionalFormatting sqref="E3713:I3713">
    <cfRule type="notContainsBlanks" dxfId="332" priority="2148">
      <formula>LEN(TRIM(E3713))&gt;0</formula>
    </cfRule>
    <cfRule type="colorScale" priority="2147">
      <colorScale>
        <cfvo type="min"/>
        <cfvo type="percentile" val="50"/>
        <cfvo type="max"/>
        <color rgb="FFF8696B"/>
        <color rgb="FFFFEB84"/>
        <color rgb="FF63BE7B"/>
      </colorScale>
    </cfRule>
  </conditionalFormatting>
  <conditionalFormatting sqref="E3717:I3718">
    <cfRule type="notContainsBlanks" dxfId="331" priority="2150">
      <formula>LEN(TRIM(E3717))&gt;0</formula>
    </cfRule>
    <cfRule type="colorScale" priority="2149">
      <colorScale>
        <cfvo type="min"/>
        <cfvo type="percentile" val="50"/>
        <cfvo type="max"/>
        <color rgb="FFF8696B"/>
        <color rgb="FFFFEB84"/>
        <color rgb="FF63BE7B"/>
      </colorScale>
    </cfRule>
  </conditionalFormatting>
  <conditionalFormatting sqref="E3722:I3723">
    <cfRule type="notContainsBlanks" dxfId="330" priority="2152">
      <formula>LEN(TRIM(E3722))&gt;0</formula>
    </cfRule>
    <cfRule type="colorScale" priority="2151">
      <colorScale>
        <cfvo type="min"/>
        <cfvo type="percentile" val="50"/>
        <cfvo type="max"/>
        <color rgb="FFF8696B"/>
        <color rgb="FFFFEB84"/>
        <color rgb="FF63BE7B"/>
      </colorScale>
    </cfRule>
  </conditionalFormatting>
  <conditionalFormatting sqref="E3727:I3728">
    <cfRule type="colorScale" priority="2153">
      <colorScale>
        <cfvo type="min"/>
        <cfvo type="percentile" val="50"/>
        <cfvo type="max"/>
        <color rgb="FFF8696B"/>
        <color rgb="FFFFEB84"/>
        <color rgb="FF63BE7B"/>
      </colorScale>
    </cfRule>
    <cfRule type="notContainsBlanks" dxfId="329" priority="2154">
      <formula>LEN(TRIM(E3727))&gt;0</formula>
    </cfRule>
  </conditionalFormatting>
  <conditionalFormatting sqref="E3732:I3732">
    <cfRule type="colorScale" priority="2155">
      <colorScale>
        <cfvo type="min"/>
        <cfvo type="percentile" val="50"/>
        <cfvo type="max"/>
        <color rgb="FFF8696B"/>
        <color rgb="FFFFEB84"/>
        <color rgb="FF63BE7B"/>
      </colorScale>
    </cfRule>
    <cfRule type="notContainsBlanks" dxfId="328" priority="2156">
      <formula>LEN(TRIM(E3732))&gt;0</formula>
    </cfRule>
  </conditionalFormatting>
  <conditionalFormatting sqref="E3736:I3737">
    <cfRule type="colorScale" priority="2157">
      <colorScale>
        <cfvo type="min"/>
        <cfvo type="percentile" val="50"/>
        <cfvo type="max"/>
        <color rgb="FFF8696B"/>
        <color rgb="FFFFEB84"/>
        <color rgb="FF63BE7B"/>
      </colorScale>
    </cfRule>
    <cfRule type="notContainsBlanks" dxfId="327" priority="2158">
      <formula>LEN(TRIM(E3736))&gt;0</formula>
    </cfRule>
  </conditionalFormatting>
  <conditionalFormatting sqref="E3741:I3742">
    <cfRule type="notContainsBlanks" dxfId="326" priority="2160">
      <formula>LEN(TRIM(E3741))&gt;0</formula>
    </cfRule>
    <cfRule type="colorScale" priority="2159">
      <colorScale>
        <cfvo type="min"/>
        <cfvo type="percentile" val="50"/>
        <cfvo type="max"/>
        <color rgb="FFF8696B"/>
        <color rgb="FFFFEB84"/>
        <color rgb="FF63BE7B"/>
      </colorScale>
    </cfRule>
  </conditionalFormatting>
  <conditionalFormatting sqref="E3746:I3749">
    <cfRule type="notContainsBlanks" dxfId="325" priority="2162">
      <formula>LEN(TRIM(E3746))&gt;0</formula>
    </cfRule>
    <cfRule type="colorScale" priority="2161">
      <colorScale>
        <cfvo type="min"/>
        <cfvo type="percentile" val="50"/>
        <cfvo type="max"/>
        <color rgb="FFF8696B"/>
        <color rgb="FFFFEB84"/>
        <color rgb="FF63BE7B"/>
      </colorScale>
    </cfRule>
  </conditionalFormatting>
  <conditionalFormatting sqref="E3830:I3831">
    <cfRule type="notContainsBlanks" dxfId="324" priority="2196">
      <formula>LEN(TRIM(E3830))&gt;0</formula>
    </cfRule>
    <cfRule type="colorScale" priority="2195">
      <colorScale>
        <cfvo type="min"/>
        <cfvo type="percentile" val="50"/>
        <cfvo type="max"/>
        <color rgb="FFF8696B"/>
        <color rgb="FFFFEB84"/>
        <color rgb="FF63BE7B"/>
      </colorScale>
    </cfRule>
  </conditionalFormatting>
  <conditionalFormatting sqref="E3839:I3840">
    <cfRule type="colorScale" priority="2199">
      <colorScale>
        <cfvo type="min"/>
        <cfvo type="percentile" val="50"/>
        <cfvo type="max"/>
        <color rgb="FFF8696B"/>
        <color rgb="FFFFEB84"/>
        <color rgb="FF63BE7B"/>
      </colorScale>
    </cfRule>
    <cfRule type="notContainsBlanks" dxfId="323" priority="2200">
      <formula>LEN(TRIM(E3839))&gt;0</formula>
    </cfRule>
  </conditionalFormatting>
  <conditionalFormatting sqref="E3844:I3845">
    <cfRule type="colorScale" priority="2201">
      <colorScale>
        <cfvo type="min"/>
        <cfvo type="percentile" val="50"/>
        <cfvo type="max"/>
        <color rgb="FFF8696B"/>
        <color rgb="FFFFEB84"/>
        <color rgb="FF63BE7B"/>
      </colorScale>
    </cfRule>
    <cfRule type="notContainsBlanks" dxfId="322" priority="2202">
      <formula>LEN(TRIM(E3844))&gt;0</formula>
    </cfRule>
  </conditionalFormatting>
  <conditionalFormatting sqref="E3849:I3850">
    <cfRule type="colorScale" priority="2203">
      <colorScale>
        <cfvo type="min"/>
        <cfvo type="percentile" val="50"/>
        <cfvo type="max"/>
        <color rgb="FFF8696B"/>
        <color rgb="FFFFEB84"/>
        <color rgb="FF63BE7B"/>
      </colorScale>
    </cfRule>
    <cfRule type="notContainsBlanks" dxfId="321" priority="2204">
      <formula>LEN(TRIM(E3849))&gt;0</formula>
    </cfRule>
  </conditionalFormatting>
  <conditionalFormatting sqref="E3854:I3855">
    <cfRule type="colorScale" priority="2205">
      <colorScale>
        <cfvo type="min"/>
        <cfvo type="percentile" val="50"/>
        <cfvo type="max"/>
        <color rgb="FFF8696B"/>
        <color rgb="FFFFEB84"/>
        <color rgb="FF63BE7B"/>
      </colorScale>
    </cfRule>
    <cfRule type="notContainsBlanks" dxfId="320" priority="2206">
      <formula>LEN(TRIM(E3854))&gt;0</formula>
    </cfRule>
  </conditionalFormatting>
  <conditionalFormatting sqref="E3859:I3860">
    <cfRule type="colorScale" priority="2207">
      <colorScale>
        <cfvo type="min"/>
        <cfvo type="percentile" val="50"/>
        <cfvo type="max"/>
        <color rgb="FFF8696B"/>
        <color rgb="FFFFEB84"/>
        <color rgb="FF63BE7B"/>
      </colorScale>
    </cfRule>
    <cfRule type="notContainsBlanks" dxfId="319" priority="2208">
      <formula>LEN(TRIM(E3859))&gt;0</formula>
    </cfRule>
  </conditionalFormatting>
  <conditionalFormatting sqref="E3864:I3865">
    <cfRule type="notContainsBlanks" dxfId="318" priority="2210">
      <formula>LEN(TRIM(E3864))&gt;0</formula>
    </cfRule>
    <cfRule type="colorScale" priority="2209">
      <colorScale>
        <cfvo type="min"/>
        <cfvo type="percentile" val="50"/>
        <cfvo type="max"/>
        <color rgb="FFF8696B"/>
        <color rgb="FFFFEB84"/>
        <color rgb="FF63BE7B"/>
      </colorScale>
    </cfRule>
  </conditionalFormatting>
  <conditionalFormatting sqref="E3869:I3870">
    <cfRule type="colorScale" priority="2211">
      <colorScale>
        <cfvo type="min"/>
        <cfvo type="percentile" val="50"/>
        <cfvo type="max"/>
        <color rgb="FFF8696B"/>
        <color rgb="FFFFEB84"/>
        <color rgb="FF63BE7B"/>
      </colorScale>
    </cfRule>
    <cfRule type="notContainsBlanks" dxfId="317" priority="2212">
      <formula>LEN(TRIM(E3869))&gt;0</formula>
    </cfRule>
  </conditionalFormatting>
  <conditionalFormatting sqref="E3874:I3875">
    <cfRule type="notContainsBlanks" dxfId="316" priority="2214">
      <formula>LEN(TRIM(E3874))&gt;0</formula>
    </cfRule>
    <cfRule type="colorScale" priority="2213">
      <colorScale>
        <cfvo type="min"/>
        <cfvo type="percentile" val="50"/>
        <cfvo type="max"/>
        <color rgb="FFF8696B"/>
        <color rgb="FFFFEB84"/>
        <color rgb="FF63BE7B"/>
      </colorScale>
    </cfRule>
  </conditionalFormatting>
  <conditionalFormatting sqref="E3879:I3879">
    <cfRule type="notContainsBlanks" dxfId="315" priority="2216">
      <formula>LEN(TRIM(E3879))&gt;0</formula>
    </cfRule>
    <cfRule type="colorScale" priority="2215">
      <colorScale>
        <cfvo type="min"/>
        <cfvo type="percentile" val="50"/>
        <cfvo type="max"/>
        <color rgb="FFF8696B"/>
        <color rgb="FFFFEB84"/>
        <color rgb="FF63BE7B"/>
      </colorScale>
    </cfRule>
  </conditionalFormatting>
  <conditionalFormatting sqref="E3883:I3884">
    <cfRule type="notContainsBlanks" dxfId="314" priority="2218">
      <formula>LEN(TRIM(E3883))&gt;0</formula>
    </cfRule>
    <cfRule type="colorScale" priority="2217">
      <colorScale>
        <cfvo type="min"/>
        <cfvo type="percentile" val="50"/>
        <cfvo type="max"/>
        <color rgb="FFF8696B"/>
        <color rgb="FFFFEB84"/>
        <color rgb="FF63BE7B"/>
      </colorScale>
    </cfRule>
  </conditionalFormatting>
  <conditionalFormatting sqref="E3888:I3889">
    <cfRule type="notContainsBlanks" dxfId="313" priority="2220">
      <formula>LEN(TRIM(E3888))&gt;0</formula>
    </cfRule>
    <cfRule type="colorScale" priority="2219">
      <colorScale>
        <cfvo type="min"/>
        <cfvo type="percentile" val="50"/>
        <cfvo type="max"/>
        <color rgb="FFF8696B"/>
        <color rgb="FFFFEB84"/>
        <color rgb="FF63BE7B"/>
      </colorScale>
    </cfRule>
  </conditionalFormatting>
  <conditionalFormatting sqref="E3893:I3896">
    <cfRule type="colorScale" priority="2221">
      <colorScale>
        <cfvo type="min"/>
        <cfvo type="percentile" val="50"/>
        <cfvo type="max"/>
        <color rgb="FFF8696B"/>
        <color rgb="FFFFEB84"/>
        <color rgb="FF63BE7B"/>
      </colorScale>
    </cfRule>
    <cfRule type="notContainsBlanks" dxfId="312" priority="2222">
      <formula>LEN(TRIM(E3893))&gt;0</formula>
    </cfRule>
  </conditionalFormatting>
  <conditionalFormatting sqref="E3967:I3968">
    <cfRule type="notContainsBlanks" dxfId="311" priority="2256">
      <formula>LEN(TRIM(E3967))&gt;0</formula>
    </cfRule>
    <cfRule type="colorScale" priority="2255">
      <colorScale>
        <cfvo type="min"/>
        <cfvo type="percentile" val="50"/>
        <cfvo type="max"/>
        <color rgb="FFF8696B"/>
        <color rgb="FFFFEB84"/>
        <color rgb="FF63BE7B"/>
      </colorScale>
    </cfRule>
  </conditionalFormatting>
  <conditionalFormatting sqref="E3976:I3977">
    <cfRule type="notContainsBlanks" dxfId="310" priority="2260">
      <formula>LEN(TRIM(E3976))&gt;0</formula>
    </cfRule>
    <cfRule type="colorScale" priority="2259">
      <colorScale>
        <cfvo type="min"/>
        <cfvo type="percentile" val="50"/>
        <cfvo type="max"/>
        <color rgb="FFF8696B"/>
        <color rgb="FFFFEB84"/>
        <color rgb="FF63BE7B"/>
      </colorScale>
    </cfRule>
  </conditionalFormatting>
  <conditionalFormatting sqref="E3981:I3982">
    <cfRule type="colorScale" priority="2261">
      <colorScale>
        <cfvo type="min"/>
        <cfvo type="percentile" val="50"/>
        <cfvo type="max"/>
        <color rgb="FFF8696B"/>
        <color rgb="FFFFEB84"/>
        <color rgb="FF63BE7B"/>
      </colorScale>
    </cfRule>
    <cfRule type="notContainsBlanks" dxfId="309" priority="2262">
      <formula>LEN(TRIM(E3981))&gt;0</formula>
    </cfRule>
  </conditionalFormatting>
  <conditionalFormatting sqref="E3986:I3987">
    <cfRule type="colorScale" priority="2263">
      <colorScale>
        <cfvo type="min"/>
        <cfvo type="percentile" val="50"/>
        <cfvo type="max"/>
        <color rgb="FFF8696B"/>
        <color rgb="FFFFEB84"/>
        <color rgb="FF63BE7B"/>
      </colorScale>
    </cfRule>
    <cfRule type="notContainsBlanks" dxfId="308" priority="2264">
      <formula>LEN(TRIM(E3986))&gt;0</formula>
    </cfRule>
  </conditionalFormatting>
  <conditionalFormatting sqref="E3991:I3992">
    <cfRule type="colorScale" priority="2265">
      <colorScale>
        <cfvo type="min"/>
        <cfvo type="percentile" val="50"/>
        <cfvo type="max"/>
        <color rgb="FFF8696B"/>
        <color rgb="FFFFEB84"/>
        <color rgb="FF63BE7B"/>
      </colorScale>
    </cfRule>
    <cfRule type="notContainsBlanks" dxfId="307" priority="2266">
      <formula>LEN(TRIM(E3991))&gt;0</formula>
    </cfRule>
  </conditionalFormatting>
  <conditionalFormatting sqref="E3996:I3997">
    <cfRule type="colorScale" priority="2267">
      <colorScale>
        <cfvo type="min"/>
        <cfvo type="percentile" val="50"/>
        <cfvo type="max"/>
        <color rgb="FFF8696B"/>
        <color rgb="FFFFEB84"/>
        <color rgb="FF63BE7B"/>
      </colorScale>
    </cfRule>
    <cfRule type="notContainsBlanks" dxfId="306" priority="2268">
      <formula>LEN(TRIM(E3996))&gt;0</formula>
    </cfRule>
  </conditionalFormatting>
  <conditionalFormatting sqref="E4001:I4002">
    <cfRule type="colorScale" priority="2269">
      <colorScale>
        <cfvo type="min"/>
        <cfvo type="percentile" val="50"/>
        <cfvo type="max"/>
        <color rgb="FFF8696B"/>
        <color rgb="FFFFEB84"/>
        <color rgb="FF63BE7B"/>
      </colorScale>
    </cfRule>
    <cfRule type="notContainsBlanks" dxfId="305" priority="2270">
      <formula>LEN(TRIM(E4001))&gt;0</formula>
    </cfRule>
  </conditionalFormatting>
  <conditionalFormatting sqref="E4006:I4007">
    <cfRule type="colorScale" priority="2271">
      <colorScale>
        <cfvo type="min"/>
        <cfvo type="percentile" val="50"/>
        <cfvo type="max"/>
        <color rgb="FFF8696B"/>
        <color rgb="FFFFEB84"/>
        <color rgb="FF63BE7B"/>
      </colorScale>
    </cfRule>
    <cfRule type="notContainsBlanks" dxfId="304" priority="2272">
      <formula>LEN(TRIM(E4006))&gt;0</formula>
    </cfRule>
  </conditionalFormatting>
  <conditionalFormatting sqref="E4011:I4012">
    <cfRule type="colorScale" priority="2273">
      <colorScale>
        <cfvo type="min"/>
        <cfvo type="percentile" val="50"/>
        <cfvo type="max"/>
        <color rgb="FFF8696B"/>
        <color rgb="FFFFEB84"/>
        <color rgb="FF63BE7B"/>
      </colorScale>
    </cfRule>
    <cfRule type="notContainsBlanks" dxfId="303" priority="2274">
      <formula>LEN(TRIM(E4011))&gt;0</formula>
    </cfRule>
  </conditionalFormatting>
  <conditionalFormatting sqref="E4016:I4016">
    <cfRule type="colorScale" priority="2275">
      <colorScale>
        <cfvo type="min"/>
        <cfvo type="percentile" val="50"/>
        <cfvo type="max"/>
        <color rgb="FFF8696B"/>
        <color rgb="FFFFEB84"/>
        <color rgb="FF63BE7B"/>
      </colorScale>
    </cfRule>
    <cfRule type="notContainsBlanks" dxfId="302" priority="2276">
      <formula>LEN(TRIM(E4016))&gt;0</formula>
    </cfRule>
  </conditionalFormatting>
  <conditionalFormatting sqref="E4020:I4021">
    <cfRule type="colorScale" priority="2277">
      <colorScale>
        <cfvo type="min"/>
        <cfvo type="percentile" val="50"/>
        <cfvo type="max"/>
        <color rgb="FFF8696B"/>
        <color rgb="FFFFEB84"/>
        <color rgb="FF63BE7B"/>
      </colorScale>
    </cfRule>
    <cfRule type="notContainsBlanks" dxfId="301" priority="2278">
      <formula>LEN(TRIM(E4020))&gt;0</formula>
    </cfRule>
  </conditionalFormatting>
  <conditionalFormatting sqref="E4025:I4026">
    <cfRule type="colorScale" priority="2279">
      <colorScale>
        <cfvo type="min"/>
        <cfvo type="percentile" val="50"/>
        <cfvo type="max"/>
        <color rgb="FFF8696B"/>
        <color rgb="FFFFEB84"/>
        <color rgb="FF63BE7B"/>
      </colorScale>
    </cfRule>
    <cfRule type="notContainsBlanks" dxfId="300" priority="2280">
      <formula>LEN(TRIM(E4025))&gt;0</formula>
    </cfRule>
  </conditionalFormatting>
  <conditionalFormatting sqref="E4030:I4033">
    <cfRule type="colorScale" priority="2281">
      <colorScale>
        <cfvo type="min"/>
        <cfvo type="percentile" val="50"/>
        <cfvo type="max"/>
        <color rgb="FFF8696B"/>
        <color rgb="FFFFEB84"/>
        <color rgb="FF63BE7B"/>
      </colorScale>
    </cfRule>
    <cfRule type="notContainsBlanks" dxfId="299" priority="2282">
      <formula>LEN(TRIM(E4030))&gt;0</formula>
    </cfRule>
  </conditionalFormatting>
  <conditionalFormatting sqref="E3757:J3758">
    <cfRule type="notContainsBlanks" dxfId="298" priority="2166">
      <formula>LEN(TRIM(E3757))&gt;0</formula>
    </cfRule>
    <cfRule type="colorScale" priority="2165">
      <colorScale>
        <cfvo type="min"/>
        <cfvo type="percentile" val="50"/>
        <cfvo type="max"/>
        <color rgb="FFF8696B"/>
        <color rgb="FFFFEB84"/>
        <color rgb="FF63BE7B"/>
      </colorScale>
    </cfRule>
  </conditionalFormatting>
  <conditionalFormatting sqref="E3766:J3767">
    <cfRule type="colorScale" priority="2169">
      <colorScale>
        <cfvo type="min"/>
        <cfvo type="percentile" val="50"/>
        <cfvo type="max"/>
        <color rgb="FFF8696B"/>
        <color rgb="FFFFEB84"/>
        <color rgb="FF63BE7B"/>
      </colorScale>
    </cfRule>
    <cfRule type="notContainsBlanks" dxfId="297" priority="2170">
      <formula>LEN(TRIM(E3766))&gt;0</formula>
    </cfRule>
  </conditionalFormatting>
  <conditionalFormatting sqref="E3771:J3771">
    <cfRule type="notContainsBlanks" dxfId="296" priority="2172">
      <formula>LEN(TRIM(E3771))&gt;0</formula>
    </cfRule>
    <cfRule type="colorScale" priority="2171">
      <colorScale>
        <cfvo type="min"/>
        <cfvo type="percentile" val="50"/>
        <cfvo type="max"/>
        <color rgb="FFF8696B"/>
        <color rgb="FFFFEB84"/>
        <color rgb="FF63BE7B"/>
      </colorScale>
    </cfRule>
  </conditionalFormatting>
  <conditionalFormatting sqref="E3775:J3776">
    <cfRule type="colorScale" priority="2173">
      <colorScale>
        <cfvo type="min"/>
        <cfvo type="percentile" val="50"/>
        <cfvo type="max"/>
        <color rgb="FFF8696B"/>
        <color rgb="FFFFEB84"/>
        <color rgb="FF63BE7B"/>
      </colorScale>
    </cfRule>
    <cfRule type="notContainsBlanks" dxfId="295" priority="2174">
      <formula>LEN(TRIM(E3775))&gt;0</formula>
    </cfRule>
  </conditionalFormatting>
  <conditionalFormatting sqref="E3780:J3781">
    <cfRule type="notContainsBlanks" dxfId="294" priority="2176">
      <formula>LEN(TRIM(E3780))&gt;0</formula>
    </cfRule>
    <cfRule type="colorScale" priority="2175">
      <colorScale>
        <cfvo type="min"/>
        <cfvo type="percentile" val="50"/>
        <cfvo type="max"/>
        <color rgb="FFF8696B"/>
        <color rgb="FFFFEB84"/>
        <color rgb="FF63BE7B"/>
      </colorScale>
    </cfRule>
  </conditionalFormatting>
  <conditionalFormatting sqref="E3785:J3786">
    <cfRule type="colorScale" priority="2177">
      <colorScale>
        <cfvo type="min"/>
        <cfvo type="percentile" val="50"/>
        <cfvo type="max"/>
        <color rgb="FFF8696B"/>
        <color rgb="FFFFEB84"/>
        <color rgb="FF63BE7B"/>
      </colorScale>
    </cfRule>
    <cfRule type="notContainsBlanks" dxfId="293" priority="2178">
      <formula>LEN(TRIM(E3785))&gt;0</formula>
    </cfRule>
  </conditionalFormatting>
  <conditionalFormatting sqref="E3790:J3791">
    <cfRule type="colorScale" priority="2179">
      <colorScale>
        <cfvo type="min"/>
        <cfvo type="percentile" val="50"/>
        <cfvo type="max"/>
        <color rgb="FFF8696B"/>
        <color rgb="FFFFEB84"/>
        <color rgb="FF63BE7B"/>
      </colorScale>
    </cfRule>
    <cfRule type="notContainsBlanks" dxfId="292" priority="2180">
      <formula>LEN(TRIM(E3790))&gt;0</formula>
    </cfRule>
  </conditionalFormatting>
  <conditionalFormatting sqref="E3795:J3796">
    <cfRule type="notContainsBlanks" dxfId="291" priority="2182">
      <formula>LEN(TRIM(E3795))&gt;0</formula>
    </cfRule>
    <cfRule type="colorScale" priority="2181">
      <colorScale>
        <cfvo type="min"/>
        <cfvo type="percentile" val="50"/>
        <cfvo type="max"/>
        <color rgb="FFF8696B"/>
        <color rgb="FFFFEB84"/>
        <color rgb="FF63BE7B"/>
      </colorScale>
    </cfRule>
  </conditionalFormatting>
  <conditionalFormatting sqref="E3800:J3801">
    <cfRule type="notContainsBlanks" dxfId="290" priority="2184">
      <formula>LEN(TRIM(E3800))&gt;0</formula>
    </cfRule>
    <cfRule type="colorScale" priority="2183">
      <colorScale>
        <cfvo type="min"/>
        <cfvo type="percentile" val="50"/>
        <cfvo type="max"/>
        <color rgb="FFF8696B"/>
        <color rgb="FFFFEB84"/>
        <color rgb="FF63BE7B"/>
      </colorScale>
    </cfRule>
  </conditionalFormatting>
  <conditionalFormatting sqref="E3805:J3805">
    <cfRule type="notContainsBlanks" dxfId="289" priority="2186">
      <formula>LEN(TRIM(E3805))&gt;0</formula>
    </cfRule>
    <cfRule type="colorScale" priority="2185">
      <colorScale>
        <cfvo type="min"/>
        <cfvo type="percentile" val="50"/>
        <cfvo type="max"/>
        <color rgb="FFF8696B"/>
        <color rgb="FFFFEB84"/>
        <color rgb="FF63BE7B"/>
      </colorScale>
    </cfRule>
  </conditionalFormatting>
  <conditionalFormatting sqref="E3809:J3810">
    <cfRule type="colorScale" priority="2187">
      <colorScale>
        <cfvo type="min"/>
        <cfvo type="percentile" val="50"/>
        <cfvo type="max"/>
        <color rgb="FFF8696B"/>
        <color rgb="FFFFEB84"/>
        <color rgb="FF63BE7B"/>
      </colorScale>
    </cfRule>
    <cfRule type="notContainsBlanks" dxfId="288" priority="2188">
      <formula>LEN(TRIM(E3809))&gt;0</formula>
    </cfRule>
  </conditionalFormatting>
  <conditionalFormatting sqref="E3814:J3815">
    <cfRule type="colorScale" priority="2189">
      <colorScale>
        <cfvo type="min"/>
        <cfvo type="percentile" val="50"/>
        <cfvo type="max"/>
        <color rgb="FFF8696B"/>
        <color rgb="FFFFEB84"/>
        <color rgb="FF63BE7B"/>
      </colorScale>
    </cfRule>
    <cfRule type="notContainsBlanks" dxfId="287" priority="2190">
      <formula>LEN(TRIM(E3814))&gt;0</formula>
    </cfRule>
  </conditionalFormatting>
  <conditionalFormatting sqref="E3819:J3822">
    <cfRule type="notContainsBlanks" dxfId="286" priority="2192">
      <formula>LEN(TRIM(E3819))&gt;0</formula>
    </cfRule>
    <cfRule type="colorScale" priority="2191">
      <colorScale>
        <cfvo type="min"/>
        <cfvo type="percentile" val="50"/>
        <cfvo type="max"/>
        <color rgb="FFF8696B"/>
        <color rgb="FFFFEB84"/>
        <color rgb="FF63BE7B"/>
      </colorScale>
    </cfRule>
  </conditionalFormatting>
  <conditionalFormatting sqref="E4239:J4240">
    <cfRule type="notContainsBlanks" dxfId="285" priority="2376">
      <formula>LEN(TRIM(E4239))&gt;0</formula>
    </cfRule>
    <cfRule type="colorScale" priority="2375">
      <colorScale>
        <cfvo type="min"/>
        <cfvo type="percentile" val="50"/>
        <cfvo type="max"/>
        <color rgb="FFF8696B"/>
        <color rgb="FFFFEB84"/>
        <color rgb="FF63BE7B"/>
      </colorScale>
    </cfRule>
  </conditionalFormatting>
  <conditionalFormatting sqref="E4248:J4249">
    <cfRule type="colorScale" priority="2379">
      <colorScale>
        <cfvo type="min"/>
        <cfvo type="percentile" val="50"/>
        <cfvo type="max"/>
        <color rgb="FFF8696B"/>
        <color rgb="FFFFEB84"/>
        <color rgb="FF63BE7B"/>
      </colorScale>
    </cfRule>
    <cfRule type="notContainsBlanks" dxfId="284" priority="2380">
      <formula>LEN(TRIM(E4248))&gt;0</formula>
    </cfRule>
  </conditionalFormatting>
  <conditionalFormatting sqref="E4253:J4254">
    <cfRule type="notContainsBlanks" dxfId="283" priority="2382">
      <formula>LEN(TRIM(E4253))&gt;0</formula>
    </cfRule>
    <cfRule type="colorScale" priority="2381">
      <colorScale>
        <cfvo type="min"/>
        <cfvo type="percentile" val="50"/>
        <cfvo type="max"/>
        <color rgb="FFF8696B"/>
        <color rgb="FFFFEB84"/>
        <color rgb="FF63BE7B"/>
      </colorScale>
    </cfRule>
  </conditionalFormatting>
  <conditionalFormatting sqref="E4258:J4259">
    <cfRule type="notContainsBlanks" dxfId="282" priority="2384">
      <formula>LEN(TRIM(E4258))&gt;0</formula>
    </cfRule>
    <cfRule type="colorScale" priority="2383">
      <colorScale>
        <cfvo type="min"/>
        <cfvo type="percentile" val="50"/>
        <cfvo type="max"/>
        <color rgb="FFF8696B"/>
        <color rgb="FFFFEB84"/>
        <color rgb="FF63BE7B"/>
      </colorScale>
    </cfRule>
  </conditionalFormatting>
  <conditionalFormatting sqref="E4263:J4264">
    <cfRule type="colorScale" priority="2385">
      <colorScale>
        <cfvo type="min"/>
        <cfvo type="percentile" val="50"/>
        <cfvo type="max"/>
        <color rgb="FFF8696B"/>
        <color rgb="FFFFEB84"/>
        <color rgb="FF63BE7B"/>
      </colorScale>
    </cfRule>
    <cfRule type="notContainsBlanks" dxfId="281" priority="2386">
      <formula>LEN(TRIM(E4263))&gt;0</formula>
    </cfRule>
  </conditionalFormatting>
  <conditionalFormatting sqref="E4268:J4269">
    <cfRule type="colorScale" priority="2387">
      <colorScale>
        <cfvo type="min"/>
        <cfvo type="percentile" val="50"/>
        <cfvo type="max"/>
        <color rgb="FFF8696B"/>
        <color rgb="FFFFEB84"/>
        <color rgb="FF63BE7B"/>
      </colorScale>
    </cfRule>
    <cfRule type="notContainsBlanks" dxfId="280" priority="2388">
      <formula>LEN(TRIM(E4268))&gt;0</formula>
    </cfRule>
  </conditionalFormatting>
  <conditionalFormatting sqref="E4273:J4274">
    <cfRule type="colorScale" priority="2389">
      <colorScale>
        <cfvo type="min"/>
        <cfvo type="percentile" val="50"/>
        <cfvo type="max"/>
        <color rgb="FFF8696B"/>
        <color rgb="FFFFEB84"/>
        <color rgb="FF63BE7B"/>
      </colorScale>
    </cfRule>
    <cfRule type="notContainsBlanks" dxfId="279" priority="2390">
      <formula>LEN(TRIM(E4273))&gt;0</formula>
    </cfRule>
  </conditionalFormatting>
  <conditionalFormatting sqref="E4278:J4279">
    <cfRule type="colorScale" priority="2391">
      <colorScale>
        <cfvo type="min"/>
        <cfvo type="percentile" val="50"/>
        <cfvo type="max"/>
        <color rgb="FFF8696B"/>
        <color rgb="FFFFEB84"/>
        <color rgb="FF63BE7B"/>
      </colorScale>
    </cfRule>
    <cfRule type="notContainsBlanks" dxfId="278" priority="2392">
      <formula>LEN(TRIM(E4278))&gt;0</formula>
    </cfRule>
  </conditionalFormatting>
  <conditionalFormatting sqref="E4283:J4284">
    <cfRule type="colorScale" priority="2393">
      <colorScale>
        <cfvo type="min"/>
        <cfvo type="percentile" val="50"/>
        <cfvo type="max"/>
        <color rgb="FFF8696B"/>
        <color rgb="FFFFEB84"/>
        <color rgb="FF63BE7B"/>
      </colorScale>
    </cfRule>
    <cfRule type="notContainsBlanks" dxfId="277" priority="2394">
      <formula>LEN(TRIM(E4283))&gt;0</formula>
    </cfRule>
  </conditionalFormatting>
  <conditionalFormatting sqref="E4288:J4288">
    <cfRule type="notContainsBlanks" dxfId="276" priority="2396">
      <formula>LEN(TRIM(E4288))&gt;0</formula>
    </cfRule>
    <cfRule type="colorScale" priority="2395">
      <colorScale>
        <cfvo type="min"/>
        <cfvo type="percentile" val="50"/>
        <cfvo type="max"/>
        <color rgb="FFF8696B"/>
        <color rgb="FFFFEB84"/>
        <color rgb="FF63BE7B"/>
      </colorScale>
    </cfRule>
  </conditionalFormatting>
  <conditionalFormatting sqref="E4292:J4293">
    <cfRule type="colorScale" priority="2397">
      <colorScale>
        <cfvo type="min"/>
        <cfvo type="percentile" val="50"/>
        <cfvo type="max"/>
        <color rgb="FFF8696B"/>
        <color rgb="FFFFEB84"/>
        <color rgb="FF63BE7B"/>
      </colorScale>
    </cfRule>
    <cfRule type="notContainsBlanks" dxfId="275" priority="2398">
      <formula>LEN(TRIM(E4292))&gt;0</formula>
    </cfRule>
  </conditionalFormatting>
  <conditionalFormatting sqref="E4297:J4298">
    <cfRule type="notContainsBlanks" dxfId="274" priority="2400">
      <formula>LEN(TRIM(E4297))&gt;0</formula>
    </cfRule>
    <cfRule type="colorScale" priority="2399">
      <colorScale>
        <cfvo type="min"/>
        <cfvo type="percentile" val="50"/>
        <cfvo type="max"/>
        <color rgb="FFF8696B"/>
        <color rgb="FFFFEB84"/>
        <color rgb="FF63BE7B"/>
      </colorScale>
    </cfRule>
  </conditionalFormatting>
  <conditionalFormatting sqref="E4302:J4305">
    <cfRule type="colorScale" priority="2401">
      <colorScale>
        <cfvo type="min"/>
        <cfvo type="percentile" val="50"/>
        <cfvo type="max"/>
        <color rgb="FFF8696B"/>
        <color rgb="FFFFEB84"/>
        <color rgb="FF63BE7B"/>
      </colorScale>
    </cfRule>
    <cfRule type="notContainsBlanks" dxfId="273" priority="2402">
      <formula>LEN(TRIM(E4302))&gt;0</formula>
    </cfRule>
  </conditionalFormatting>
  <conditionalFormatting sqref="E896:K897">
    <cfRule type="notContainsBlanks" dxfId="272" priority="735">
      <formula>LEN(TRIM(E896))&gt;0</formula>
    </cfRule>
    <cfRule type="colorScale" priority="734">
      <colorScale>
        <cfvo type="min"/>
        <cfvo type="percentile" val="50"/>
        <cfvo type="max"/>
        <color rgb="FFF8696B"/>
        <color rgb="FFFFEB84"/>
        <color rgb="FF63BE7B"/>
      </colorScale>
    </cfRule>
  </conditionalFormatting>
  <conditionalFormatting sqref="E905:K906">
    <cfRule type="notContainsBlanks" dxfId="271" priority="739">
      <formula>LEN(TRIM(E905))&gt;0</formula>
    </cfRule>
    <cfRule type="colorScale" priority="738">
      <colorScale>
        <cfvo type="min"/>
        <cfvo type="percentile" val="50"/>
        <cfvo type="max"/>
        <color rgb="FFF8696B"/>
        <color rgb="FFFFEB84"/>
        <color rgb="FF63BE7B"/>
      </colorScale>
    </cfRule>
  </conditionalFormatting>
  <conditionalFormatting sqref="E910:K911">
    <cfRule type="notContainsBlanks" dxfId="270" priority="741">
      <formula>LEN(TRIM(E910))&gt;0</formula>
    </cfRule>
    <cfRule type="colorScale" priority="740">
      <colorScale>
        <cfvo type="min"/>
        <cfvo type="percentile" val="50"/>
        <cfvo type="max"/>
        <color rgb="FFF8696B"/>
        <color rgb="FFFFEB84"/>
        <color rgb="FF63BE7B"/>
      </colorScale>
    </cfRule>
  </conditionalFormatting>
  <conditionalFormatting sqref="E915:K916">
    <cfRule type="colorScale" priority="742">
      <colorScale>
        <cfvo type="min"/>
        <cfvo type="percentile" val="50"/>
        <cfvo type="max"/>
        <color rgb="FFF8696B"/>
        <color rgb="FFFFEB84"/>
        <color rgb="FF63BE7B"/>
      </colorScale>
    </cfRule>
    <cfRule type="notContainsBlanks" dxfId="269" priority="743">
      <formula>LEN(TRIM(E915))&gt;0</formula>
    </cfRule>
  </conditionalFormatting>
  <conditionalFormatting sqref="E920:K921">
    <cfRule type="colorScale" priority="744">
      <colorScale>
        <cfvo type="min"/>
        <cfvo type="percentile" val="50"/>
        <cfvo type="max"/>
        <color rgb="FFF8696B"/>
        <color rgb="FFFFEB84"/>
        <color rgb="FF63BE7B"/>
      </colorScale>
    </cfRule>
    <cfRule type="notContainsBlanks" dxfId="268" priority="745">
      <formula>LEN(TRIM(E920))&gt;0</formula>
    </cfRule>
  </conditionalFormatting>
  <conditionalFormatting sqref="E925:K926">
    <cfRule type="colorScale" priority="746">
      <colorScale>
        <cfvo type="min"/>
        <cfvo type="percentile" val="50"/>
        <cfvo type="max"/>
        <color rgb="FFF8696B"/>
        <color rgb="FFFFEB84"/>
        <color rgb="FF63BE7B"/>
      </colorScale>
    </cfRule>
    <cfRule type="notContainsBlanks" dxfId="267" priority="747">
      <formula>LEN(TRIM(E925))&gt;0</formula>
    </cfRule>
  </conditionalFormatting>
  <conditionalFormatting sqref="E930:K931">
    <cfRule type="notContainsBlanks" dxfId="266" priority="749">
      <formula>LEN(TRIM(E930))&gt;0</formula>
    </cfRule>
    <cfRule type="colorScale" priority="748">
      <colorScale>
        <cfvo type="min"/>
        <cfvo type="percentile" val="50"/>
        <cfvo type="max"/>
        <color rgb="FFF8696B"/>
        <color rgb="FFFFEB84"/>
        <color rgb="FF63BE7B"/>
      </colorScale>
    </cfRule>
  </conditionalFormatting>
  <conditionalFormatting sqref="E935:K936">
    <cfRule type="colorScale" priority="750">
      <colorScale>
        <cfvo type="min"/>
        <cfvo type="percentile" val="50"/>
        <cfvo type="max"/>
        <color rgb="FFF8696B"/>
        <color rgb="FFFFEB84"/>
        <color rgb="FF63BE7B"/>
      </colorScale>
    </cfRule>
    <cfRule type="notContainsBlanks" dxfId="265" priority="751">
      <formula>LEN(TRIM(E935))&gt;0</formula>
    </cfRule>
  </conditionalFormatting>
  <conditionalFormatting sqref="E940:K941">
    <cfRule type="notContainsBlanks" dxfId="264" priority="753">
      <formula>LEN(TRIM(E940))&gt;0</formula>
    </cfRule>
    <cfRule type="colorScale" priority="752">
      <colorScale>
        <cfvo type="min"/>
        <cfvo type="percentile" val="50"/>
        <cfvo type="max"/>
        <color rgb="FFF8696B"/>
        <color rgb="FFFFEB84"/>
        <color rgb="FF63BE7B"/>
      </colorScale>
    </cfRule>
  </conditionalFormatting>
  <conditionalFormatting sqref="E945:K945">
    <cfRule type="notContainsBlanks" dxfId="263" priority="755">
      <formula>LEN(TRIM(E945))&gt;0</formula>
    </cfRule>
    <cfRule type="colorScale" priority="754">
      <colorScale>
        <cfvo type="min"/>
        <cfvo type="percentile" val="50"/>
        <cfvo type="max"/>
        <color rgb="FFF8696B"/>
        <color rgb="FFFFEB84"/>
        <color rgb="FF63BE7B"/>
      </colorScale>
    </cfRule>
  </conditionalFormatting>
  <conditionalFormatting sqref="E949:K950">
    <cfRule type="notContainsBlanks" dxfId="262" priority="757">
      <formula>LEN(TRIM(E949))&gt;0</formula>
    </cfRule>
    <cfRule type="colorScale" priority="756">
      <colorScale>
        <cfvo type="min"/>
        <cfvo type="percentile" val="50"/>
        <cfvo type="max"/>
        <color rgb="FFF8696B"/>
        <color rgb="FFFFEB84"/>
        <color rgb="FF63BE7B"/>
      </colorScale>
    </cfRule>
  </conditionalFormatting>
  <conditionalFormatting sqref="E954:K955">
    <cfRule type="colorScale" priority="758">
      <colorScale>
        <cfvo type="min"/>
        <cfvo type="percentile" val="50"/>
        <cfvo type="max"/>
        <color rgb="FFF8696B"/>
        <color rgb="FFFFEB84"/>
        <color rgb="FF63BE7B"/>
      </colorScale>
    </cfRule>
    <cfRule type="notContainsBlanks" dxfId="261" priority="759">
      <formula>LEN(TRIM(E954))&gt;0</formula>
    </cfRule>
  </conditionalFormatting>
  <conditionalFormatting sqref="E959:K962">
    <cfRule type="colorScale" priority="760">
      <colorScale>
        <cfvo type="min"/>
        <cfvo type="percentile" val="50"/>
        <cfvo type="max"/>
        <color rgb="FFF8696B"/>
        <color rgb="FFFFEB84"/>
        <color rgb="FF63BE7B"/>
      </colorScale>
    </cfRule>
    <cfRule type="notContainsBlanks" dxfId="260" priority="761">
      <formula>LEN(TRIM(E959))&gt;0</formula>
    </cfRule>
  </conditionalFormatting>
  <conditionalFormatting sqref="E970:K971">
    <cfRule type="colorScale" priority="764">
      <colorScale>
        <cfvo type="min"/>
        <cfvo type="percentile" val="50"/>
        <cfvo type="max"/>
        <color rgb="FFF8696B"/>
        <color rgb="FFFFEB84"/>
        <color rgb="FF63BE7B"/>
      </colorScale>
    </cfRule>
    <cfRule type="notContainsBlanks" dxfId="259" priority="765">
      <formula>LEN(TRIM(E970))&gt;0</formula>
    </cfRule>
  </conditionalFormatting>
  <conditionalFormatting sqref="E979:K980">
    <cfRule type="colorScale" priority="768">
      <colorScale>
        <cfvo type="min"/>
        <cfvo type="percentile" val="50"/>
        <cfvo type="max"/>
        <color rgb="FFF8696B"/>
        <color rgb="FFFFEB84"/>
        <color rgb="FF63BE7B"/>
      </colorScale>
    </cfRule>
    <cfRule type="notContainsBlanks" dxfId="258" priority="769">
      <formula>LEN(TRIM(E979))&gt;0</formula>
    </cfRule>
  </conditionalFormatting>
  <conditionalFormatting sqref="E984:K985">
    <cfRule type="colorScale" priority="770">
      <colorScale>
        <cfvo type="min"/>
        <cfvo type="percentile" val="50"/>
        <cfvo type="max"/>
        <color rgb="FFF8696B"/>
        <color rgb="FFFFEB84"/>
        <color rgb="FF63BE7B"/>
      </colorScale>
    </cfRule>
    <cfRule type="notContainsBlanks" dxfId="257" priority="771">
      <formula>LEN(TRIM(E984))&gt;0</formula>
    </cfRule>
  </conditionalFormatting>
  <conditionalFormatting sqref="E989:K990">
    <cfRule type="colorScale" priority="772">
      <colorScale>
        <cfvo type="min"/>
        <cfvo type="percentile" val="50"/>
        <cfvo type="max"/>
        <color rgb="FFF8696B"/>
        <color rgb="FFFFEB84"/>
        <color rgb="FF63BE7B"/>
      </colorScale>
    </cfRule>
    <cfRule type="notContainsBlanks" dxfId="256" priority="773">
      <formula>LEN(TRIM(E989))&gt;0</formula>
    </cfRule>
  </conditionalFormatting>
  <conditionalFormatting sqref="E994:K995">
    <cfRule type="notContainsBlanks" dxfId="255" priority="775">
      <formula>LEN(TRIM(E994))&gt;0</formula>
    </cfRule>
    <cfRule type="colorScale" priority="774">
      <colorScale>
        <cfvo type="min"/>
        <cfvo type="percentile" val="50"/>
        <cfvo type="max"/>
        <color rgb="FFF8696B"/>
        <color rgb="FFFFEB84"/>
        <color rgb="FF63BE7B"/>
      </colorScale>
    </cfRule>
  </conditionalFormatting>
  <conditionalFormatting sqref="E999:K1000">
    <cfRule type="notContainsBlanks" dxfId="254" priority="777">
      <formula>LEN(TRIM(E999))&gt;0</formula>
    </cfRule>
    <cfRule type="colorScale" priority="776">
      <colorScale>
        <cfvo type="min"/>
        <cfvo type="percentile" val="50"/>
        <cfvo type="max"/>
        <color rgb="FFF8696B"/>
        <color rgb="FFFFEB84"/>
        <color rgb="FF63BE7B"/>
      </colorScale>
    </cfRule>
  </conditionalFormatting>
  <conditionalFormatting sqref="E1004:K1005">
    <cfRule type="notContainsBlanks" dxfId="253" priority="779">
      <formula>LEN(TRIM(E1004))&gt;0</formula>
    </cfRule>
    <cfRule type="colorScale" priority="778">
      <colorScale>
        <cfvo type="min"/>
        <cfvo type="percentile" val="50"/>
        <cfvo type="max"/>
        <color rgb="FFF8696B"/>
        <color rgb="FFFFEB84"/>
        <color rgb="FF63BE7B"/>
      </colorScale>
    </cfRule>
  </conditionalFormatting>
  <conditionalFormatting sqref="E1009:K1010">
    <cfRule type="notContainsBlanks" dxfId="252" priority="781">
      <formula>LEN(TRIM(E1009))&gt;0</formula>
    </cfRule>
    <cfRule type="colorScale" priority="780">
      <colorScale>
        <cfvo type="min"/>
        <cfvo type="percentile" val="50"/>
        <cfvo type="max"/>
        <color rgb="FFF8696B"/>
        <color rgb="FFFFEB84"/>
        <color rgb="FF63BE7B"/>
      </colorScale>
    </cfRule>
  </conditionalFormatting>
  <conditionalFormatting sqref="E1014:K1015">
    <cfRule type="colorScale" priority="782">
      <colorScale>
        <cfvo type="min"/>
        <cfvo type="percentile" val="50"/>
        <cfvo type="max"/>
        <color rgb="FFF8696B"/>
        <color rgb="FFFFEB84"/>
        <color rgb="FF63BE7B"/>
      </colorScale>
    </cfRule>
    <cfRule type="notContainsBlanks" dxfId="251" priority="783">
      <formula>LEN(TRIM(E1014))&gt;0</formula>
    </cfRule>
  </conditionalFormatting>
  <conditionalFormatting sqref="E1019:K1019">
    <cfRule type="colorScale" priority="784">
      <colorScale>
        <cfvo type="min"/>
        <cfvo type="percentile" val="50"/>
        <cfvo type="max"/>
        <color rgb="FFF8696B"/>
        <color rgb="FFFFEB84"/>
        <color rgb="FF63BE7B"/>
      </colorScale>
    </cfRule>
    <cfRule type="notContainsBlanks" dxfId="250" priority="785">
      <formula>LEN(TRIM(E1019))&gt;0</formula>
    </cfRule>
  </conditionalFormatting>
  <conditionalFormatting sqref="E1023:K1024">
    <cfRule type="colorScale" priority="786">
      <colorScale>
        <cfvo type="min"/>
        <cfvo type="percentile" val="50"/>
        <cfvo type="max"/>
        <color rgb="FFF8696B"/>
        <color rgb="FFFFEB84"/>
        <color rgb="FF63BE7B"/>
      </colorScale>
    </cfRule>
    <cfRule type="notContainsBlanks" dxfId="249" priority="787">
      <formula>LEN(TRIM(E1023))&gt;0</formula>
    </cfRule>
  </conditionalFormatting>
  <conditionalFormatting sqref="E1028:K1029">
    <cfRule type="notContainsBlanks" dxfId="248" priority="789">
      <formula>LEN(TRIM(E1028))&gt;0</formula>
    </cfRule>
    <cfRule type="colorScale" priority="788">
      <colorScale>
        <cfvo type="min"/>
        <cfvo type="percentile" val="50"/>
        <cfvo type="max"/>
        <color rgb="FFF8696B"/>
        <color rgb="FFFFEB84"/>
        <color rgb="FF63BE7B"/>
      </colorScale>
    </cfRule>
  </conditionalFormatting>
  <conditionalFormatting sqref="E1033:K1036">
    <cfRule type="notContainsBlanks" dxfId="247" priority="791">
      <formula>LEN(TRIM(E1033))&gt;0</formula>
    </cfRule>
    <cfRule type="colorScale" priority="790">
      <colorScale>
        <cfvo type="min"/>
        <cfvo type="percentile" val="50"/>
        <cfvo type="max"/>
        <color rgb="FFF8696B"/>
        <color rgb="FFFFEB84"/>
        <color rgb="FF63BE7B"/>
      </colorScale>
    </cfRule>
  </conditionalFormatting>
  <conditionalFormatting sqref="E1266:O1267">
    <cfRule type="notContainsBlanks" dxfId="246" priority="885">
      <formula>LEN(TRIM(E1266))&gt;0</formula>
    </cfRule>
    <cfRule type="colorScale" priority="884">
      <colorScale>
        <cfvo type="min"/>
        <cfvo type="percentile" val="50"/>
        <cfvo type="max"/>
        <color rgb="FFF8696B"/>
        <color rgb="FFFFEB84"/>
        <color rgb="FF63BE7B"/>
      </colorScale>
    </cfRule>
  </conditionalFormatting>
  <conditionalFormatting sqref="E1275:O1276">
    <cfRule type="notContainsBlanks" dxfId="245" priority="889">
      <formula>LEN(TRIM(E1275))&gt;0</formula>
    </cfRule>
    <cfRule type="colorScale" priority="888">
      <colorScale>
        <cfvo type="min"/>
        <cfvo type="percentile" val="50"/>
        <cfvo type="max"/>
        <color rgb="FFF8696B"/>
        <color rgb="FFFFEB84"/>
        <color rgb="FF63BE7B"/>
      </colorScale>
    </cfRule>
  </conditionalFormatting>
  <conditionalFormatting sqref="E1280:O1281">
    <cfRule type="notContainsBlanks" dxfId="244" priority="891">
      <formula>LEN(TRIM(E1280))&gt;0</formula>
    </cfRule>
    <cfRule type="colorScale" priority="890">
      <colorScale>
        <cfvo type="min"/>
        <cfvo type="percentile" val="50"/>
        <cfvo type="max"/>
        <color rgb="FFF8696B"/>
        <color rgb="FFFFEB84"/>
        <color rgb="FF63BE7B"/>
      </colorScale>
    </cfRule>
  </conditionalFormatting>
  <conditionalFormatting sqref="E1285:O1286">
    <cfRule type="colorScale" priority="892">
      <colorScale>
        <cfvo type="min"/>
        <cfvo type="percentile" val="50"/>
        <cfvo type="max"/>
        <color rgb="FFF8696B"/>
        <color rgb="FFFFEB84"/>
        <color rgb="FF63BE7B"/>
      </colorScale>
    </cfRule>
    <cfRule type="notContainsBlanks" dxfId="243" priority="893">
      <formula>LEN(TRIM(E1285))&gt;0</formula>
    </cfRule>
  </conditionalFormatting>
  <conditionalFormatting sqref="E1290:O1291">
    <cfRule type="colorScale" priority="894">
      <colorScale>
        <cfvo type="min"/>
        <cfvo type="percentile" val="50"/>
        <cfvo type="max"/>
        <color rgb="FFF8696B"/>
        <color rgb="FFFFEB84"/>
        <color rgb="FF63BE7B"/>
      </colorScale>
    </cfRule>
    <cfRule type="notContainsBlanks" dxfId="242" priority="895">
      <formula>LEN(TRIM(E1290))&gt;0</formula>
    </cfRule>
  </conditionalFormatting>
  <conditionalFormatting sqref="E1295:O1296">
    <cfRule type="colorScale" priority="896">
      <colorScale>
        <cfvo type="min"/>
        <cfvo type="percentile" val="50"/>
        <cfvo type="max"/>
        <color rgb="FFF8696B"/>
        <color rgb="FFFFEB84"/>
        <color rgb="FF63BE7B"/>
      </colorScale>
    </cfRule>
    <cfRule type="notContainsBlanks" dxfId="241" priority="897">
      <formula>LEN(TRIM(E1295))&gt;0</formula>
    </cfRule>
  </conditionalFormatting>
  <conditionalFormatting sqref="E1300:O1301">
    <cfRule type="notContainsBlanks" dxfId="240" priority="899">
      <formula>LEN(TRIM(E1300))&gt;0</formula>
    </cfRule>
    <cfRule type="colorScale" priority="898">
      <colorScale>
        <cfvo type="min"/>
        <cfvo type="percentile" val="50"/>
        <cfvo type="max"/>
        <color rgb="FFF8696B"/>
        <color rgb="FFFFEB84"/>
        <color rgb="FF63BE7B"/>
      </colorScale>
    </cfRule>
  </conditionalFormatting>
  <conditionalFormatting sqref="E1305:O1306">
    <cfRule type="notContainsBlanks" dxfId="239" priority="901">
      <formula>LEN(TRIM(E1305))&gt;0</formula>
    </cfRule>
    <cfRule type="colorScale" priority="900">
      <colorScale>
        <cfvo type="min"/>
        <cfvo type="percentile" val="50"/>
        <cfvo type="max"/>
        <color rgb="FFF8696B"/>
        <color rgb="FFFFEB84"/>
        <color rgb="FF63BE7B"/>
      </colorScale>
    </cfRule>
  </conditionalFormatting>
  <conditionalFormatting sqref="E1310:O1311">
    <cfRule type="notContainsBlanks" dxfId="238" priority="903">
      <formula>LEN(TRIM(E1310))&gt;0</formula>
    </cfRule>
    <cfRule type="colorScale" priority="902">
      <colorScale>
        <cfvo type="min"/>
        <cfvo type="percentile" val="50"/>
        <cfvo type="max"/>
        <color rgb="FFF8696B"/>
        <color rgb="FFFFEB84"/>
        <color rgb="FF63BE7B"/>
      </colorScale>
    </cfRule>
  </conditionalFormatting>
  <conditionalFormatting sqref="E1315:O1315">
    <cfRule type="notContainsBlanks" dxfId="237" priority="905">
      <formula>LEN(TRIM(E1315))&gt;0</formula>
    </cfRule>
    <cfRule type="colorScale" priority="904">
      <colorScale>
        <cfvo type="min"/>
        <cfvo type="percentile" val="50"/>
        <cfvo type="max"/>
        <color rgb="FFF8696B"/>
        <color rgb="FFFFEB84"/>
        <color rgb="FF63BE7B"/>
      </colorScale>
    </cfRule>
  </conditionalFormatting>
  <conditionalFormatting sqref="E1319:O1320">
    <cfRule type="colorScale" priority="906">
      <colorScale>
        <cfvo type="min"/>
        <cfvo type="percentile" val="50"/>
        <cfvo type="max"/>
        <color rgb="FFF8696B"/>
        <color rgb="FFFFEB84"/>
        <color rgb="FF63BE7B"/>
      </colorScale>
    </cfRule>
    <cfRule type="notContainsBlanks" dxfId="236" priority="907">
      <formula>LEN(TRIM(E1319))&gt;0</formula>
    </cfRule>
  </conditionalFormatting>
  <conditionalFormatting sqref="E1324:O1325">
    <cfRule type="notContainsBlanks" dxfId="235" priority="909">
      <formula>LEN(TRIM(E1324))&gt;0</formula>
    </cfRule>
    <cfRule type="colorScale" priority="908">
      <colorScale>
        <cfvo type="min"/>
        <cfvo type="percentile" val="50"/>
        <cfvo type="max"/>
        <color rgb="FFF8696B"/>
        <color rgb="FFFFEB84"/>
        <color rgb="FF63BE7B"/>
      </colorScale>
    </cfRule>
  </conditionalFormatting>
  <conditionalFormatting sqref="E1329:O1332">
    <cfRule type="notContainsBlanks" dxfId="234" priority="911">
      <formula>LEN(TRIM(E1329))&gt;0</formula>
    </cfRule>
    <cfRule type="colorScale" priority="910">
      <colorScale>
        <cfvo type="min"/>
        <cfvo type="percentile" val="50"/>
        <cfvo type="max"/>
        <color rgb="FFF8696B"/>
        <color rgb="FFFFEB84"/>
        <color rgb="FF63BE7B"/>
      </colorScale>
    </cfRule>
  </conditionalFormatting>
  <conditionalFormatting sqref="E304:P305">
    <cfRule type="notContainsBlanks" dxfId="233" priority="315">
      <formula>LEN(TRIM(E304))&gt;0</formula>
    </cfRule>
    <cfRule type="colorScale" priority="314">
      <colorScale>
        <cfvo type="min"/>
        <cfvo type="percentile" val="50"/>
        <cfvo type="max"/>
        <color rgb="FFF8696B"/>
        <color rgb="FFFFEB84"/>
        <color rgb="FF63BE7B"/>
      </colorScale>
    </cfRule>
  </conditionalFormatting>
  <conditionalFormatting sqref="E313:P314">
    <cfRule type="notContainsBlanks" dxfId="232" priority="319">
      <formula>LEN(TRIM(E313))&gt;0</formula>
    </cfRule>
    <cfRule type="colorScale" priority="318">
      <colorScale>
        <cfvo type="min"/>
        <cfvo type="percentile" val="50"/>
        <cfvo type="max"/>
        <color rgb="FFF8696B"/>
        <color rgb="FFFFEB84"/>
        <color rgb="FF63BE7B"/>
      </colorScale>
    </cfRule>
  </conditionalFormatting>
  <conditionalFormatting sqref="E318:P319">
    <cfRule type="notContainsBlanks" dxfId="231" priority="321">
      <formula>LEN(TRIM(E318))&gt;0</formula>
    </cfRule>
    <cfRule type="colorScale" priority="320">
      <colorScale>
        <cfvo type="min"/>
        <cfvo type="percentile" val="50"/>
        <cfvo type="max"/>
        <color rgb="FFF8696B"/>
        <color rgb="FFFFEB84"/>
        <color rgb="FF63BE7B"/>
      </colorScale>
    </cfRule>
  </conditionalFormatting>
  <conditionalFormatting sqref="E323:P324">
    <cfRule type="notContainsBlanks" dxfId="230" priority="323">
      <formula>LEN(TRIM(E323))&gt;0</formula>
    </cfRule>
    <cfRule type="colorScale" priority="322">
      <colorScale>
        <cfvo type="min"/>
        <cfvo type="percentile" val="50"/>
        <cfvo type="max"/>
        <color rgb="FFF8696B"/>
        <color rgb="FFFFEB84"/>
        <color rgb="FF63BE7B"/>
      </colorScale>
    </cfRule>
  </conditionalFormatting>
  <conditionalFormatting sqref="E328:P329">
    <cfRule type="notContainsBlanks" dxfId="229" priority="325">
      <formula>LEN(TRIM(E328))&gt;0</formula>
    </cfRule>
    <cfRule type="colorScale" priority="324">
      <colorScale>
        <cfvo type="min"/>
        <cfvo type="percentile" val="50"/>
        <cfvo type="max"/>
        <color rgb="FFF8696B"/>
        <color rgb="FFFFEB84"/>
        <color rgb="FF63BE7B"/>
      </colorScale>
    </cfRule>
  </conditionalFormatting>
  <conditionalFormatting sqref="E333:P334">
    <cfRule type="notContainsBlanks" dxfId="228" priority="327">
      <formula>LEN(TRIM(E333))&gt;0</formula>
    </cfRule>
    <cfRule type="colorScale" priority="326">
      <colorScale>
        <cfvo type="min"/>
        <cfvo type="percentile" val="50"/>
        <cfvo type="max"/>
        <color rgb="FFF8696B"/>
        <color rgb="FFFFEB84"/>
        <color rgb="FF63BE7B"/>
      </colorScale>
    </cfRule>
  </conditionalFormatting>
  <conditionalFormatting sqref="E338:P339">
    <cfRule type="colorScale" priority="328">
      <colorScale>
        <cfvo type="min"/>
        <cfvo type="percentile" val="50"/>
        <cfvo type="max"/>
        <color rgb="FFF8696B"/>
        <color rgb="FFFFEB84"/>
        <color rgb="FF63BE7B"/>
      </colorScale>
    </cfRule>
    <cfRule type="notContainsBlanks" dxfId="227" priority="329">
      <formula>LEN(TRIM(E338))&gt;0</formula>
    </cfRule>
  </conditionalFormatting>
  <conditionalFormatting sqref="E343:P344">
    <cfRule type="colorScale" priority="330">
      <colorScale>
        <cfvo type="min"/>
        <cfvo type="percentile" val="50"/>
        <cfvo type="max"/>
        <color rgb="FFF8696B"/>
        <color rgb="FFFFEB84"/>
        <color rgb="FF63BE7B"/>
      </colorScale>
    </cfRule>
    <cfRule type="notContainsBlanks" dxfId="226" priority="331">
      <formula>LEN(TRIM(E343))&gt;0</formula>
    </cfRule>
  </conditionalFormatting>
  <conditionalFormatting sqref="E348:P349">
    <cfRule type="notContainsBlanks" dxfId="225" priority="333">
      <formula>LEN(TRIM(E348))&gt;0</formula>
    </cfRule>
    <cfRule type="colorScale" priority="332">
      <colorScale>
        <cfvo type="min"/>
        <cfvo type="percentile" val="50"/>
        <cfvo type="max"/>
        <color rgb="FFF8696B"/>
        <color rgb="FFFFEB84"/>
        <color rgb="FF63BE7B"/>
      </colorScale>
    </cfRule>
  </conditionalFormatting>
  <conditionalFormatting sqref="E353:P353">
    <cfRule type="colorScale" priority="334">
      <colorScale>
        <cfvo type="min"/>
        <cfvo type="percentile" val="50"/>
        <cfvo type="max"/>
        <color rgb="FFF8696B"/>
        <color rgb="FFFFEB84"/>
        <color rgb="FF63BE7B"/>
      </colorScale>
    </cfRule>
    <cfRule type="notContainsBlanks" dxfId="224" priority="335">
      <formula>LEN(TRIM(E353))&gt;0</formula>
    </cfRule>
  </conditionalFormatting>
  <conditionalFormatting sqref="E357:P358">
    <cfRule type="notContainsBlanks" dxfId="223" priority="337">
      <formula>LEN(TRIM(E357))&gt;0</formula>
    </cfRule>
    <cfRule type="colorScale" priority="336">
      <colorScale>
        <cfvo type="min"/>
        <cfvo type="percentile" val="50"/>
        <cfvo type="max"/>
        <color rgb="FFF8696B"/>
        <color rgb="FFFFEB84"/>
        <color rgb="FF63BE7B"/>
      </colorScale>
    </cfRule>
  </conditionalFormatting>
  <conditionalFormatting sqref="E362:P363">
    <cfRule type="notContainsBlanks" dxfId="222" priority="339">
      <formula>LEN(TRIM(E362))&gt;0</formula>
    </cfRule>
    <cfRule type="colorScale" priority="338">
      <colorScale>
        <cfvo type="min"/>
        <cfvo type="percentile" val="50"/>
        <cfvo type="max"/>
        <color rgb="FFF8696B"/>
        <color rgb="FFFFEB84"/>
        <color rgb="FF63BE7B"/>
      </colorScale>
    </cfRule>
  </conditionalFormatting>
  <conditionalFormatting sqref="E367:P370">
    <cfRule type="notContainsBlanks" dxfId="221" priority="341">
      <formula>LEN(TRIM(E367))&gt;0</formula>
    </cfRule>
    <cfRule type="colorScale" priority="340">
      <colorScale>
        <cfvo type="min"/>
        <cfvo type="percentile" val="50"/>
        <cfvo type="max"/>
        <color rgb="FFF8696B"/>
        <color rgb="FFFFEB84"/>
        <color rgb="FF63BE7B"/>
      </colorScale>
    </cfRule>
  </conditionalFormatting>
  <conditionalFormatting sqref="E378:P379">
    <cfRule type="notContainsBlanks" dxfId="220" priority="345">
      <formula>LEN(TRIM(E378))&gt;0</formula>
    </cfRule>
    <cfRule type="colorScale" priority="344">
      <colorScale>
        <cfvo type="min"/>
        <cfvo type="percentile" val="50"/>
        <cfvo type="max"/>
        <color rgb="FFF8696B"/>
        <color rgb="FFFFEB84"/>
        <color rgb="FF63BE7B"/>
      </colorScale>
    </cfRule>
  </conditionalFormatting>
  <conditionalFormatting sqref="E387:P388">
    <cfRule type="colorScale" priority="348">
      <colorScale>
        <cfvo type="min"/>
        <cfvo type="percentile" val="50"/>
        <cfvo type="max"/>
        <color rgb="FFF8696B"/>
        <color rgb="FFFFEB84"/>
        <color rgb="FF63BE7B"/>
      </colorScale>
    </cfRule>
    <cfRule type="notContainsBlanks" dxfId="219" priority="349">
      <formula>LEN(TRIM(E387))&gt;0</formula>
    </cfRule>
  </conditionalFormatting>
  <conditionalFormatting sqref="E392:P393">
    <cfRule type="notContainsBlanks" dxfId="218" priority="351">
      <formula>LEN(TRIM(E392))&gt;0</formula>
    </cfRule>
    <cfRule type="colorScale" priority="350">
      <colorScale>
        <cfvo type="min"/>
        <cfvo type="percentile" val="50"/>
        <cfvo type="max"/>
        <color rgb="FFF8696B"/>
        <color rgb="FFFFEB84"/>
        <color rgb="FF63BE7B"/>
      </colorScale>
    </cfRule>
  </conditionalFormatting>
  <conditionalFormatting sqref="E397:P398">
    <cfRule type="notContainsBlanks" dxfId="217" priority="353">
      <formula>LEN(TRIM(E397))&gt;0</formula>
    </cfRule>
    <cfRule type="colorScale" priority="352">
      <colorScale>
        <cfvo type="min"/>
        <cfvo type="percentile" val="50"/>
        <cfvo type="max"/>
        <color rgb="FFF8696B"/>
        <color rgb="FFFFEB84"/>
        <color rgb="FF63BE7B"/>
      </colorScale>
    </cfRule>
  </conditionalFormatting>
  <conditionalFormatting sqref="E402:P403">
    <cfRule type="colorScale" priority="354">
      <colorScale>
        <cfvo type="min"/>
        <cfvo type="percentile" val="50"/>
        <cfvo type="max"/>
        <color rgb="FFF8696B"/>
        <color rgb="FFFFEB84"/>
        <color rgb="FF63BE7B"/>
      </colorScale>
    </cfRule>
    <cfRule type="notContainsBlanks" dxfId="216" priority="355">
      <formula>LEN(TRIM(E402))&gt;0</formula>
    </cfRule>
  </conditionalFormatting>
  <conditionalFormatting sqref="E407:P408">
    <cfRule type="colorScale" priority="356">
      <colorScale>
        <cfvo type="min"/>
        <cfvo type="percentile" val="50"/>
        <cfvo type="max"/>
        <color rgb="FFF8696B"/>
        <color rgb="FFFFEB84"/>
        <color rgb="FF63BE7B"/>
      </colorScale>
    </cfRule>
    <cfRule type="notContainsBlanks" dxfId="215" priority="357">
      <formula>LEN(TRIM(E407))&gt;0</formula>
    </cfRule>
  </conditionalFormatting>
  <conditionalFormatting sqref="E412:P413">
    <cfRule type="notContainsBlanks" dxfId="214" priority="359">
      <formula>LEN(TRIM(E412))&gt;0</formula>
    </cfRule>
    <cfRule type="colorScale" priority="358">
      <colorScale>
        <cfvo type="min"/>
        <cfvo type="percentile" val="50"/>
        <cfvo type="max"/>
        <color rgb="FFF8696B"/>
        <color rgb="FFFFEB84"/>
        <color rgb="FF63BE7B"/>
      </colorScale>
    </cfRule>
  </conditionalFormatting>
  <conditionalFormatting sqref="E417:P418">
    <cfRule type="colorScale" priority="360">
      <colorScale>
        <cfvo type="min"/>
        <cfvo type="percentile" val="50"/>
        <cfvo type="max"/>
        <color rgb="FFF8696B"/>
        <color rgb="FFFFEB84"/>
        <color rgb="FF63BE7B"/>
      </colorScale>
    </cfRule>
    <cfRule type="notContainsBlanks" dxfId="213" priority="361">
      <formula>LEN(TRIM(E417))&gt;0</formula>
    </cfRule>
  </conditionalFormatting>
  <conditionalFormatting sqref="E422:P423">
    <cfRule type="colorScale" priority="362">
      <colorScale>
        <cfvo type="min"/>
        <cfvo type="percentile" val="50"/>
        <cfvo type="max"/>
        <color rgb="FFF8696B"/>
        <color rgb="FFFFEB84"/>
        <color rgb="FF63BE7B"/>
      </colorScale>
    </cfRule>
    <cfRule type="notContainsBlanks" dxfId="212" priority="363">
      <formula>LEN(TRIM(E422))&gt;0</formula>
    </cfRule>
  </conditionalFormatting>
  <conditionalFormatting sqref="E427:P427">
    <cfRule type="notContainsBlanks" dxfId="211" priority="365">
      <formula>LEN(TRIM(E427))&gt;0</formula>
    </cfRule>
    <cfRule type="colorScale" priority="364">
      <colorScale>
        <cfvo type="min"/>
        <cfvo type="percentile" val="50"/>
        <cfvo type="max"/>
        <color rgb="FFF8696B"/>
        <color rgb="FFFFEB84"/>
        <color rgb="FF63BE7B"/>
      </colorScale>
    </cfRule>
  </conditionalFormatting>
  <conditionalFormatting sqref="E431:P432">
    <cfRule type="colorScale" priority="366">
      <colorScale>
        <cfvo type="min"/>
        <cfvo type="percentile" val="50"/>
        <cfvo type="max"/>
        <color rgb="FFF8696B"/>
        <color rgb="FFFFEB84"/>
        <color rgb="FF63BE7B"/>
      </colorScale>
    </cfRule>
    <cfRule type="notContainsBlanks" dxfId="210" priority="367">
      <formula>LEN(TRIM(E431))&gt;0</formula>
    </cfRule>
  </conditionalFormatting>
  <conditionalFormatting sqref="E436:P437">
    <cfRule type="notContainsBlanks" dxfId="209" priority="369">
      <formula>LEN(TRIM(E436))&gt;0</formula>
    </cfRule>
    <cfRule type="colorScale" priority="368">
      <colorScale>
        <cfvo type="min"/>
        <cfvo type="percentile" val="50"/>
        <cfvo type="max"/>
        <color rgb="FFF8696B"/>
        <color rgb="FFFFEB84"/>
        <color rgb="FF63BE7B"/>
      </colorScale>
    </cfRule>
  </conditionalFormatting>
  <conditionalFormatting sqref="E441:P444">
    <cfRule type="notContainsBlanks" dxfId="208" priority="371">
      <formula>LEN(TRIM(E441))&gt;0</formula>
    </cfRule>
    <cfRule type="colorScale" priority="370">
      <colorScale>
        <cfvo type="min"/>
        <cfvo type="percentile" val="50"/>
        <cfvo type="max"/>
        <color rgb="FFF8696B"/>
        <color rgb="FFFFEB84"/>
        <color rgb="FF63BE7B"/>
      </colorScale>
    </cfRule>
  </conditionalFormatting>
  <conditionalFormatting sqref="E1192:P1193">
    <cfRule type="colorScale" priority="854">
      <colorScale>
        <cfvo type="min"/>
        <cfvo type="percentile" val="50"/>
        <cfvo type="max"/>
        <color rgb="FFF8696B"/>
        <color rgb="FFFFEB84"/>
        <color rgb="FF63BE7B"/>
      </colorScale>
    </cfRule>
    <cfRule type="notContainsBlanks" dxfId="207" priority="855">
      <formula>LEN(TRIM(E1192))&gt;0</formula>
    </cfRule>
  </conditionalFormatting>
  <conditionalFormatting sqref="E1201:P1202">
    <cfRule type="colorScale" priority="858">
      <colorScale>
        <cfvo type="min"/>
        <cfvo type="percentile" val="50"/>
        <cfvo type="max"/>
        <color rgb="FFF8696B"/>
        <color rgb="FFFFEB84"/>
        <color rgb="FF63BE7B"/>
      </colorScale>
    </cfRule>
    <cfRule type="notContainsBlanks" dxfId="206" priority="859">
      <formula>LEN(TRIM(E1201))&gt;0</formula>
    </cfRule>
  </conditionalFormatting>
  <conditionalFormatting sqref="E1206:P1207">
    <cfRule type="colorScale" priority="860">
      <colorScale>
        <cfvo type="min"/>
        <cfvo type="percentile" val="50"/>
        <cfvo type="max"/>
        <color rgb="FFF8696B"/>
        <color rgb="FFFFEB84"/>
        <color rgb="FF63BE7B"/>
      </colorScale>
    </cfRule>
    <cfRule type="notContainsBlanks" dxfId="205" priority="861">
      <formula>LEN(TRIM(E1206))&gt;0</formula>
    </cfRule>
  </conditionalFormatting>
  <conditionalFormatting sqref="E1211:P1212">
    <cfRule type="colorScale" priority="862">
      <colorScale>
        <cfvo type="min"/>
        <cfvo type="percentile" val="50"/>
        <cfvo type="max"/>
        <color rgb="FFF8696B"/>
        <color rgb="FFFFEB84"/>
        <color rgb="FF63BE7B"/>
      </colorScale>
    </cfRule>
    <cfRule type="notContainsBlanks" dxfId="204" priority="863">
      <formula>LEN(TRIM(E1211))&gt;0</formula>
    </cfRule>
  </conditionalFormatting>
  <conditionalFormatting sqref="E1216:P1217">
    <cfRule type="colorScale" priority="864">
      <colorScale>
        <cfvo type="min"/>
        <cfvo type="percentile" val="50"/>
        <cfvo type="max"/>
        <color rgb="FFF8696B"/>
        <color rgb="FFFFEB84"/>
        <color rgb="FF63BE7B"/>
      </colorScale>
    </cfRule>
    <cfRule type="notContainsBlanks" dxfId="203" priority="865">
      <formula>LEN(TRIM(E1216))&gt;0</formula>
    </cfRule>
  </conditionalFormatting>
  <conditionalFormatting sqref="E1221:P1222">
    <cfRule type="notContainsBlanks" dxfId="202" priority="867">
      <formula>LEN(TRIM(E1221))&gt;0</formula>
    </cfRule>
    <cfRule type="colorScale" priority="866">
      <colorScale>
        <cfvo type="min"/>
        <cfvo type="percentile" val="50"/>
        <cfvo type="max"/>
        <color rgb="FFF8696B"/>
        <color rgb="FFFFEB84"/>
        <color rgb="FF63BE7B"/>
      </colorScale>
    </cfRule>
  </conditionalFormatting>
  <conditionalFormatting sqref="E1226:P1227">
    <cfRule type="colorScale" priority="868">
      <colorScale>
        <cfvo type="min"/>
        <cfvo type="percentile" val="50"/>
        <cfvo type="max"/>
        <color rgb="FFF8696B"/>
        <color rgb="FFFFEB84"/>
        <color rgb="FF63BE7B"/>
      </colorScale>
    </cfRule>
    <cfRule type="notContainsBlanks" dxfId="201" priority="869">
      <formula>LEN(TRIM(E1226))&gt;0</formula>
    </cfRule>
  </conditionalFormatting>
  <conditionalFormatting sqref="E1231:P1232">
    <cfRule type="notContainsBlanks" dxfId="200" priority="871">
      <formula>LEN(TRIM(E1231))&gt;0</formula>
    </cfRule>
    <cfRule type="colorScale" priority="870">
      <colorScale>
        <cfvo type="min"/>
        <cfvo type="percentile" val="50"/>
        <cfvo type="max"/>
        <color rgb="FFF8696B"/>
        <color rgb="FFFFEB84"/>
        <color rgb="FF63BE7B"/>
      </colorScale>
    </cfRule>
  </conditionalFormatting>
  <conditionalFormatting sqref="E1236:P1237">
    <cfRule type="colorScale" priority="872">
      <colorScale>
        <cfvo type="min"/>
        <cfvo type="percentile" val="50"/>
        <cfvo type="max"/>
        <color rgb="FFF8696B"/>
        <color rgb="FFFFEB84"/>
        <color rgb="FF63BE7B"/>
      </colorScale>
    </cfRule>
    <cfRule type="notContainsBlanks" dxfId="199" priority="873">
      <formula>LEN(TRIM(E1236))&gt;0</formula>
    </cfRule>
  </conditionalFormatting>
  <conditionalFormatting sqref="E1241:P1241">
    <cfRule type="colorScale" priority="874">
      <colorScale>
        <cfvo type="min"/>
        <cfvo type="percentile" val="50"/>
        <cfvo type="max"/>
        <color rgb="FFF8696B"/>
        <color rgb="FFFFEB84"/>
        <color rgb="FF63BE7B"/>
      </colorScale>
    </cfRule>
    <cfRule type="notContainsBlanks" dxfId="198" priority="875">
      <formula>LEN(TRIM(E1241))&gt;0</formula>
    </cfRule>
  </conditionalFormatting>
  <conditionalFormatting sqref="E1245:P1246">
    <cfRule type="notContainsBlanks" dxfId="197" priority="877">
      <formula>LEN(TRIM(E1245))&gt;0</formula>
    </cfRule>
    <cfRule type="colorScale" priority="876">
      <colorScale>
        <cfvo type="min"/>
        <cfvo type="percentile" val="50"/>
        <cfvo type="max"/>
        <color rgb="FFF8696B"/>
        <color rgb="FFFFEB84"/>
        <color rgb="FF63BE7B"/>
      </colorScale>
    </cfRule>
  </conditionalFormatting>
  <conditionalFormatting sqref="E1250:P1251">
    <cfRule type="notContainsBlanks" dxfId="196" priority="879">
      <formula>LEN(TRIM(E1250))&gt;0</formula>
    </cfRule>
    <cfRule type="colorScale" priority="878">
      <colorScale>
        <cfvo type="min"/>
        <cfvo type="percentile" val="50"/>
        <cfvo type="max"/>
        <color rgb="FFF8696B"/>
        <color rgb="FFFFEB84"/>
        <color rgb="FF63BE7B"/>
      </colorScale>
    </cfRule>
  </conditionalFormatting>
  <conditionalFormatting sqref="E1255:P1258">
    <cfRule type="colorScale" priority="880">
      <colorScale>
        <cfvo type="min"/>
        <cfvo type="percentile" val="50"/>
        <cfvo type="max"/>
        <color rgb="FFF8696B"/>
        <color rgb="FFFFEB84"/>
        <color rgb="FF63BE7B"/>
      </colorScale>
    </cfRule>
    <cfRule type="notContainsBlanks" dxfId="195" priority="881">
      <formula>LEN(TRIM(E1255))&gt;0</formula>
    </cfRule>
  </conditionalFormatting>
  <conditionalFormatting sqref="E6500:P6501">
    <cfRule type="colorScale" priority="4235">
      <colorScale>
        <cfvo type="min"/>
        <cfvo type="percentile" val="50"/>
        <cfvo type="max"/>
        <color rgb="FFF8696B"/>
        <color rgb="FFFFEB84"/>
        <color rgb="FF63BE7B"/>
      </colorScale>
    </cfRule>
    <cfRule type="notContainsBlanks" dxfId="194" priority="4236">
      <formula>LEN(TRIM(E6500))&gt;0</formula>
    </cfRule>
  </conditionalFormatting>
  <conditionalFormatting sqref="E6509:P6510">
    <cfRule type="notContainsBlanks" dxfId="193" priority="4240">
      <formula>LEN(TRIM(E6509))&gt;0</formula>
    </cfRule>
    <cfRule type="colorScale" priority="4239">
      <colorScale>
        <cfvo type="min"/>
        <cfvo type="percentile" val="50"/>
        <cfvo type="max"/>
        <color rgb="FFF8696B"/>
        <color rgb="FFFFEB84"/>
        <color rgb="FF63BE7B"/>
      </colorScale>
    </cfRule>
  </conditionalFormatting>
  <conditionalFormatting sqref="E6514:P6515">
    <cfRule type="colorScale" priority="4241">
      <colorScale>
        <cfvo type="min"/>
        <cfvo type="percentile" val="50"/>
        <cfvo type="max"/>
        <color rgb="FFF8696B"/>
        <color rgb="FFFFEB84"/>
        <color rgb="FF63BE7B"/>
      </colorScale>
    </cfRule>
    <cfRule type="notContainsBlanks" dxfId="192" priority="4242">
      <formula>LEN(TRIM(E6514))&gt;0</formula>
    </cfRule>
  </conditionalFormatting>
  <conditionalFormatting sqref="E6519:P6520">
    <cfRule type="colorScale" priority="4243">
      <colorScale>
        <cfvo type="min"/>
        <cfvo type="percentile" val="50"/>
        <cfvo type="max"/>
        <color rgb="FFF8696B"/>
        <color rgb="FFFFEB84"/>
        <color rgb="FF63BE7B"/>
      </colorScale>
    </cfRule>
    <cfRule type="notContainsBlanks" dxfId="191" priority="4244">
      <formula>LEN(TRIM(E6519))&gt;0</formula>
    </cfRule>
  </conditionalFormatting>
  <conditionalFormatting sqref="E6524:P6525">
    <cfRule type="notContainsBlanks" dxfId="190" priority="4246">
      <formula>LEN(TRIM(E6524))&gt;0</formula>
    </cfRule>
    <cfRule type="colorScale" priority="4245">
      <colorScale>
        <cfvo type="min"/>
        <cfvo type="percentile" val="50"/>
        <cfvo type="max"/>
        <color rgb="FFF8696B"/>
        <color rgb="FFFFEB84"/>
        <color rgb="FF63BE7B"/>
      </colorScale>
    </cfRule>
  </conditionalFormatting>
  <conditionalFormatting sqref="E6529:P6530">
    <cfRule type="notContainsBlanks" dxfId="189" priority="4248">
      <formula>LEN(TRIM(E6529))&gt;0</formula>
    </cfRule>
    <cfRule type="colorScale" priority="4247">
      <colorScale>
        <cfvo type="min"/>
        <cfvo type="percentile" val="50"/>
        <cfvo type="max"/>
        <color rgb="FFF8696B"/>
        <color rgb="FFFFEB84"/>
        <color rgb="FF63BE7B"/>
      </colorScale>
    </cfRule>
  </conditionalFormatting>
  <conditionalFormatting sqref="E6534:P6535">
    <cfRule type="colorScale" priority="4249">
      <colorScale>
        <cfvo type="min"/>
        <cfvo type="percentile" val="50"/>
        <cfvo type="max"/>
        <color rgb="FFF8696B"/>
        <color rgb="FFFFEB84"/>
        <color rgb="FF63BE7B"/>
      </colorScale>
    </cfRule>
    <cfRule type="notContainsBlanks" dxfId="188" priority="4250">
      <formula>LEN(TRIM(E6534))&gt;0</formula>
    </cfRule>
  </conditionalFormatting>
  <conditionalFormatting sqref="E6539:P6540">
    <cfRule type="notContainsBlanks" dxfId="187" priority="4252">
      <formula>LEN(TRIM(E6539))&gt;0</formula>
    </cfRule>
    <cfRule type="colorScale" priority="4251">
      <colorScale>
        <cfvo type="min"/>
        <cfvo type="percentile" val="50"/>
        <cfvo type="max"/>
        <color rgb="FFF8696B"/>
        <color rgb="FFFFEB84"/>
        <color rgb="FF63BE7B"/>
      </colorScale>
    </cfRule>
  </conditionalFormatting>
  <conditionalFormatting sqref="E6544:P6545">
    <cfRule type="colorScale" priority="4253">
      <colorScale>
        <cfvo type="min"/>
        <cfvo type="percentile" val="50"/>
        <cfvo type="max"/>
        <color rgb="FFF8696B"/>
        <color rgb="FFFFEB84"/>
        <color rgb="FF63BE7B"/>
      </colorScale>
    </cfRule>
    <cfRule type="notContainsBlanks" dxfId="186" priority="4254">
      <formula>LEN(TRIM(E6544))&gt;0</formula>
    </cfRule>
  </conditionalFormatting>
  <conditionalFormatting sqref="E6549:P6549">
    <cfRule type="notContainsBlanks" dxfId="185" priority="4256">
      <formula>LEN(TRIM(E6549))&gt;0</formula>
    </cfRule>
    <cfRule type="colorScale" priority="4255">
      <colorScale>
        <cfvo type="min"/>
        <cfvo type="percentile" val="50"/>
        <cfvo type="max"/>
        <color rgb="FFF8696B"/>
        <color rgb="FFFFEB84"/>
        <color rgb="FF63BE7B"/>
      </colorScale>
    </cfRule>
  </conditionalFormatting>
  <conditionalFormatting sqref="E6553:P6554">
    <cfRule type="colorScale" priority="4257">
      <colorScale>
        <cfvo type="min"/>
        <cfvo type="percentile" val="50"/>
        <cfvo type="max"/>
        <color rgb="FFF8696B"/>
        <color rgb="FFFFEB84"/>
        <color rgb="FF63BE7B"/>
      </colorScale>
    </cfRule>
    <cfRule type="notContainsBlanks" dxfId="184" priority="4258">
      <formula>LEN(TRIM(E6553))&gt;0</formula>
    </cfRule>
  </conditionalFormatting>
  <conditionalFormatting sqref="E6558:P6559">
    <cfRule type="colorScale" priority="4259">
      <colorScale>
        <cfvo type="min"/>
        <cfvo type="percentile" val="50"/>
        <cfvo type="max"/>
        <color rgb="FFF8696B"/>
        <color rgb="FFFFEB84"/>
        <color rgb="FF63BE7B"/>
      </colorScale>
    </cfRule>
    <cfRule type="notContainsBlanks" dxfId="183" priority="4260">
      <formula>LEN(TRIM(E6558))&gt;0</formula>
    </cfRule>
  </conditionalFormatting>
  <conditionalFormatting sqref="E6563:P6566">
    <cfRule type="colorScale" priority="4261">
      <colorScale>
        <cfvo type="min"/>
        <cfvo type="percentile" val="50"/>
        <cfvo type="max"/>
        <color rgb="FFF8696B"/>
        <color rgb="FFFFEB84"/>
        <color rgb="FF63BE7B"/>
      </colorScale>
    </cfRule>
    <cfRule type="notContainsBlanks" dxfId="182" priority="4262">
      <formula>LEN(TRIM(E6563))&gt;0</formula>
    </cfRule>
  </conditionalFormatting>
  <conditionalFormatting sqref="E6574:P6575">
    <cfRule type="colorScale" priority="4265">
      <colorScale>
        <cfvo type="min"/>
        <cfvo type="percentile" val="50"/>
        <cfvo type="max"/>
        <color rgb="FFF8696B"/>
        <color rgb="FFFFEB84"/>
        <color rgb="FF63BE7B"/>
      </colorScale>
    </cfRule>
    <cfRule type="notContainsBlanks" dxfId="181" priority="4266">
      <formula>LEN(TRIM(E6574))&gt;0</formula>
    </cfRule>
  </conditionalFormatting>
  <conditionalFormatting sqref="E6583:P6584">
    <cfRule type="colorScale" priority="4269">
      <colorScale>
        <cfvo type="min"/>
        <cfvo type="percentile" val="50"/>
        <cfvo type="max"/>
        <color rgb="FFF8696B"/>
        <color rgb="FFFFEB84"/>
        <color rgb="FF63BE7B"/>
      </colorScale>
    </cfRule>
    <cfRule type="notContainsBlanks" dxfId="180" priority="4270">
      <formula>LEN(TRIM(E6583))&gt;0</formula>
    </cfRule>
  </conditionalFormatting>
  <conditionalFormatting sqref="E6588:P6589">
    <cfRule type="colorScale" priority="4271">
      <colorScale>
        <cfvo type="min"/>
        <cfvo type="percentile" val="50"/>
        <cfvo type="max"/>
        <color rgb="FFF8696B"/>
        <color rgb="FFFFEB84"/>
        <color rgb="FF63BE7B"/>
      </colorScale>
    </cfRule>
    <cfRule type="notContainsBlanks" dxfId="179" priority="4272">
      <formula>LEN(TRIM(E6588))&gt;0</formula>
    </cfRule>
  </conditionalFormatting>
  <conditionalFormatting sqref="E6593:P6594">
    <cfRule type="notContainsBlanks" dxfId="178" priority="4274">
      <formula>LEN(TRIM(E6593))&gt;0</formula>
    </cfRule>
    <cfRule type="colorScale" priority="4273">
      <colorScale>
        <cfvo type="min"/>
        <cfvo type="percentile" val="50"/>
        <cfvo type="max"/>
        <color rgb="FFF8696B"/>
        <color rgb="FFFFEB84"/>
        <color rgb="FF63BE7B"/>
      </colorScale>
    </cfRule>
  </conditionalFormatting>
  <conditionalFormatting sqref="E6598:P6599">
    <cfRule type="notContainsBlanks" dxfId="177" priority="4276">
      <formula>LEN(TRIM(E6598))&gt;0</formula>
    </cfRule>
    <cfRule type="colorScale" priority="4275">
      <colorScale>
        <cfvo type="min"/>
        <cfvo type="percentile" val="50"/>
        <cfvo type="max"/>
        <color rgb="FFF8696B"/>
        <color rgb="FFFFEB84"/>
        <color rgb="FF63BE7B"/>
      </colorScale>
    </cfRule>
  </conditionalFormatting>
  <conditionalFormatting sqref="E6603:P6604">
    <cfRule type="colorScale" priority="4277">
      <colorScale>
        <cfvo type="min"/>
        <cfvo type="percentile" val="50"/>
        <cfvo type="max"/>
        <color rgb="FFF8696B"/>
        <color rgb="FFFFEB84"/>
        <color rgb="FF63BE7B"/>
      </colorScale>
    </cfRule>
    <cfRule type="notContainsBlanks" dxfId="176" priority="4278">
      <formula>LEN(TRIM(E6603))&gt;0</formula>
    </cfRule>
  </conditionalFormatting>
  <conditionalFormatting sqref="E6608:P6609">
    <cfRule type="colorScale" priority="4279">
      <colorScale>
        <cfvo type="min"/>
        <cfvo type="percentile" val="50"/>
        <cfvo type="max"/>
        <color rgb="FFF8696B"/>
        <color rgb="FFFFEB84"/>
        <color rgb="FF63BE7B"/>
      </colorScale>
    </cfRule>
    <cfRule type="notContainsBlanks" dxfId="175" priority="4280">
      <formula>LEN(TRIM(E6608))&gt;0</formula>
    </cfRule>
  </conditionalFormatting>
  <conditionalFormatting sqref="E6613:P6614">
    <cfRule type="notContainsBlanks" dxfId="174" priority="4282">
      <formula>LEN(TRIM(E6613))&gt;0</formula>
    </cfRule>
    <cfRule type="colorScale" priority="4281">
      <colorScale>
        <cfvo type="min"/>
        <cfvo type="percentile" val="50"/>
        <cfvo type="max"/>
        <color rgb="FFF8696B"/>
        <color rgb="FFFFEB84"/>
        <color rgb="FF63BE7B"/>
      </colorScale>
    </cfRule>
  </conditionalFormatting>
  <conditionalFormatting sqref="E6618:P6619">
    <cfRule type="colorScale" priority="4283">
      <colorScale>
        <cfvo type="min"/>
        <cfvo type="percentile" val="50"/>
        <cfvo type="max"/>
        <color rgb="FFF8696B"/>
        <color rgb="FFFFEB84"/>
        <color rgb="FF63BE7B"/>
      </colorScale>
    </cfRule>
    <cfRule type="notContainsBlanks" dxfId="173" priority="4284">
      <formula>LEN(TRIM(E6618))&gt;0</formula>
    </cfRule>
  </conditionalFormatting>
  <conditionalFormatting sqref="E6623:P6623">
    <cfRule type="colorScale" priority="4285">
      <colorScale>
        <cfvo type="min"/>
        <cfvo type="percentile" val="50"/>
        <cfvo type="max"/>
        <color rgb="FFF8696B"/>
        <color rgb="FFFFEB84"/>
        <color rgb="FF63BE7B"/>
      </colorScale>
    </cfRule>
    <cfRule type="notContainsBlanks" dxfId="172" priority="4286">
      <formula>LEN(TRIM(E6623))&gt;0</formula>
    </cfRule>
  </conditionalFormatting>
  <conditionalFormatting sqref="E6627:P6628">
    <cfRule type="notContainsBlanks" dxfId="171" priority="4288">
      <formula>LEN(TRIM(E6627))&gt;0</formula>
    </cfRule>
    <cfRule type="colorScale" priority="4287">
      <colorScale>
        <cfvo type="min"/>
        <cfvo type="percentile" val="50"/>
        <cfvo type="max"/>
        <color rgb="FFF8696B"/>
        <color rgb="FFFFEB84"/>
        <color rgb="FF63BE7B"/>
      </colorScale>
    </cfRule>
  </conditionalFormatting>
  <conditionalFormatting sqref="E6632:P6633">
    <cfRule type="notContainsBlanks" dxfId="170" priority="4290">
      <formula>LEN(TRIM(E6632))&gt;0</formula>
    </cfRule>
    <cfRule type="colorScale" priority="4289">
      <colorScale>
        <cfvo type="min"/>
        <cfvo type="percentile" val="50"/>
        <cfvo type="max"/>
        <color rgb="FFF8696B"/>
        <color rgb="FFFFEB84"/>
        <color rgb="FF63BE7B"/>
      </colorScale>
    </cfRule>
  </conditionalFormatting>
  <conditionalFormatting sqref="E6637:P6640">
    <cfRule type="colorScale" priority="4291">
      <colorScale>
        <cfvo type="min"/>
        <cfvo type="percentile" val="50"/>
        <cfvo type="max"/>
        <color rgb="FFF8696B"/>
        <color rgb="FFFFEB84"/>
        <color rgb="FF63BE7B"/>
      </colorScale>
    </cfRule>
    <cfRule type="notContainsBlanks" dxfId="169" priority="4292">
      <formula>LEN(TRIM(E6637))&gt;0</formula>
    </cfRule>
  </conditionalFormatting>
  <conditionalFormatting sqref="E6648:P6649">
    <cfRule type="notContainsBlanks" dxfId="168" priority="4296">
      <formula>LEN(TRIM(E6648))&gt;0</formula>
    </cfRule>
    <cfRule type="colorScale" priority="4295">
      <colorScale>
        <cfvo type="min"/>
        <cfvo type="percentile" val="50"/>
        <cfvo type="max"/>
        <color rgb="FFF8696B"/>
        <color rgb="FFFFEB84"/>
        <color rgb="FF63BE7B"/>
      </colorScale>
    </cfRule>
  </conditionalFormatting>
  <conditionalFormatting sqref="E6657:P6658">
    <cfRule type="notContainsBlanks" dxfId="167" priority="4300">
      <formula>LEN(TRIM(E6657))&gt;0</formula>
    </cfRule>
    <cfRule type="colorScale" priority="4299">
      <colorScale>
        <cfvo type="min"/>
        <cfvo type="percentile" val="50"/>
        <cfvo type="max"/>
        <color rgb="FFF8696B"/>
        <color rgb="FFFFEB84"/>
        <color rgb="FF63BE7B"/>
      </colorScale>
    </cfRule>
  </conditionalFormatting>
  <conditionalFormatting sqref="E6662:P6663">
    <cfRule type="notContainsBlanks" dxfId="166" priority="4302">
      <formula>LEN(TRIM(E6662))&gt;0</formula>
    </cfRule>
    <cfRule type="colorScale" priority="4301">
      <colorScale>
        <cfvo type="min"/>
        <cfvo type="percentile" val="50"/>
        <cfvo type="max"/>
        <color rgb="FFF8696B"/>
        <color rgb="FFFFEB84"/>
        <color rgb="FF63BE7B"/>
      </colorScale>
    </cfRule>
  </conditionalFormatting>
  <conditionalFormatting sqref="E6667:P6668">
    <cfRule type="notContainsBlanks" dxfId="165" priority="4304">
      <formula>LEN(TRIM(E6667))&gt;0</formula>
    </cfRule>
    <cfRule type="colorScale" priority="4303">
      <colorScale>
        <cfvo type="min"/>
        <cfvo type="percentile" val="50"/>
        <cfvo type="max"/>
        <color rgb="FFF8696B"/>
        <color rgb="FFFFEB84"/>
        <color rgb="FF63BE7B"/>
      </colorScale>
    </cfRule>
  </conditionalFormatting>
  <conditionalFormatting sqref="E6672:P6673">
    <cfRule type="notContainsBlanks" dxfId="164" priority="4306">
      <formula>LEN(TRIM(E6672))&gt;0</formula>
    </cfRule>
    <cfRule type="colorScale" priority="4305">
      <colorScale>
        <cfvo type="min"/>
        <cfvo type="percentile" val="50"/>
        <cfvo type="max"/>
        <color rgb="FFF8696B"/>
        <color rgb="FFFFEB84"/>
        <color rgb="FF63BE7B"/>
      </colorScale>
    </cfRule>
  </conditionalFormatting>
  <conditionalFormatting sqref="E6677:P6678">
    <cfRule type="colorScale" priority="4307">
      <colorScale>
        <cfvo type="min"/>
        <cfvo type="percentile" val="50"/>
        <cfvo type="max"/>
        <color rgb="FFF8696B"/>
        <color rgb="FFFFEB84"/>
        <color rgb="FF63BE7B"/>
      </colorScale>
    </cfRule>
    <cfRule type="notContainsBlanks" dxfId="163" priority="4308">
      <formula>LEN(TRIM(E6677))&gt;0</formula>
    </cfRule>
  </conditionalFormatting>
  <conditionalFormatting sqref="E6682:P6683">
    <cfRule type="notContainsBlanks" dxfId="162" priority="4310">
      <formula>LEN(TRIM(E6682))&gt;0</formula>
    </cfRule>
    <cfRule type="colorScale" priority="4309">
      <colorScale>
        <cfvo type="min"/>
        <cfvo type="percentile" val="50"/>
        <cfvo type="max"/>
        <color rgb="FFF8696B"/>
        <color rgb="FFFFEB84"/>
        <color rgb="FF63BE7B"/>
      </colorScale>
    </cfRule>
  </conditionalFormatting>
  <conditionalFormatting sqref="E6687:P6688">
    <cfRule type="colorScale" priority="4311">
      <colorScale>
        <cfvo type="min"/>
        <cfvo type="percentile" val="50"/>
        <cfvo type="max"/>
        <color rgb="FFF8696B"/>
        <color rgb="FFFFEB84"/>
        <color rgb="FF63BE7B"/>
      </colorScale>
    </cfRule>
    <cfRule type="notContainsBlanks" dxfId="161" priority="4312">
      <formula>LEN(TRIM(E6687))&gt;0</formula>
    </cfRule>
  </conditionalFormatting>
  <conditionalFormatting sqref="E6692:P6693">
    <cfRule type="notContainsBlanks" dxfId="160" priority="4314">
      <formula>LEN(TRIM(E6692))&gt;0</formula>
    </cfRule>
    <cfRule type="colorScale" priority="4313">
      <colorScale>
        <cfvo type="min"/>
        <cfvo type="percentile" val="50"/>
        <cfvo type="max"/>
        <color rgb="FFF8696B"/>
        <color rgb="FFFFEB84"/>
        <color rgb="FF63BE7B"/>
      </colorScale>
    </cfRule>
  </conditionalFormatting>
  <conditionalFormatting sqref="E6697:P6697">
    <cfRule type="notContainsBlanks" dxfId="159" priority="4316">
      <formula>LEN(TRIM(E6697))&gt;0</formula>
    </cfRule>
    <cfRule type="colorScale" priority="4315">
      <colorScale>
        <cfvo type="min"/>
        <cfvo type="percentile" val="50"/>
        <cfvo type="max"/>
        <color rgb="FFF8696B"/>
        <color rgb="FFFFEB84"/>
        <color rgb="FF63BE7B"/>
      </colorScale>
    </cfRule>
  </conditionalFormatting>
  <conditionalFormatting sqref="E6701:P6702">
    <cfRule type="colorScale" priority="4317">
      <colorScale>
        <cfvo type="min"/>
        <cfvo type="percentile" val="50"/>
        <cfvo type="max"/>
        <color rgb="FFF8696B"/>
        <color rgb="FFFFEB84"/>
        <color rgb="FF63BE7B"/>
      </colorScale>
    </cfRule>
    <cfRule type="notContainsBlanks" dxfId="158" priority="4318">
      <formula>LEN(TRIM(E6701))&gt;0</formula>
    </cfRule>
  </conditionalFormatting>
  <conditionalFormatting sqref="E6706:P6707">
    <cfRule type="colorScale" priority="4319">
      <colorScale>
        <cfvo type="min"/>
        <cfvo type="percentile" val="50"/>
        <cfvo type="max"/>
        <color rgb="FFF8696B"/>
        <color rgb="FFFFEB84"/>
        <color rgb="FF63BE7B"/>
      </colorScale>
    </cfRule>
    <cfRule type="notContainsBlanks" dxfId="157" priority="4320">
      <formula>LEN(TRIM(E6706))&gt;0</formula>
    </cfRule>
  </conditionalFormatting>
  <conditionalFormatting sqref="E6711:P6714">
    <cfRule type="colorScale" priority="4321">
      <colorScale>
        <cfvo type="min"/>
        <cfvo type="percentile" val="50"/>
        <cfvo type="max"/>
        <color rgb="FFF8696B"/>
        <color rgb="FFFFEB84"/>
        <color rgb="FF63BE7B"/>
      </colorScale>
    </cfRule>
    <cfRule type="notContainsBlanks" dxfId="156" priority="4322">
      <formula>LEN(TRIM(E6711))&gt;0</formula>
    </cfRule>
  </conditionalFormatting>
  <conditionalFormatting sqref="E1340:Q1341">
    <cfRule type="colorScale" priority="914">
      <colorScale>
        <cfvo type="min"/>
        <cfvo type="percentile" val="50"/>
        <cfvo type="max"/>
        <color rgb="FFF8696B"/>
        <color rgb="FFFFEB84"/>
        <color rgb="FF63BE7B"/>
      </colorScale>
    </cfRule>
    <cfRule type="notContainsBlanks" dxfId="155" priority="915">
      <formula>LEN(TRIM(E1340))&gt;0</formula>
    </cfRule>
  </conditionalFormatting>
  <conditionalFormatting sqref="E1349:Q1350">
    <cfRule type="notContainsBlanks" dxfId="154" priority="919">
      <formula>LEN(TRIM(E1349))&gt;0</formula>
    </cfRule>
    <cfRule type="colorScale" priority="918">
      <colorScale>
        <cfvo type="min"/>
        <cfvo type="percentile" val="50"/>
        <cfvo type="max"/>
        <color rgb="FFF8696B"/>
        <color rgb="FFFFEB84"/>
        <color rgb="FF63BE7B"/>
      </colorScale>
    </cfRule>
  </conditionalFormatting>
  <conditionalFormatting sqref="E1354:Q1355">
    <cfRule type="colorScale" priority="920">
      <colorScale>
        <cfvo type="min"/>
        <cfvo type="percentile" val="50"/>
        <cfvo type="max"/>
        <color rgb="FFF8696B"/>
        <color rgb="FFFFEB84"/>
        <color rgb="FF63BE7B"/>
      </colorScale>
    </cfRule>
    <cfRule type="notContainsBlanks" dxfId="153" priority="921">
      <formula>LEN(TRIM(E1354))&gt;0</formula>
    </cfRule>
  </conditionalFormatting>
  <conditionalFormatting sqref="E1359:Q1360">
    <cfRule type="colorScale" priority="922">
      <colorScale>
        <cfvo type="min"/>
        <cfvo type="percentile" val="50"/>
        <cfvo type="max"/>
        <color rgb="FFF8696B"/>
        <color rgb="FFFFEB84"/>
        <color rgb="FF63BE7B"/>
      </colorScale>
    </cfRule>
    <cfRule type="notContainsBlanks" dxfId="152" priority="923">
      <formula>LEN(TRIM(E1359))&gt;0</formula>
    </cfRule>
  </conditionalFormatting>
  <conditionalFormatting sqref="E1364:Q1365">
    <cfRule type="colorScale" priority="924">
      <colorScale>
        <cfvo type="min"/>
        <cfvo type="percentile" val="50"/>
        <cfvo type="max"/>
        <color rgb="FFF8696B"/>
        <color rgb="FFFFEB84"/>
        <color rgb="FF63BE7B"/>
      </colorScale>
    </cfRule>
    <cfRule type="notContainsBlanks" dxfId="151" priority="925">
      <formula>LEN(TRIM(E1364))&gt;0</formula>
    </cfRule>
  </conditionalFormatting>
  <conditionalFormatting sqref="E1369:Q1370">
    <cfRule type="notContainsBlanks" dxfId="150" priority="927">
      <formula>LEN(TRIM(E1369))&gt;0</formula>
    </cfRule>
    <cfRule type="colorScale" priority="926">
      <colorScale>
        <cfvo type="min"/>
        <cfvo type="percentile" val="50"/>
        <cfvo type="max"/>
        <color rgb="FFF8696B"/>
        <color rgb="FFFFEB84"/>
        <color rgb="FF63BE7B"/>
      </colorScale>
    </cfRule>
  </conditionalFormatting>
  <conditionalFormatting sqref="E1374:Q1375">
    <cfRule type="colorScale" priority="928">
      <colorScale>
        <cfvo type="min"/>
        <cfvo type="percentile" val="50"/>
        <cfvo type="max"/>
        <color rgb="FFF8696B"/>
        <color rgb="FFFFEB84"/>
        <color rgb="FF63BE7B"/>
      </colorScale>
    </cfRule>
    <cfRule type="notContainsBlanks" dxfId="149" priority="929">
      <formula>LEN(TRIM(E1374))&gt;0</formula>
    </cfRule>
  </conditionalFormatting>
  <conditionalFormatting sqref="E1379:Q1380">
    <cfRule type="colorScale" priority="930">
      <colorScale>
        <cfvo type="min"/>
        <cfvo type="percentile" val="50"/>
        <cfvo type="max"/>
        <color rgb="FFF8696B"/>
        <color rgb="FFFFEB84"/>
        <color rgb="FF63BE7B"/>
      </colorScale>
    </cfRule>
    <cfRule type="notContainsBlanks" dxfId="148" priority="931">
      <formula>LEN(TRIM(E1379))&gt;0</formula>
    </cfRule>
  </conditionalFormatting>
  <conditionalFormatting sqref="E1384:Q1385">
    <cfRule type="colorScale" priority="932">
      <colorScale>
        <cfvo type="min"/>
        <cfvo type="percentile" val="50"/>
        <cfvo type="max"/>
        <color rgb="FFF8696B"/>
        <color rgb="FFFFEB84"/>
        <color rgb="FF63BE7B"/>
      </colorScale>
    </cfRule>
    <cfRule type="notContainsBlanks" dxfId="147" priority="933">
      <formula>LEN(TRIM(E1384))&gt;0</formula>
    </cfRule>
  </conditionalFormatting>
  <conditionalFormatting sqref="E1389:Q1389">
    <cfRule type="colorScale" priority="934">
      <colorScale>
        <cfvo type="min"/>
        <cfvo type="percentile" val="50"/>
        <cfvo type="max"/>
        <color rgb="FFF8696B"/>
        <color rgb="FFFFEB84"/>
        <color rgb="FF63BE7B"/>
      </colorScale>
    </cfRule>
    <cfRule type="notContainsBlanks" dxfId="146" priority="935">
      <formula>LEN(TRIM(E1389))&gt;0</formula>
    </cfRule>
  </conditionalFormatting>
  <conditionalFormatting sqref="E1393:Q1394">
    <cfRule type="colorScale" priority="936">
      <colorScale>
        <cfvo type="min"/>
        <cfvo type="percentile" val="50"/>
        <cfvo type="max"/>
        <color rgb="FFF8696B"/>
        <color rgb="FFFFEB84"/>
        <color rgb="FF63BE7B"/>
      </colorScale>
    </cfRule>
    <cfRule type="notContainsBlanks" dxfId="145" priority="937">
      <formula>LEN(TRIM(E1393))&gt;0</formula>
    </cfRule>
  </conditionalFormatting>
  <conditionalFormatting sqref="E1398:Q1399">
    <cfRule type="notContainsBlanks" dxfId="144" priority="939">
      <formula>LEN(TRIM(E1398))&gt;0</formula>
    </cfRule>
    <cfRule type="colorScale" priority="938">
      <colorScale>
        <cfvo type="min"/>
        <cfvo type="percentile" val="50"/>
        <cfvo type="max"/>
        <color rgb="FFF8696B"/>
        <color rgb="FFFFEB84"/>
        <color rgb="FF63BE7B"/>
      </colorScale>
    </cfRule>
  </conditionalFormatting>
  <conditionalFormatting sqref="E1403:Q1406">
    <cfRule type="colorScale" priority="940">
      <colorScale>
        <cfvo type="min"/>
        <cfvo type="percentile" val="50"/>
        <cfvo type="max"/>
        <color rgb="FFF8696B"/>
        <color rgb="FFFFEB84"/>
        <color rgb="FF63BE7B"/>
      </colorScale>
    </cfRule>
    <cfRule type="notContainsBlanks" dxfId="143" priority="941">
      <formula>LEN(TRIM(E1403))&gt;0</formula>
    </cfRule>
  </conditionalFormatting>
  <conditionalFormatting sqref="E6426:Q6427">
    <cfRule type="notContainsBlanks" dxfId="142" priority="4206">
      <formula>LEN(TRIM(E6426))&gt;0</formula>
    </cfRule>
    <cfRule type="colorScale" priority="4205">
      <colorScale>
        <cfvo type="min"/>
        <cfvo type="percentile" val="50"/>
        <cfvo type="max"/>
        <color rgb="FFF8696B"/>
        <color rgb="FFFFEB84"/>
        <color rgb="FF63BE7B"/>
      </colorScale>
    </cfRule>
  </conditionalFormatting>
  <conditionalFormatting sqref="E6435:Q6436">
    <cfRule type="colorScale" priority="4209">
      <colorScale>
        <cfvo type="min"/>
        <cfvo type="percentile" val="50"/>
        <cfvo type="max"/>
        <color rgb="FFF8696B"/>
        <color rgb="FFFFEB84"/>
        <color rgb="FF63BE7B"/>
      </colorScale>
    </cfRule>
    <cfRule type="notContainsBlanks" dxfId="141" priority="4210">
      <formula>LEN(TRIM(E6435))&gt;0</formula>
    </cfRule>
  </conditionalFormatting>
  <conditionalFormatting sqref="E6440:Q6441">
    <cfRule type="colorScale" priority="4211">
      <colorScale>
        <cfvo type="min"/>
        <cfvo type="percentile" val="50"/>
        <cfvo type="max"/>
        <color rgb="FFF8696B"/>
        <color rgb="FFFFEB84"/>
        <color rgb="FF63BE7B"/>
      </colorScale>
    </cfRule>
    <cfRule type="notContainsBlanks" dxfId="140" priority="4212">
      <formula>LEN(TRIM(E6440))&gt;0</formula>
    </cfRule>
  </conditionalFormatting>
  <conditionalFormatting sqref="E6445:Q6446">
    <cfRule type="colorScale" priority="4213">
      <colorScale>
        <cfvo type="min"/>
        <cfvo type="percentile" val="50"/>
        <cfvo type="max"/>
        <color rgb="FFF8696B"/>
        <color rgb="FFFFEB84"/>
        <color rgb="FF63BE7B"/>
      </colorScale>
    </cfRule>
    <cfRule type="notContainsBlanks" dxfId="139" priority="4214">
      <formula>LEN(TRIM(E6445))&gt;0</formula>
    </cfRule>
  </conditionalFormatting>
  <conditionalFormatting sqref="E6450:Q6451">
    <cfRule type="colorScale" priority="4215">
      <colorScale>
        <cfvo type="min"/>
        <cfvo type="percentile" val="50"/>
        <cfvo type="max"/>
        <color rgb="FFF8696B"/>
        <color rgb="FFFFEB84"/>
        <color rgb="FF63BE7B"/>
      </colorScale>
    </cfRule>
    <cfRule type="notContainsBlanks" dxfId="138" priority="4216">
      <formula>LEN(TRIM(E6450))&gt;0</formula>
    </cfRule>
  </conditionalFormatting>
  <conditionalFormatting sqref="E6455:Q6456">
    <cfRule type="colorScale" priority="4217">
      <colorScale>
        <cfvo type="min"/>
        <cfvo type="percentile" val="50"/>
        <cfvo type="max"/>
        <color rgb="FFF8696B"/>
        <color rgb="FFFFEB84"/>
        <color rgb="FF63BE7B"/>
      </colorScale>
    </cfRule>
    <cfRule type="notContainsBlanks" dxfId="137" priority="4218">
      <formula>LEN(TRIM(E6455))&gt;0</formula>
    </cfRule>
  </conditionalFormatting>
  <conditionalFormatting sqref="E6460:Q6461">
    <cfRule type="colorScale" priority="4219">
      <colorScale>
        <cfvo type="min"/>
        <cfvo type="percentile" val="50"/>
        <cfvo type="max"/>
        <color rgb="FFF8696B"/>
        <color rgb="FFFFEB84"/>
        <color rgb="FF63BE7B"/>
      </colorScale>
    </cfRule>
    <cfRule type="notContainsBlanks" dxfId="136" priority="4220">
      <formula>LEN(TRIM(E6460))&gt;0</formula>
    </cfRule>
  </conditionalFormatting>
  <conditionalFormatting sqref="E6465:Q6466">
    <cfRule type="notContainsBlanks" dxfId="135" priority="4222">
      <formula>LEN(TRIM(E6465))&gt;0</formula>
    </cfRule>
    <cfRule type="colorScale" priority="4221">
      <colorScale>
        <cfvo type="min"/>
        <cfvo type="percentile" val="50"/>
        <cfvo type="max"/>
        <color rgb="FFF8696B"/>
        <color rgb="FFFFEB84"/>
        <color rgb="FF63BE7B"/>
      </colorScale>
    </cfRule>
  </conditionalFormatting>
  <conditionalFormatting sqref="E6470:Q6471">
    <cfRule type="colorScale" priority="4223">
      <colorScale>
        <cfvo type="min"/>
        <cfvo type="percentile" val="50"/>
        <cfvo type="max"/>
        <color rgb="FFF8696B"/>
        <color rgb="FFFFEB84"/>
        <color rgb="FF63BE7B"/>
      </colorScale>
    </cfRule>
    <cfRule type="notContainsBlanks" dxfId="134" priority="4224">
      <formula>LEN(TRIM(E6470))&gt;0</formula>
    </cfRule>
  </conditionalFormatting>
  <conditionalFormatting sqref="E6475:Q6475">
    <cfRule type="notContainsBlanks" dxfId="133" priority="4226">
      <formula>LEN(TRIM(E6475))&gt;0</formula>
    </cfRule>
    <cfRule type="colorScale" priority="4225">
      <colorScale>
        <cfvo type="min"/>
        <cfvo type="percentile" val="50"/>
        <cfvo type="max"/>
        <color rgb="FFF8696B"/>
        <color rgb="FFFFEB84"/>
        <color rgb="FF63BE7B"/>
      </colorScale>
    </cfRule>
  </conditionalFormatting>
  <conditionalFormatting sqref="E6479:Q6480">
    <cfRule type="colorScale" priority="4227">
      <colorScale>
        <cfvo type="min"/>
        <cfvo type="percentile" val="50"/>
        <cfvo type="max"/>
        <color rgb="FFF8696B"/>
        <color rgb="FFFFEB84"/>
        <color rgb="FF63BE7B"/>
      </colorScale>
    </cfRule>
    <cfRule type="notContainsBlanks" dxfId="132" priority="4228">
      <formula>LEN(TRIM(E6479))&gt;0</formula>
    </cfRule>
  </conditionalFormatting>
  <conditionalFormatting sqref="E6484:Q6485">
    <cfRule type="notContainsBlanks" dxfId="131" priority="4230">
      <formula>LEN(TRIM(E6484))&gt;0</formula>
    </cfRule>
    <cfRule type="colorScale" priority="4229">
      <colorScale>
        <cfvo type="min"/>
        <cfvo type="percentile" val="50"/>
        <cfvo type="max"/>
        <color rgb="FFF8696B"/>
        <color rgb="FFFFEB84"/>
        <color rgb="FF63BE7B"/>
      </colorScale>
    </cfRule>
  </conditionalFormatting>
  <conditionalFormatting sqref="E6489:Q6492">
    <cfRule type="notContainsBlanks" dxfId="130" priority="4232">
      <formula>LEN(TRIM(E6489))&gt;0</formula>
    </cfRule>
    <cfRule type="colorScale" priority="4231">
      <colorScale>
        <cfvo type="min"/>
        <cfvo type="percentile" val="50"/>
        <cfvo type="max"/>
        <color rgb="FFF8696B"/>
        <color rgb="FFFFEB84"/>
        <color rgb="FF63BE7B"/>
      </colorScale>
    </cfRule>
  </conditionalFormatting>
  <conditionalFormatting sqref="E1044:S1045">
    <cfRule type="colorScale" priority="794">
      <colorScale>
        <cfvo type="min"/>
        <cfvo type="percentile" val="50"/>
        <cfvo type="max"/>
        <color rgb="FFF8696B"/>
        <color rgb="FFFFEB84"/>
        <color rgb="FF63BE7B"/>
      </colorScale>
    </cfRule>
    <cfRule type="notContainsBlanks" dxfId="129" priority="795">
      <formula>LEN(TRIM(E1044))&gt;0</formula>
    </cfRule>
  </conditionalFormatting>
  <conditionalFormatting sqref="E1053:S1054">
    <cfRule type="colorScale" priority="798">
      <colorScale>
        <cfvo type="min"/>
        <cfvo type="percentile" val="50"/>
        <cfvo type="max"/>
        <color rgb="FFF8696B"/>
        <color rgb="FFFFEB84"/>
        <color rgb="FF63BE7B"/>
      </colorScale>
    </cfRule>
    <cfRule type="notContainsBlanks" dxfId="128" priority="799">
      <formula>LEN(TRIM(E1053))&gt;0</formula>
    </cfRule>
  </conditionalFormatting>
  <conditionalFormatting sqref="E1058:S1059">
    <cfRule type="colorScale" priority="800">
      <colorScale>
        <cfvo type="min"/>
        <cfvo type="percentile" val="50"/>
        <cfvo type="max"/>
        <color rgb="FFF8696B"/>
        <color rgb="FFFFEB84"/>
        <color rgb="FF63BE7B"/>
      </colorScale>
    </cfRule>
    <cfRule type="notContainsBlanks" dxfId="127" priority="801">
      <formula>LEN(TRIM(E1058))&gt;0</formula>
    </cfRule>
  </conditionalFormatting>
  <conditionalFormatting sqref="E1063:S1064">
    <cfRule type="colorScale" priority="802">
      <colorScale>
        <cfvo type="min"/>
        <cfvo type="percentile" val="50"/>
        <cfvo type="max"/>
        <color rgb="FFF8696B"/>
        <color rgb="FFFFEB84"/>
        <color rgb="FF63BE7B"/>
      </colorScale>
    </cfRule>
    <cfRule type="notContainsBlanks" dxfId="126" priority="803">
      <formula>LEN(TRIM(E1063))&gt;0</formula>
    </cfRule>
  </conditionalFormatting>
  <conditionalFormatting sqref="E1068:S1069">
    <cfRule type="colorScale" priority="804">
      <colorScale>
        <cfvo type="min"/>
        <cfvo type="percentile" val="50"/>
        <cfvo type="max"/>
        <color rgb="FFF8696B"/>
        <color rgb="FFFFEB84"/>
        <color rgb="FF63BE7B"/>
      </colorScale>
    </cfRule>
    <cfRule type="notContainsBlanks" dxfId="125" priority="805">
      <formula>LEN(TRIM(E1068))&gt;0</formula>
    </cfRule>
  </conditionalFormatting>
  <conditionalFormatting sqref="E1073:S1074">
    <cfRule type="colorScale" priority="806">
      <colorScale>
        <cfvo type="min"/>
        <cfvo type="percentile" val="50"/>
        <cfvo type="max"/>
        <color rgb="FFF8696B"/>
        <color rgb="FFFFEB84"/>
        <color rgb="FF63BE7B"/>
      </colorScale>
    </cfRule>
    <cfRule type="notContainsBlanks" dxfId="124" priority="807">
      <formula>LEN(TRIM(E1073))&gt;0</formula>
    </cfRule>
  </conditionalFormatting>
  <conditionalFormatting sqref="E1078:S1079">
    <cfRule type="notContainsBlanks" dxfId="123" priority="809">
      <formula>LEN(TRIM(E1078))&gt;0</formula>
    </cfRule>
    <cfRule type="colorScale" priority="808">
      <colorScale>
        <cfvo type="min"/>
        <cfvo type="percentile" val="50"/>
        <cfvo type="max"/>
        <color rgb="FFF8696B"/>
        <color rgb="FFFFEB84"/>
        <color rgb="FF63BE7B"/>
      </colorScale>
    </cfRule>
  </conditionalFormatting>
  <conditionalFormatting sqref="E1083:S1084">
    <cfRule type="notContainsBlanks" dxfId="122" priority="811">
      <formula>LEN(TRIM(E1083))&gt;0</formula>
    </cfRule>
    <cfRule type="colorScale" priority="810">
      <colorScale>
        <cfvo type="min"/>
        <cfvo type="percentile" val="50"/>
        <cfvo type="max"/>
        <color rgb="FFF8696B"/>
        <color rgb="FFFFEB84"/>
        <color rgb="FF63BE7B"/>
      </colorScale>
    </cfRule>
  </conditionalFormatting>
  <conditionalFormatting sqref="E1088:S1089">
    <cfRule type="notContainsBlanks" dxfId="121" priority="813">
      <formula>LEN(TRIM(E1088))&gt;0</formula>
    </cfRule>
    <cfRule type="colorScale" priority="812">
      <colorScale>
        <cfvo type="min"/>
        <cfvo type="percentile" val="50"/>
        <cfvo type="max"/>
        <color rgb="FFF8696B"/>
        <color rgb="FFFFEB84"/>
        <color rgb="FF63BE7B"/>
      </colorScale>
    </cfRule>
  </conditionalFormatting>
  <conditionalFormatting sqref="E1093:S1093">
    <cfRule type="notContainsBlanks" dxfId="120" priority="815">
      <formula>LEN(TRIM(E1093))&gt;0</formula>
    </cfRule>
    <cfRule type="colorScale" priority="814">
      <colorScale>
        <cfvo type="min"/>
        <cfvo type="percentile" val="50"/>
        <cfvo type="max"/>
        <color rgb="FFF8696B"/>
        <color rgb="FFFFEB84"/>
        <color rgb="FF63BE7B"/>
      </colorScale>
    </cfRule>
  </conditionalFormatting>
  <conditionalFormatting sqref="E1097:S1098">
    <cfRule type="notContainsBlanks" dxfId="119" priority="817">
      <formula>LEN(TRIM(E1097))&gt;0</formula>
    </cfRule>
    <cfRule type="colorScale" priority="816">
      <colorScale>
        <cfvo type="min"/>
        <cfvo type="percentile" val="50"/>
        <cfvo type="max"/>
        <color rgb="FFF8696B"/>
        <color rgb="FFFFEB84"/>
        <color rgb="FF63BE7B"/>
      </colorScale>
    </cfRule>
  </conditionalFormatting>
  <conditionalFormatting sqref="E1102:S1103">
    <cfRule type="notContainsBlanks" dxfId="118" priority="819">
      <formula>LEN(TRIM(E1102))&gt;0</formula>
    </cfRule>
    <cfRule type="colorScale" priority="818">
      <colorScale>
        <cfvo type="min"/>
        <cfvo type="percentile" val="50"/>
        <cfvo type="max"/>
        <color rgb="FFF8696B"/>
        <color rgb="FFFFEB84"/>
        <color rgb="FF63BE7B"/>
      </colorScale>
    </cfRule>
  </conditionalFormatting>
  <conditionalFormatting sqref="E1107:S1110">
    <cfRule type="notContainsBlanks" dxfId="117" priority="821">
      <formula>LEN(TRIM(E1107))&gt;0</formula>
    </cfRule>
    <cfRule type="colorScale" priority="820">
      <colorScale>
        <cfvo type="min"/>
        <cfvo type="percentile" val="50"/>
        <cfvo type="max"/>
        <color rgb="FFF8696B"/>
        <color rgb="FFFFEB84"/>
        <color rgb="FF63BE7B"/>
      </colorScale>
    </cfRule>
  </conditionalFormatting>
  <conditionalFormatting sqref="E4798:T4799">
    <cfRule type="notContainsBlanks" dxfId="116" priority="2616">
      <formula>LEN(TRIM(E4798))&gt;0</formula>
    </cfRule>
    <cfRule type="colorScale" priority="2615">
      <colorScale>
        <cfvo type="min"/>
        <cfvo type="percentile" val="50"/>
        <cfvo type="max"/>
        <color rgb="FFF8696B"/>
        <color rgb="FFFFEB84"/>
        <color rgb="FF63BE7B"/>
      </colorScale>
    </cfRule>
  </conditionalFormatting>
  <conditionalFormatting sqref="E4807:T4808">
    <cfRule type="notContainsBlanks" dxfId="115" priority="2620">
      <formula>LEN(TRIM(E4807))&gt;0</formula>
    </cfRule>
    <cfRule type="colorScale" priority="2619">
      <colorScale>
        <cfvo type="min"/>
        <cfvo type="percentile" val="50"/>
        <cfvo type="max"/>
        <color rgb="FFF8696B"/>
        <color rgb="FFFFEB84"/>
        <color rgb="FF63BE7B"/>
      </colorScale>
    </cfRule>
  </conditionalFormatting>
  <conditionalFormatting sqref="E4812:T4813">
    <cfRule type="notContainsBlanks" dxfId="114" priority="2622">
      <formula>LEN(TRIM(E4812))&gt;0</formula>
    </cfRule>
    <cfRule type="colorScale" priority="2621">
      <colorScale>
        <cfvo type="min"/>
        <cfvo type="percentile" val="50"/>
        <cfvo type="max"/>
        <color rgb="FFF8696B"/>
        <color rgb="FFFFEB84"/>
        <color rgb="FF63BE7B"/>
      </colorScale>
    </cfRule>
  </conditionalFormatting>
  <conditionalFormatting sqref="E4817:T4818">
    <cfRule type="notContainsBlanks" dxfId="113" priority="2624">
      <formula>LEN(TRIM(E4817))&gt;0</formula>
    </cfRule>
    <cfRule type="colorScale" priority="2623">
      <colorScale>
        <cfvo type="min"/>
        <cfvo type="percentile" val="50"/>
        <cfvo type="max"/>
        <color rgb="FFF8696B"/>
        <color rgb="FFFFEB84"/>
        <color rgb="FF63BE7B"/>
      </colorScale>
    </cfRule>
  </conditionalFormatting>
  <conditionalFormatting sqref="E4822:T4823">
    <cfRule type="colorScale" priority="2625">
      <colorScale>
        <cfvo type="min"/>
        <cfvo type="percentile" val="50"/>
        <cfvo type="max"/>
        <color rgb="FFF8696B"/>
        <color rgb="FFFFEB84"/>
        <color rgb="FF63BE7B"/>
      </colorScale>
    </cfRule>
    <cfRule type="notContainsBlanks" dxfId="112" priority="2626">
      <formula>LEN(TRIM(E4822))&gt;0</formula>
    </cfRule>
  </conditionalFormatting>
  <conditionalFormatting sqref="E4827:T4828">
    <cfRule type="notContainsBlanks" dxfId="111" priority="2628">
      <formula>LEN(TRIM(E4827))&gt;0</formula>
    </cfRule>
    <cfRule type="colorScale" priority="2627">
      <colorScale>
        <cfvo type="min"/>
        <cfvo type="percentile" val="50"/>
        <cfvo type="max"/>
        <color rgb="FFF8696B"/>
        <color rgb="FFFFEB84"/>
        <color rgb="FF63BE7B"/>
      </colorScale>
    </cfRule>
  </conditionalFormatting>
  <conditionalFormatting sqref="E4832:T4833">
    <cfRule type="notContainsBlanks" dxfId="110" priority="2630">
      <formula>LEN(TRIM(E4832))&gt;0</formula>
    </cfRule>
    <cfRule type="colorScale" priority="2629">
      <colorScale>
        <cfvo type="min"/>
        <cfvo type="percentile" val="50"/>
        <cfvo type="max"/>
        <color rgb="FFF8696B"/>
        <color rgb="FFFFEB84"/>
        <color rgb="FF63BE7B"/>
      </colorScale>
    </cfRule>
  </conditionalFormatting>
  <conditionalFormatting sqref="E4837:T4838">
    <cfRule type="notContainsBlanks" dxfId="109" priority="2632">
      <formula>LEN(TRIM(E4837))&gt;0</formula>
    </cfRule>
    <cfRule type="colorScale" priority="2631">
      <colorScale>
        <cfvo type="min"/>
        <cfvo type="percentile" val="50"/>
        <cfvo type="max"/>
        <color rgb="FFF8696B"/>
        <color rgb="FFFFEB84"/>
        <color rgb="FF63BE7B"/>
      </colorScale>
    </cfRule>
  </conditionalFormatting>
  <conditionalFormatting sqref="E4842:T4843">
    <cfRule type="colorScale" priority="2633">
      <colorScale>
        <cfvo type="min"/>
        <cfvo type="percentile" val="50"/>
        <cfvo type="max"/>
        <color rgb="FFF8696B"/>
        <color rgb="FFFFEB84"/>
        <color rgb="FF63BE7B"/>
      </colorScale>
    </cfRule>
    <cfRule type="notContainsBlanks" dxfId="108" priority="2634">
      <formula>LEN(TRIM(E4842))&gt;0</formula>
    </cfRule>
  </conditionalFormatting>
  <conditionalFormatting sqref="E4847:T4847">
    <cfRule type="colorScale" priority="2635">
      <colorScale>
        <cfvo type="min"/>
        <cfvo type="percentile" val="50"/>
        <cfvo type="max"/>
        <color rgb="FFF8696B"/>
        <color rgb="FFFFEB84"/>
        <color rgb="FF63BE7B"/>
      </colorScale>
    </cfRule>
    <cfRule type="notContainsBlanks" dxfId="107" priority="2636">
      <formula>LEN(TRIM(E4847))&gt;0</formula>
    </cfRule>
  </conditionalFormatting>
  <conditionalFormatting sqref="E4851:T4852">
    <cfRule type="notContainsBlanks" dxfId="106" priority="2638">
      <formula>LEN(TRIM(E4851))&gt;0</formula>
    </cfRule>
    <cfRule type="colorScale" priority="2637">
      <colorScale>
        <cfvo type="min"/>
        <cfvo type="percentile" val="50"/>
        <cfvo type="max"/>
        <color rgb="FFF8696B"/>
        <color rgb="FFFFEB84"/>
        <color rgb="FF63BE7B"/>
      </colorScale>
    </cfRule>
  </conditionalFormatting>
  <conditionalFormatting sqref="E4856:T4857">
    <cfRule type="colorScale" priority="2639">
      <colorScale>
        <cfvo type="min"/>
        <cfvo type="percentile" val="50"/>
        <cfvo type="max"/>
        <color rgb="FFF8696B"/>
        <color rgb="FFFFEB84"/>
        <color rgb="FF63BE7B"/>
      </colorScale>
    </cfRule>
    <cfRule type="notContainsBlanks" dxfId="105" priority="2640">
      <formula>LEN(TRIM(E4856))&gt;0</formula>
    </cfRule>
  </conditionalFormatting>
  <conditionalFormatting sqref="E4861:T4864">
    <cfRule type="colorScale" priority="2641">
      <colorScale>
        <cfvo type="min"/>
        <cfvo type="percentile" val="50"/>
        <cfvo type="max"/>
        <color rgb="FFF8696B"/>
        <color rgb="FFFFEB84"/>
        <color rgb="FF63BE7B"/>
      </colorScale>
    </cfRule>
    <cfRule type="notContainsBlanks" dxfId="104" priority="2642">
      <formula>LEN(TRIM(E4861))&gt;0</formula>
    </cfRule>
  </conditionalFormatting>
  <conditionalFormatting sqref="E1118:V1119">
    <cfRule type="notContainsBlanks" dxfId="103" priority="825">
      <formula>LEN(TRIM(E1118))&gt;0</formula>
    </cfRule>
    <cfRule type="colorScale" priority="824">
      <colorScale>
        <cfvo type="min"/>
        <cfvo type="percentile" val="50"/>
        <cfvo type="max"/>
        <color rgb="FFF8696B"/>
        <color rgb="FFFFEB84"/>
        <color rgb="FF63BE7B"/>
      </colorScale>
    </cfRule>
  </conditionalFormatting>
  <conditionalFormatting sqref="E1127:V1128">
    <cfRule type="notContainsBlanks" dxfId="102" priority="829">
      <formula>LEN(TRIM(E1127))&gt;0</formula>
    </cfRule>
    <cfRule type="colorScale" priority="828">
      <colorScale>
        <cfvo type="min"/>
        <cfvo type="percentile" val="50"/>
        <cfvo type="max"/>
        <color rgb="FFF8696B"/>
        <color rgb="FFFFEB84"/>
        <color rgb="FF63BE7B"/>
      </colorScale>
    </cfRule>
  </conditionalFormatting>
  <conditionalFormatting sqref="E1132:V1133">
    <cfRule type="notContainsBlanks" dxfId="101" priority="831">
      <formula>LEN(TRIM(E1132))&gt;0</formula>
    </cfRule>
    <cfRule type="colorScale" priority="830">
      <colorScale>
        <cfvo type="min"/>
        <cfvo type="percentile" val="50"/>
        <cfvo type="max"/>
        <color rgb="FFF8696B"/>
        <color rgb="FFFFEB84"/>
        <color rgb="FF63BE7B"/>
      </colorScale>
    </cfRule>
  </conditionalFormatting>
  <conditionalFormatting sqref="E1137:V1138">
    <cfRule type="notContainsBlanks" dxfId="100" priority="833">
      <formula>LEN(TRIM(E1137))&gt;0</formula>
    </cfRule>
    <cfRule type="colorScale" priority="832">
      <colorScale>
        <cfvo type="min"/>
        <cfvo type="percentile" val="50"/>
        <cfvo type="max"/>
        <color rgb="FFF8696B"/>
        <color rgb="FFFFEB84"/>
        <color rgb="FF63BE7B"/>
      </colorScale>
    </cfRule>
  </conditionalFormatting>
  <conditionalFormatting sqref="E1142:V1143">
    <cfRule type="notContainsBlanks" dxfId="99" priority="835">
      <formula>LEN(TRIM(E1142))&gt;0</formula>
    </cfRule>
    <cfRule type="colorScale" priority="834">
      <colorScale>
        <cfvo type="min"/>
        <cfvo type="percentile" val="50"/>
        <cfvo type="max"/>
        <color rgb="FFF8696B"/>
        <color rgb="FFFFEB84"/>
        <color rgb="FF63BE7B"/>
      </colorScale>
    </cfRule>
  </conditionalFormatting>
  <conditionalFormatting sqref="E1147:V1148">
    <cfRule type="colorScale" priority="836">
      <colorScale>
        <cfvo type="min"/>
        <cfvo type="percentile" val="50"/>
        <cfvo type="max"/>
        <color rgb="FFF8696B"/>
        <color rgb="FFFFEB84"/>
        <color rgb="FF63BE7B"/>
      </colorScale>
    </cfRule>
    <cfRule type="notContainsBlanks" dxfId="98" priority="837">
      <formula>LEN(TRIM(E1147))&gt;0</formula>
    </cfRule>
  </conditionalFormatting>
  <conditionalFormatting sqref="E1152:V1153">
    <cfRule type="colorScale" priority="838">
      <colorScale>
        <cfvo type="min"/>
        <cfvo type="percentile" val="50"/>
        <cfvo type="max"/>
        <color rgb="FFF8696B"/>
        <color rgb="FFFFEB84"/>
        <color rgb="FF63BE7B"/>
      </colorScale>
    </cfRule>
    <cfRule type="notContainsBlanks" dxfId="97" priority="839">
      <formula>LEN(TRIM(E1152))&gt;0</formula>
    </cfRule>
  </conditionalFormatting>
  <conditionalFormatting sqref="E1157:V1158">
    <cfRule type="notContainsBlanks" dxfId="96" priority="841">
      <formula>LEN(TRIM(E1157))&gt;0</formula>
    </cfRule>
    <cfRule type="colorScale" priority="840">
      <colorScale>
        <cfvo type="min"/>
        <cfvo type="percentile" val="50"/>
        <cfvo type="max"/>
        <color rgb="FFF8696B"/>
        <color rgb="FFFFEB84"/>
        <color rgb="FF63BE7B"/>
      </colorScale>
    </cfRule>
  </conditionalFormatting>
  <conditionalFormatting sqref="E1162:V1163">
    <cfRule type="colorScale" priority="842">
      <colorScale>
        <cfvo type="min"/>
        <cfvo type="percentile" val="50"/>
        <cfvo type="max"/>
        <color rgb="FFF8696B"/>
        <color rgb="FFFFEB84"/>
        <color rgb="FF63BE7B"/>
      </colorScale>
    </cfRule>
    <cfRule type="notContainsBlanks" dxfId="95" priority="843">
      <formula>LEN(TRIM(E1162))&gt;0</formula>
    </cfRule>
  </conditionalFormatting>
  <conditionalFormatting sqref="E1167:V1167">
    <cfRule type="notContainsBlanks" dxfId="94" priority="845">
      <formula>LEN(TRIM(E1167))&gt;0</formula>
    </cfRule>
    <cfRule type="colorScale" priority="844">
      <colorScale>
        <cfvo type="min"/>
        <cfvo type="percentile" val="50"/>
        <cfvo type="max"/>
        <color rgb="FFF8696B"/>
        <color rgb="FFFFEB84"/>
        <color rgb="FF63BE7B"/>
      </colorScale>
    </cfRule>
  </conditionalFormatting>
  <conditionalFormatting sqref="E1171:V1172">
    <cfRule type="notContainsBlanks" dxfId="93" priority="847">
      <formula>LEN(TRIM(E1171))&gt;0</formula>
    </cfRule>
    <cfRule type="colorScale" priority="846">
      <colorScale>
        <cfvo type="min"/>
        <cfvo type="percentile" val="50"/>
        <cfvo type="max"/>
        <color rgb="FFF8696B"/>
        <color rgb="FFFFEB84"/>
        <color rgb="FF63BE7B"/>
      </colorScale>
    </cfRule>
  </conditionalFormatting>
  <conditionalFormatting sqref="E1176:V1177">
    <cfRule type="colorScale" priority="848">
      <colorScale>
        <cfvo type="min"/>
        <cfvo type="percentile" val="50"/>
        <cfvo type="max"/>
        <color rgb="FFF8696B"/>
        <color rgb="FFFFEB84"/>
        <color rgb="FF63BE7B"/>
      </colorScale>
    </cfRule>
    <cfRule type="notContainsBlanks" dxfId="92" priority="849">
      <formula>LEN(TRIM(E1176))&gt;0</formula>
    </cfRule>
  </conditionalFormatting>
  <conditionalFormatting sqref="E1181:V1184">
    <cfRule type="notContainsBlanks" dxfId="91" priority="851">
      <formula>LEN(TRIM(E1181))&gt;0</formula>
    </cfRule>
    <cfRule type="colorScale" priority="850">
      <colorScale>
        <cfvo type="min"/>
        <cfvo type="percentile" val="50"/>
        <cfvo type="max"/>
        <color rgb="FFF8696B"/>
        <color rgb="FFFFEB84"/>
        <color rgb="FF63BE7B"/>
      </colorScale>
    </cfRule>
  </conditionalFormatting>
  <conditionalFormatting sqref="E6796:V6797">
    <cfRule type="colorScale" priority="4355">
      <colorScale>
        <cfvo type="min"/>
        <cfvo type="percentile" val="50"/>
        <cfvo type="max"/>
        <color rgb="FFF8696B"/>
        <color rgb="FFFFEB84"/>
        <color rgb="FF63BE7B"/>
      </colorScale>
    </cfRule>
    <cfRule type="notContainsBlanks" dxfId="90" priority="4356">
      <formula>LEN(TRIM(E6796))&gt;0</formula>
    </cfRule>
  </conditionalFormatting>
  <conditionalFormatting sqref="E6805:V6806">
    <cfRule type="colorScale" priority="4359">
      <colorScale>
        <cfvo type="min"/>
        <cfvo type="percentile" val="50"/>
        <cfvo type="max"/>
        <color rgb="FFF8696B"/>
        <color rgb="FFFFEB84"/>
        <color rgb="FF63BE7B"/>
      </colorScale>
    </cfRule>
    <cfRule type="notContainsBlanks" dxfId="89" priority="4360">
      <formula>LEN(TRIM(E6805))&gt;0</formula>
    </cfRule>
  </conditionalFormatting>
  <conditionalFormatting sqref="E6810:V6811">
    <cfRule type="colorScale" priority="4361">
      <colorScale>
        <cfvo type="min"/>
        <cfvo type="percentile" val="50"/>
        <cfvo type="max"/>
        <color rgb="FFF8696B"/>
        <color rgb="FFFFEB84"/>
        <color rgb="FF63BE7B"/>
      </colorScale>
    </cfRule>
    <cfRule type="notContainsBlanks" dxfId="88" priority="4362">
      <formula>LEN(TRIM(E6810))&gt;0</formula>
    </cfRule>
  </conditionalFormatting>
  <conditionalFormatting sqref="E6815:V6816">
    <cfRule type="colorScale" priority="4363">
      <colorScale>
        <cfvo type="min"/>
        <cfvo type="percentile" val="50"/>
        <cfvo type="max"/>
        <color rgb="FFF8696B"/>
        <color rgb="FFFFEB84"/>
        <color rgb="FF63BE7B"/>
      </colorScale>
    </cfRule>
    <cfRule type="notContainsBlanks" dxfId="87" priority="4364">
      <formula>LEN(TRIM(E6815))&gt;0</formula>
    </cfRule>
  </conditionalFormatting>
  <conditionalFormatting sqref="E6820:V6821">
    <cfRule type="notContainsBlanks" dxfId="86" priority="4366">
      <formula>LEN(TRIM(E6820))&gt;0</formula>
    </cfRule>
    <cfRule type="colorScale" priority="4365">
      <colorScale>
        <cfvo type="min"/>
        <cfvo type="percentile" val="50"/>
        <cfvo type="max"/>
        <color rgb="FFF8696B"/>
        <color rgb="FFFFEB84"/>
        <color rgb="FF63BE7B"/>
      </colorScale>
    </cfRule>
  </conditionalFormatting>
  <conditionalFormatting sqref="E6825:V6826">
    <cfRule type="notContainsBlanks" dxfId="85" priority="4368">
      <formula>LEN(TRIM(E6825))&gt;0</formula>
    </cfRule>
    <cfRule type="colorScale" priority="4367">
      <colorScale>
        <cfvo type="min"/>
        <cfvo type="percentile" val="50"/>
        <cfvo type="max"/>
        <color rgb="FFF8696B"/>
        <color rgb="FFFFEB84"/>
        <color rgb="FF63BE7B"/>
      </colorScale>
    </cfRule>
  </conditionalFormatting>
  <conditionalFormatting sqref="E6830:V6831">
    <cfRule type="colorScale" priority="4369">
      <colorScale>
        <cfvo type="min"/>
        <cfvo type="percentile" val="50"/>
        <cfvo type="max"/>
        <color rgb="FFF8696B"/>
        <color rgb="FFFFEB84"/>
        <color rgb="FF63BE7B"/>
      </colorScale>
    </cfRule>
    <cfRule type="notContainsBlanks" dxfId="84" priority="4370">
      <formula>LEN(TRIM(E6830))&gt;0</formula>
    </cfRule>
  </conditionalFormatting>
  <conditionalFormatting sqref="E6835:V6836">
    <cfRule type="notContainsBlanks" dxfId="83" priority="4372">
      <formula>LEN(TRIM(E6835))&gt;0</formula>
    </cfRule>
    <cfRule type="colorScale" priority="4371">
      <colorScale>
        <cfvo type="min"/>
        <cfvo type="percentile" val="50"/>
        <cfvo type="max"/>
        <color rgb="FFF8696B"/>
        <color rgb="FFFFEB84"/>
        <color rgb="FF63BE7B"/>
      </colorScale>
    </cfRule>
  </conditionalFormatting>
  <conditionalFormatting sqref="E6840:V6841">
    <cfRule type="colorScale" priority="4373">
      <colorScale>
        <cfvo type="min"/>
        <cfvo type="percentile" val="50"/>
        <cfvo type="max"/>
        <color rgb="FFF8696B"/>
        <color rgb="FFFFEB84"/>
        <color rgb="FF63BE7B"/>
      </colorScale>
    </cfRule>
    <cfRule type="notContainsBlanks" dxfId="82" priority="4374">
      <formula>LEN(TRIM(E6840))&gt;0</formula>
    </cfRule>
  </conditionalFormatting>
  <conditionalFormatting sqref="E6845:V6845">
    <cfRule type="notContainsBlanks" dxfId="81" priority="4376">
      <formula>LEN(TRIM(E6845))&gt;0</formula>
    </cfRule>
    <cfRule type="colorScale" priority="4375">
      <colorScale>
        <cfvo type="min"/>
        <cfvo type="percentile" val="50"/>
        <cfvo type="max"/>
        <color rgb="FFF8696B"/>
        <color rgb="FFFFEB84"/>
        <color rgb="FF63BE7B"/>
      </colorScale>
    </cfRule>
  </conditionalFormatting>
  <conditionalFormatting sqref="E6849:V6850">
    <cfRule type="colorScale" priority="4377">
      <colorScale>
        <cfvo type="min"/>
        <cfvo type="percentile" val="50"/>
        <cfvo type="max"/>
        <color rgb="FFF8696B"/>
        <color rgb="FFFFEB84"/>
        <color rgb="FF63BE7B"/>
      </colorScale>
    </cfRule>
    <cfRule type="notContainsBlanks" dxfId="80" priority="4378">
      <formula>LEN(TRIM(E6849))&gt;0</formula>
    </cfRule>
  </conditionalFormatting>
  <conditionalFormatting sqref="E6854:V6855">
    <cfRule type="colorScale" priority="4379">
      <colorScale>
        <cfvo type="min"/>
        <cfvo type="percentile" val="50"/>
        <cfvo type="max"/>
        <color rgb="FFF8696B"/>
        <color rgb="FFFFEB84"/>
        <color rgb="FF63BE7B"/>
      </colorScale>
    </cfRule>
    <cfRule type="notContainsBlanks" dxfId="79" priority="4380">
      <formula>LEN(TRIM(E6854))&gt;0</formula>
    </cfRule>
  </conditionalFormatting>
  <conditionalFormatting sqref="E6859:V6862">
    <cfRule type="colorScale" priority="4381">
      <colorScale>
        <cfvo type="min"/>
        <cfvo type="percentile" val="50"/>
        <cfvo type="max"/>
        <color rgb="FFF8696B"/>
        <color rgb="FFFFEB84"/>
        <color rgb="FF63BE7B"/>
      </colorScale>
    </cfRule>
    <cfRule type="notContainsBlanks" dxfId="78" priority="4382">
      <formula>LEN(TRIM(E6859))&gt;0</formula>
    </cfRule>
  </conditionalFormatting>
  <conditionalFormatting sqref="E2092:W2093">
    <cfRule type="colorScale" priority="1445">
      <colorScale>
        <cfvo type="min"/>
        <cfvo type="percentile" val="50"/>
        <cfvo type="max"/>
        <color rgb="FFF8696B"/>
        <color rgb="FFFFEB84"/>
        <color rgb="FF63BE7B"/>
      </colorScale>
    </cfRule>
    <cfRule type="notContainsBlanks" dxfId="77" priority="1446">
      <formula>LEN(TRIM(E2092))&gt;0</formula>
    </cfRule>
  </conditionalFormatting>
  <conditionalFormatting sqref="E2101:W2102">
    <cfRule type="colorScale" priority="1449">
      <colorScale>
        <cfvo type="min"/>
        <cfvo type="percentile" val="50"/>
        <cfvo type="max"/>
        <color rgb="FFF8696B"/>
        <color rgb="FFFFEB84"/>
        <color rgb="FF63BE7B"/>
      </colorScale>
    </cfRule>
    <cfRule type="notContainsBlanks" dxfId="76" priority="1450">
      <formula>LEN(TRIM(E2101))&gt;0</formula>
    </cfRule>
  </conditionalFormatting>
  <conditionalFormatting sqref="E2106:W2107">
    <cfRule type="colorScale" priority="1451">
      <colorScale>
        <cfvo type="min"/>
        <cfvo type="percentile" val="50"/>
        <cfvo type="max"/>
        <color rgb="FFF8696B"/>
        <color rgb="FFFFEB84"/>
        <color rgb="FF63BE7B"/>
      </colorScale>
    </cfRule>
    <cfRule type="notContainsBlanks" dxfId="75" priority="1452">
      <formula>LEN(TRIM(E2106))&gt;0</formula>
    </cfRule>
  </conditionalFormatting>
  <conditionalFormatting sqref="E2111:W2112">
    <cfRule type="colorScale" priority="1453">
      <colorScale>
        <cfvo type="min"/>
        <cfvo type="percentile" val="50"/>
        <cfvo type="max"/>
        <color rgb="FFF8696B"/>
        <color rgb="FFFFEB84"/>
        <color rgb="FF63BE7B"/>
      </colorScale>
    </cfRule>
    <cfRule type="notContainsBlanks" dxfId="74" priority="1454">
      <formula>LEN(TRIM(E2111))&gt;0</formula>
    </cfRule>
  </conditionalFormatting>
  <conditionalFormatting sqref="E2116:W2117">
    <cfRule type="notContainsBlanks" dxfId="73" priority="1456">
      <formula>LEN(TRIM(E2116))&gt;0</formula>
    </cfRule>
    <cfRule type="colorScale" priority="1455">
      <colorScale>
        <cfvo type="min"/>
        <cfvo type="percentile" val="50"/>
        <cfvo type="max"/>
        <color rgb="FFF8696B"/>
        <color rgb="FFFFEB84"/>
        <color rgb="FF63BE7B"/>
      </colorScale>
    </cfRule>
  </conditionalFormatting>
  <conditionalFormatting sqref="E2121:W2122">
    <cfRule type="colorScale" priority="1457">
      <colorScale>
        <cfvo type="min"/>
        <cfvo type="percentile" val="50"/>
        <cfvo type="max"/>
        <color rgb="FFF8696B"/>
        <color rgb="FFFFEB84"/>
        <color rgb="FF63BE7B"/>
      </colorScale>
    </cfRule>
    <cfRule type="notContainsBlanks" dxfId="72" priority="1458">
      <formula>LEN(TRIM(E2121))&gt;0</formula>
    </cfRule>
  </conditionalFormatting>
  <conditionalFormatting sqref="E2126:W2127">
    <cfRule type="colorScale" priority="1459">
      <colorScale>
        <cfvo type="min"/>
        <cfvo type="percentile" val="50"/>
        <cfvo type="max"/>
        <color rgb="FFF8696B"/>
        <color rgb="FFFFEB84"/>
        <color rgb="FF63BE7B"/>
      </colorScale>
    </cfRule>
    <cfRule type="notContainsBlanks" dxfId="71" priority="1460">
      <formula>LEN(TRIM(E2126))&gt;0</formula>
    </cfRule>
  </conditionalFormatting>
  <conditionalFormatting sqref="E2131:W2132">
    <cfRule type="notContainsBlanks" dxfId="70" priority="1462">
      <formula>LEN(TRIM(E2131))&gt;0</formula>
    </cfRule>
    <cfRule type="colorScale" priority="1461">
      <colorScale>
        <cfvo type="min"/>
        <cfvo type="percentile" val="50"/>
        <cfvo type="max"/>
        <color rgb="FFF8696B"/>
        <color rgb="FFFFEB84"/>
        <color rgb="FF63BE7B"/>
      </colorScale>
    </cfRule>
  </conditionalFormatting>
  <conditionalFormatting sqref="E2136:W2137">
    <cfRule type="colorScale" priority="1463">
      <colorScale>
        <cfvo type="min"/>
        <cfvo type="percentile" val="50"/>
        <cfvo type="max"/>
        <color rgb="FFF8696B"/>
        <color rgb="FFFFEB84"/>
        <color rgb="FF63BE7B"/>
      </colorScale>
    </cfRule>
    <cfRule type="notContainsBlanks" dxfId="69" priority="1464">
      <formula>LEN(TRIM(E2136))&gt;0</formula>
    </cfRule>
  </conditionalFormatting>
  <conditionalFormatting sqref="E2141:W2141">
    <cfRule type="colorScale" priority="1465">
      <colorScale>
        <cfvo type="min"/>
        <cfvo type="percentile" val="50"/>
        <cfvo type="max"/>
        <color rgb="FFF8696B"/>
        <color rgb="FFFFEB84"/>
        <color rgb="FF63BE7B"/>
      </colorScale>
    </cfRule>
    <cfRule type="notContainsBlanks" dxfId="68" priority="1466">
      <formula>LEN(TRIM(E2141))&gt;0</formula>
    </cfRule>
  </conditionalFormatting>
  <conditionalFormatting sqref="E2145:W2146">
    <cfRule type="notContainsBlanks" dxfId="67" priority="1468">
      <formula>LEN(TRIM(E2145))&gt;0</formula>
    </cfRule>
    <cfRule type="colorScale" priority="1467">
      <colorScale>
        <cfvo type="min"/>
        <cfvo type="percentile" val="50"/>
        <cfvo type="max"/>
        <color rgb="FFF8696B"/>
        <color rgb="FFFFEB84"/>
        <color rgb="FF63BE7B"/>
      </colorScale>
    </cfRule>
  </conditionalFormatting>
  <conditionalFormatting sqref="E2150:W2151">
    <cfRule type="notContainsBlanks" dxfId="66" priority="1470">
      <formula>LEN(TRIM(E2150))&gt;0</formula>
    </cfRule>
    <cfRule type="colorScale" priority="1469">
      <colorScale>
        <cfvo type="min"/>
        <cfvo type="percentile" val="50"/>
        <cfvo type="max"/>
        <color rgb="FFF8696B"/>
        <color rgb="FFFFEB84"/>
        <color rgb="FF63BE7B"/>
      </colorScale>
    </cfRule>
  </conditionalFormatting>
  <conditionalFormatting sqref="E2155:W2158">
    <cfRule type="notContainsBlanks" dxfId="65" priority="1472">
      <formula>LEN(TRIM(E2155))&gt;0</formula>
    </cfRule>
    <cfRule type="colorScale" priority="1471">
      <colorScale>
        <cfvo type="min"/>
        <cfvo type="percentile" val="50"/>
        <cfvo type="max"/>
        <color rgb="FFF8696B"/>
        <color rgb="FFFFEB84"/>
        <color rgb="FF63BE7B"/>
      </colorScale>
    </cfRule>
  </conditionalFormatting>
  <conditionalFormatting sqref="E6278:W6279">
    <cfRule type="colorScale" priority="4145">
      <colorScale>
        <cfvo type="min"/>
        <cfvo type="percentile" val="50"/>
        <cfvo type="max"/>
        <color rgb="FFF8696B"/>
        <color rgb="FFFFEB84"/>
        <color rgb="FF63BE7B"/>
      </colorScale>
    </cfRule>
    <cfRule type="notContainsBlanks" dxfId="64" priority="4146">
      <formula>LEN(TRIM(E6278))&gt;0</formula>
    </cfRule>
  </conditionalFormatting>
  <conditionalFormatting sqref="E6287:W6288">
    <cfRule type="colorScale" priority="4149">
      <colorScale>
        <cfvo type="min"/>
        <cfvo type="percentile" val="50"/>
        <cfvo type="max"/>
        <color rgb="FFF8696B"/>
        <color rgb="FFFFEB84"/>
        <color rgb="FF63BE7B"/>
      </colorScale>
    </cfRule>
    <cfRule type="notContainsBlanks" dxfId="63" priority="4150">
      <formula>LEN(TRIM(E6287))&gt;0</formula>
    </cfRule>
  </conditionalFormatting>
  <conditionalFormatting sqref="E6292:W6293">
    <cfRule type="colorScale" priority="4151">
      <colorScale>
        <cfvo type="min"/>
        <cfvo type="percentile" val="50"/>
        <cfvo type="max"/>
        <color rgb="FFF8696B"/>
        <color rgb="FFFFEB84"/>
        <color rgb="FF63BE7B"/>
      </colorScale>
    </cfRule>
    <cfRule type="notContainsBlanks" dxfId="62" priority="4152">
      <formula>LEN(TRIM(E6292))&gt;0</formula>
    </cfRule>
  </conditionalFormatting>
  <conditionalFormatting sqref="E6297:W6298">
    <cfRule type="colorScale" priority="4153">
      <colorScale>
        <cfvo type="min"/>
        <cfvo type="percentile" val="50"/>
        <cfvo type="max"/>
        <color rgb="FFF8696B"/>
        <color rgb="FFFFEB84"/>
        <color rgb="FF63BE7B"/>
      </colorScale>
    </cfRule>
    <cfRule type="notContainsBlanks" dxfId="61" priority="4154">
      <formula>LEN(TRIM(E6297))&gt;0</formula>
    </cfRule>
  </conditionalFormatting>
  <conditionalFormatting sqref="E6302:W6303">
    <cfRule type="colorScale" priority="4155">
      <colorScale>
        <cfvo type="min"/>
        <cfvo type="percentile" val="50"/>
        <cfvo type="max"/>
        <color rgb="FFF8696B"/>
        <color rgb="FFFFEB84"/>
        <color rgb="FF63BE7B"/>
      </colorScale>
    </cfRule>
    <cfRule type="notContainsBlanks" dxfId="60" priority="4156">
      <formula>LEN(TRIM(E6302))&gt;0</formula>
    </cfRule>
  </conditionalFormatting>
  <conditionalFormatting sqref="E6307:W6308">
    <cfRule type="colorScale" priority="4157">
      <colorScale>
        <cfvo type="min"/>
        <cfvo type="percentile" val="50"/>
        <cfvo type="max"/>
        <color rgb="FFF8696B"/>
        <color rgb="FFFFEB84"/>
        <color rgb="FF63BE7B"/>
      </colorScale>
    </cfRule>
    <cfRule type="notContainsBlanks" dxfId="59" priority="4158">
      <formula>LEN(TRIM(E6307))&gt;0</formula>
    </cfRule>
  </conditionalFormatting>
  <conditionalFormatting sqref="E6312:W6313">
    <cfRule type="notContainsBlanks" dxfId="58" priority="4160">
      <formula>LEN(TRIM(E6312))&gt;0</formula>
    </cfRule>
    <cfRule type="colorScale" priority="4159">
      <colorScale>
        <cfvo type="min"/>
        <cfvo type="percentile" val="50"/>
        <cfvo type="max"/>
        <color rgb="FFF8696B"/>
        <color rgb="FFFFEB84"/>
        <color rgb="FF63BE7B"/>
      </colorScale>
    </cfRule>
  </conditionalFormatting>
  <conditionalFormatting sqref="E6317:W6318">
    <cfRule type="notContainsBlanks" dxfId="57" priority="4162">
      <formula>LEN(TRIM(E6317))&gt;0</formula>
    </cfRule>
    <cfRule type="colorScale" priority="4161">
      <colorScale>
        <cfvo type="min"/>
        <cfvo type="percentile" val="50"/>
        <cfvo type="max"/>
        <color rgb="FFF8696B"/>
        <color rgb="FFFFEB84"/>
        <color rgb="FF63BE7B"/>
      </colorScale>
    </cfRule>
  </conditionalFormatting>
  <conditionalFormatting sqref="E6322:W6323">
    <cfRule type="colorScale" priority="4163">
      <colorScale>
        <cfvo type="min"/>
        <cfvo type="percentile" val="50"/>
        <cfvo type="max"/>
        <color rgb="FFF8696B"/>
        <color rgb="FFFFEB84"/>
        <color rgb="FF63BE7B"/>
      </colorScale>
    </cfRule>
    <cfRule type="notContainsBlanks" dxfId="56" priority="4164">
      <formula>LEN(TRIM(E6322))&gt;0</formula>
    </cfRule>
  </conditionalFormatting>
  <conditionalFormatting sqref="E6327:W6327">
    <cfRule type="colorScale" priority="4165">
      <colorScale>
        <cfvo type="min"/>
        <cfvo type="percentile" val="50"/>
        <cfvo type="max"/>
        <color rgb="FFF8696B"/>
        <color rgb="FFFFEB84"/>
        <color rgb="FF63BE7B"/>
      </colorScale>
    </cfRule>
    <cfRule type="notContainsBlanks" dxfId="55" priority="4166">
      <formula>LEN(TRIM(E6327))&gt;0</formula>
    </cfRule>
  </conditionalFormatting>
  <conditionalFormatting sqref="E6331:W6332">
    <cfRule type="colorScale" priority="4167">
      <colorScale>
        <cfvo type="min"/>
        <cfvo type="percentile" val="50"/>
        <cfvo type="max"/>
        <color rgb="FFF8696B"/>
        <color rgb="FFFFEB84"/>
        <color rgb="FF63BE7B"/>
      </colorScale>
    </cfRule>
    <cfRule type="notContainsBlanks" dxfId="54" priority="4168">
      <formula>LEN(TRIM(E6331))&gt;0</formula>
    </cfRule>
  </conditionalFormatting>
  <conditionalFormatting sqref="E6336:W6337">
    <cfRule type="colorScale" priority="4169">
      <colorScale>
        <cfvo type="min"/>
        <cfvo type="percentile" val="50"/>
        <cfvo type="max"/>
        <color rgb="FFF8696B"/>
        <color rgb="FFFFEB84"/>
        <color rgb="FF63BE7B"/>
      </colorScale>
    </cfRule>
    <cfRule type="notContainsBlanks" dxfId="53" priority="4170">
      <formula>LEN(TRIM(E6336))&gt;0</formula>
    </cfRule>
  </conditionalFormatting>
  <conditionalFormatting sqref="E6341:W6344">
    <cfRule type="colorScale" priority="4171">
      <colorScale>
        <cfvo type="min"/>
        <cfvo type="percentile" val="50"/>
        <cfvo type="max"/>
        <color rgb="FFF8696B"/>
        <color rgb="FFFFEB84"/>
        <color rgb="FF63BE7B"/>
      </colorScale>
    </cfRule>
    <cfRule type="notContainsBlanks" dxfId="52" priority="4172">
      <formula>LEN(TRIM(E6341))&gt;0</formula>
    </cfRule>
  </conditionalFormatting>
  <conditionalFormatting sqref="E6352:X6353">
    <cfRule type="colorScale" priority="4175">
      <colorScale>
        <cfvo type="min"/>
        <cfvo type="percentile" val="50"/>
        <cfvo type="max"/>
        <color rgb="FFF8696B"/>
        <color rgb="FFFFEB84"/>
        <color rgb="FF63BE7B"/>
      </colorScale>
    </cfRule>
    <cfRule type="notContainsBlanks" dxfId="51" priority="4176">
      <formula>LEN(TRIM(E6352))&gt;0</formula>
    </cfRule>
  </conditionalFormatting>
  <conditionalFormatting sqref="E6361:X6362">
    <cfRule type="colorScale" priority="4179">
      <colorScale>
        <cfvo type="min"/>
        <cfvo type="percentile" val="50"/>
        <cfvo type="max"/>
        <color rgb="FFF8696B"/>
        <color rgb="FFFFEB84"/>
        <color rgb="FF63BE7B"/>
      </colorScale>
    </cfRule>
    <cfRule type="notContainsBlanks" dxfId="50" priority="4180">
      <formula>LEN(TRIM(E6361))&gt;0</formula>
    </cfRule>
  </conditionalFormatting>
  <conditionalFormatting sqref="E6366:X6367">
    <cfRule type="notContainsBlanks" dxfId="49" priority="4182">
      <formula>LEN(TRIM(E6366))&gt;0</formula>
    </cfRule>
    <cfRule type="colorScale" priority="4181">
      <colorScale>
        <cfvo type="min"/>
        <cfvo type="percentile" val="50"/>
        <cfvo type="max"/>
        <color rgb="FFF8696B"/>
        <color rgb="FFFFEB84"/>
        <color rgb="FF63BE7B"/>
      </colorScale>
    </cfRule>
  </conditionalFormatting>
  <conditionalFormatting sqref="E6371:X6372">
    <cfRule type="notContainsBlanks" dxfId="48" priority="4184">
      <formula>LEN(TRIM(E6371))&gt;0</formula>
    </cfRule>
    <cfRule type="colorScale" priority="4183">
      <colorScale>
        <cfvo type="min"/>
        <cfvo type="percentile" val="50"/>
        <cfvo type="max"/>
        <color rgb="FFF8696B"/>
        <color rgb="FFFFEB84"/>
        <color rgb="FF63BE7B"/>
      </colorScale>
    </cfRule>
  </conditionalFormatting>
  <conditionalFormatting sqref="E6376:X6377">
    <cfRule type="notContainsBlanks" dxfId="47" priority="4186">
      <formula>LEN(TRIM(E6376))&gt;0</formula>
    </cfRule>
    <cfRule type="colorScale" priority="4185">
      <colorScale>
        <cfvo type="min"/>
        <cfvo type="percentile" val="50"/>
        <cfvo type="max"/>
        <color rgb="FFF8696B"/>
        <color rgb="FFFFEB84"/>
        <color rgb="FF63BE7B"/>
      </colorScale>
    </cfRule>
  </conditionalFormatting>
  <conditionalFormatting sqref="E6381:X6382">
    <cfRule type="colorScale" priority="4187">
      <colorScale>
        <cfvo type="min"/>
        <cfvo type="percentile" val="50"/>
        <cfvo type="max"/>
        <color rgb="FFF8696B"/>
        <color rgb="FFFFEB84"/>
        <color rgb="FF63BE7B"/>
      </colorScale>
    </cfRule>
    <cfRule type="notContainsBlanks" dxfId="46" priority="4188">
      <formula>LEN(TRIM(E6381))&gt;0</formula>
    </cfRule>
  </conditionalFormatting>
  <conditionalFormatting sqref="E6386:X6387">
    <cfRule type="notContainsBlanks" dxfId="45" priority="4190">
      <formula>LEN(TRIM(E6386))&gt;0</formula>
    </cfRule>
    <cfRule type="colorScale" priority="4189">
      <colorScale>
        <cfvo type="min"/>
        <cfvo type="percentile" val="50"/>
        <cfvo type="max"/>
        <color rgb="FFF8696B"/>
        <color rgb="FFFFEB84"/>
        <color rgb="FF63BE7B"/>
      </colorScale>
    </cfRule>
  </conditionalFormatting>
  <conditionalFormatting sqref="E6391:X6392">
    <cfRule type="colorScale" priority="4191">
      <colorScale>
        <cfvo type="min"/>
        <cfvo type="percentile" val="50"/>
        <cfvo type="max"/>
        <color rgb="FFF8696B"/>
        <color rgb="FFFFEB84"/>
        <color rgb="FF63BE7B"/>
      </colorScale>
    </cfRule>
    <cfRule type="notContainsBlanks" dxfId="44" priority="4192">
      <formula>LEN(TRIM(E6391))&gt;0</formula>
    </cfRule>
  </conditionalFormatting>
  <conditionalFormatting sqref="E6396:X6397">
    <cfRule type="notContainsBlanks" dxfId="43" priority="4194">
      <formula>LEN(TRIM(E6396))&gt;0</formula>
    </cfRule>
    <cfRule type="colorScale" priority="4193">
      <colorScale>
        <cfvo type="min"/>
        <cfvo type="percentile" val="50"/>
        <cfvo type="max"/>
        <color rgb="FFF8696B"/>
        <color rgb="FFFFEB84"/>
        <color rgb="FF63BE7B"/>
      </colorScale>
    </cfRule>
  </conditionalFormatting>
  <conditionalFormatting sqref="E6401:X6401">
    <cfRule type="notContainsBlanks" dxfId="42" priority="4196">
      <formula>LEN(TRIM(E6401))&gt;0</formula>
    </cfRule>
    <cfRule type="colorScale" priority="4195">
      <colorScale>
        <cfvo type="min"/>
        <cfvo type="percentile" val="50"/>
        <cfvo type="max"/>
        <color rgb="FFF8696B"/>
        <color rgb="FFFFEB84"/>
        <color rgb="FF63BE7B"/>
      </colorScale>
    </cfRule>
  </conditionalFormatting>
  <conditionalFormatting sqref="E6405:X6406">
    <cfRule type="notContainsBlanks" dxfId="41" priority="4198">
      <formula>LEN(TRIM(E6405))&gt;0</formula>
    </cfRule>
    <cfRule type="colorScale" priority="4197">
      <colorScale>
        <cfvo type="min"/>
        <cfvo type="percentile" val="50"/>
        <cfvo type="max"/>
        <color rgb="FFF8696B"/>
        <color rgb="FFFFEB84"/>
        <color rgb="FF63BE7B"/>
      </colorScale>
    </cfRule>
  </conditionalFormatting>
  <conditionalFormatting sqref="E6410:X6411">
    <cfRule type="colorScale" priority="4199">
      <colorScale>
        <cfvo type="min"/>
        <cfvo type="percentile" val="50"/>
        <cfvo type="max"/>
        <color rgb="FFF8696B"/>
        <color rgb="FFFFEB84"/>
        <color rgb="FF63BE7B"/>
      </colorScale>
    </cfRule>
    <cfRule type="notContainsBlanks" dxfId="40" priority="4200">
      <formula>LEN(TRIM(E6410))&gt;0</formula>
    </cfRule>
  </conditionalFormatting>
  <conditionalFormatting sqref="E6415:X6418">
    <cfRule type="notContainsBlanks" dxfId="39" priority="4202">
      <formula>LEN(TRIM(E6415))&gt;0</formula>
    </cfRule>
    <cfRule type="colorScale" priority="4201">
      <colorScale>
        <cfvo type="min"/>
        <cfvo type="percentile" val="50"/>
        <cfvo type="max"/>
        <color rgb="FFF8696B"/>
        <color rgb="FFFFEB84"/>
        <color rgb="FF63BE7B"/>
      </colorScale>
    </cfRule>
  </conditionalFormatting>
  <conditionalFormatting sqref="E822:Y823">
    <cfRule type="colorScale" priority="704">
      <colorScale>
        <cfvo type="min"/>
        <cfvo type="percentile" val="50"/>
        <cfvo type="max"/>
        <color rgb="FFF8696B"/>
        <color rgb="FFFFEB84"/>
        <color rgb="FF63BE7B"/>
      </colorScale>
    </cfRule>
    <cfRule type="notContainsBlanks" dxfId="38" priority="705">
      <formula>LEN(TRIM(E822))&gt;0</formula>
    </cfRule>
  </conditionalFormatting>
  <conditionalFormatting sqref="E831:Y832">
    <cfRule type="colorScale" priority="708">
      <colorScale>
        <cfvo type="min"/>
        <cfvo type="percentile" val="50"/>
        <cfvo type="max"/>
        <color rgb="FFF8696B"/>
        <color rgb="FFFFEB84"/>
        <color rgb="FF63BE7B"/>
      </colorScale>
    </cfRule>
    <cfRule type="notContainsBlanks" dxfId="37" priority="709">
      <formula>LEN(TRIM(E831))&gt;0</formula>
    </cfRule>
  </conditionalFormatting>
  <conditionalFormatting sqref="E836:Y837">
    <cfRule type="colorScale" priority="710">
      <colorScale>
        <cfvo type="min"/>
        <cfvo type="percentile" val="50"/>
        <cfvo type="max"/>
        <color rgb="FFF8696B"/>
        <color rgb="FFFFEB84"/>
        <color rgb="FF63BE7B"/>
      </colorScale>
    </cfRule>
    <cfRule type="notContainsBlanks" dxfId="36" priority="711">
      <formula>LEN(TRIM(E836))&gt;0</formula>
    </cfRule>
  </conditionalFormatting>
  <conditionalFormatting sqref="E841:Y842">
    <cfRule type="colorScale" priority="712">
      <colorScale>
        <cfvo type="min"/>
        <cfvo type="percentile" val="50"/>
        <cfvo type="max"/>
        <color rgb="FFF8696B"/>
        <color rgb="FFFFEB84"/>
        <color rgb="FF63BE7B"/>
      </colorScale>
    </cfRule>
    <cfRule type="notContainsBlanks" dxfId="35" priority="713">
      <formula>LEN(TRIM(E841))&gt;0</formula>
    </cfRule>
  </conditionalFormatting>
  <conditionalFormatting sqref="E846:Y847">
    <cfRule type="colorScale" priority="714">
      <colorScale>
        <cfvo type="min"/>
        <cfvo type="percentile" val="50"/>
        <cfvo type="max"/>
        <color rgb="FFF8696B"/>
        <color rgb="FFFFEB84"/>
        <color rgb="FF63BE7B"/>
      </colorScale>
    </cfRule>
    <cfRule type="notContainsBlanks" dxfId="34" priority="715">
      <formula>LEN(TRIM(E846))&gt;0</formula>
    </cfRule>
  </conditionalFormatting>
  <conditionalFormatting sqref="E851:Y852">
    <cfRule type="colorScale" priority="716">
      <colorScale>
        <cfvo type="min"/>
        <cfvo type="percentile" val="50"/>
        <cfvo type="max"/>
        <color rgb="FFF8696B"/>
        <color rgb="FFFFEB84"/>
        <color rgb="FF63BE7B"/>
      </colorScale>
    </cfRule>
    <cfRule type="notContainsBlanks" dxfId="33" priority="717">
      <formula>LEN(TRIM(E851))&gt;0</formula>
    </cfRule>
  </conditionalFormatting>
  <conditionalFormatting sqref="E856:Y857">
    <cfRule type="colorScale" priority="718">
      <colorScale>
        <cfvo type="min"/>
        <cfvo type="percentile" val="50"/>
        <cfvo type="max"/>
        <color rgb="FFF8696B"/>
        <color rgb="FFFFEB84"/>
        <color rgb="FF63BE7B"/>
      </colorScale>
    </cfRule>
    <cfRule type="notContainsBlanks" dxfId="32" priority="719">
      <formula>LEN(TRIM(E856))&gt;0</formula>
    </cfRule>
  </conditionalFormatting>
  <conditionalFormatting sqref="E861:Y862">
    <cfRule type="colorScale" priority="720">
      <colorScale>
        <cfvo type="min"/>
        <cfvo type="percentile" val="50"/>
        <cfvo type="max"/>
        <color rgb="FFF8696B"/>
        <color rgb="FFFFEB84"/>
        <color rgb="FF63BE7B"/>
      </colorScale>
    </cfRule>
    <cfRule type="notContainsBlanks" dxfId="31" priority="721">
      <formula>LEN(TRIM(E861))&gt;0</formula>
    </cfRule>
  </conditionalFormatting>
  <conditionalFormatting sqref="E866:Y867">
    <cfRule type="colorScale" priority="722">
      <colorScale>
        <cfvo type="min"/>
        <cfvo type="percentile" val="50"/>
        <cfvo type="max"/>
        <color rgb="FFF8696B"/>
        <color rgb="FFFFEB84"/>
        <color rgb="FF63BE7B"/>
      </colorScale>
    </cfRule>
    <cfRule type="notContainsBlanks" dxfId="30" priority="723">
      <formula>LEN(TRIM(E866))&gt;0</formula>
    </cfRule>
  </conditionalFormatting>
  <conditionalFormatting sqref="E871:Y871">
    <cfRule type="colorScale" priority="724">
      <colorScale>
        <cfvo type="min"/>
        <cfvo type="percentile" val="50"/>
        <cfvo type="max"/>
        <color rgb="FFF8696B"/>
        <color rgb="FFFFEB84"/>
        <color rgb="FF63BE7B"/>
      </colorScale>
    </cfRule>
    <cfRule type="notContainsBlanks" dxfId="29" priority="725">
      <formula>LEN(TRIM(E871))&gt;0</formula>
    </cfRule>
  </conditionalFormatting>
  <conditionalFormatting sqref="E875:Y876">
    <cfRule type="colorScale" priority="726">
      <colorScale>
        <cfvo type="min"/>
        <cfvo type="percentile" val="50"/>
        <cfvo type="max"/>
        <color rgb="FFF8696B"/>
        <color rgb="FFFFEB84"/>
        <color rgb="FF63BE7B"/>
      </colorScale>
    </cfRule>
    <cfRule type="notContainsBlanks" dxfId="28" priority="727">
      <formula>LEN(TRIM(E875))&gt;0</formula>
    </cfRule>
  </conditionalFormatting>
  <conditionalFormatting sqref="E880:Y881">
    <cfRule type="colorScale" priority="728">
      <colorScale>
        <cfvo type="min"/>
        <cfvo type="percentile" val="50"/>
        <cfvo type="max"/>
        <color rgb="FFF8696B"/>
        <color rgb="FFFFEB84"/>
        <color rgb="FF63BE7B"/>
      </colorScale>
    </cfRule>
    <cfRule type="notContainsBlanks" dxfId="27" priority="729">
      <formula>LEN(TRIM(E880))&gt;0</formula>
    </cfRule>
  </conditionalFormatting>
  <conditionalFormatting sqref="E885:Y888">
    <cfRule type="colorScale" priority="730">
      <colorScale>
        <cfvo type="min"/>
        <cfvo type="percentile" val="50"/>
        <cfvo type="max"/>
        <color rgb="FFF8696B"/>
        <color rgb="FFFFEB84"/>
        <color rgb="FF63BE7B"/>
      </colorScale>
    </cfRule>
    <cfRule type="notContainsBlanks" dxfId="26" priority="731">
      <formula>LEN(TRIM(E885))&gt;0</formula>
    </cfRule>
  </conditionalFormatting>
  <conditionalFormatting sqref="E3326:Y3327">
    <cfRule type="notContainsBlanks" dxfId="25" priority="1986">
      <formula>LEN(TRIM(E3326))&gt;0</formula>
    </cfRule>
    <cfRule type="colorScale" priority="1985">
      <colorScale>
        <cfvo type="min"/>
        <cfvo type="percentile" val="50"/>
        <cfvo type="max"/>
        <color rgb="FFF8696B"/>
        <color rgb="FFFFEB84"/>
        <color rgb="FF63BE7B"/>
      </colorScale>
    </cfRule>
  </conditionalFormatting>
  <conditionalFormatting sqref="E3335:Y3336">
    <cfRule type="notContainsBlanks" dxfId="24" priority="1990">
      <formula>LEN(TRIM(E3335))&gt;0</formula>
    </cfRule>
    <cfRule type="colorScale" priority="1989">
      <colorScale>
        <cfvo type="min"/>
        <cfvo type="percentile" val="50"/>
        <cfvo type="max"/>
        <color rgb="FFF8696B"/>
        <color rgb="FFFFEB84"/>
        <color rgb="FF63BE7B"/>
      </colorScale>
    </cfRule>
  </conditionalFormatting>
  <conditionalFormatting sqref="E3340:Y3341">
    <cfRule type="colorScale" priority="1991">
      <colorScale>
        <cfvo type="min"/>
        <cfvo type="percentile" val="50"/>
        <cfvo type="max"/>
        <color rgb="FFF8696B"/>
        <color rgb="FFFFEB84"/>
        <color rgb="FF63BE7B"/>
      </colorScale>
    </cfRule>
    <cfRule type="notContainsBlanks" dxfId="23" priority="1992">
      <formula>LEN(TRIM(E3340))&gt;0</formula>
    </cfRule>
  </conditionalFormatting>
  <conditionalFormatting sqref="E3345:Y3346">
    <cfRule type="colorScale" priority="1993">
      <colorScale>
        <cfvo type="min"/>
        <cfvo type="percentile" val="50"/>
        <cfvo type="max"/>
        <color rgb="FFF8696B"/>
        <color rgb="FFFFEB84"/>
        <color rgb="FF63BE7B"/>
      </colorScale>
    </cfRule>
    <cfRule type="notContainsBlanks" dxfId="22" priority="1994">
      <formula>LEN(TRIM(E3345))&gt;0</formula>
    </cfRule>
  </conditionalFormatting>
  <conditionalFormatting sqref="E3350:Y3351">
    <cfRule type="notContainsBlanks" dxfId="21" priority="1996">
      <formula>LEN(TRIM(E3350))&gt;0</formula>
    </cfRule>
    <cfRule type="colorScale" priority="1995">
      <colorScale>
        <cfvo type="min"/>
        <cfvo type="percentile" val="50"/>
        <cfvo type="max"/>
        <color rgb="FFF8696B"/>
        <color rgb="FFFFEB84"/>
        <color rgb="FF63BE7B"/>
      </colorScale>
    </cfRule>
  </conditionalFormatting>
  <conditionalFormatting sqref="E3355:Y3356">
    <cfRule type="colorScale" priority="1997">
      <colorScale>
        <cfvo type="min"/>
        <cfvo type="percentile" val="50"/>
        <cfvo type="max"/>
        <color rgb="FFF8696B"/>
        <color rgb="FFFFEB84"/>
        <color rgb="FF63BE7B"/>
      </colorScale>
    </cfRule>
    <cfRule type="notContainsBlanks" dxfId="20" priority="1998">
      <formula>LEN(TRIM(E3355))&gt;0</formula>
    </cfRule>
  </conditionalFormatting>
  <conditionalFormatting sqref="E3360:Y3361">
    <cfRule type="colorScale" priority="1999">
      <colorScale>
        <cfvo type="min"/>
        <cfvo type="percentile" val="50"/>
        <cfvo type="max"/>
        <color rgb="FFF8696B"/>
        <color rgb="FFFFEB84"/>
        <color rgb="FF63BE7B"/>
      </colorScale>
    </cfRule>
    <cfRule type="notContainsBlanks" dxfId="19" priority="2000">
      <formula>LEN(TRIM(E3360))&gt;0</formula>
    </cfRule>
  </conditionalFormatting>
  <conditionalFormatting sqref="E3365:Y3366">
    <cfRule type="colorScale" priority="2001">
      <colorScale>
        <cfvo type="min"/>
        <cfvo type="percentile" val="50"/>
        <cfvo type="max"/>
        <color rgb="FFF8696B"/>
        <color rgb="FFFFEB84"/>
        <color rgb="FF63BE7B"/>
      </colorScale>
    </cfRule>
    <cfRule type="notContainsBlanks" dxfId="18" priority="2002">
      <formula>LEN(TRIM(E3365))&gt;0</formula>
    </cfRule>
  </conditionalFormatting>
  <conditionalFormatting sqref="E3370:Y3371">
    <cfRule type="colorScale" priority="2003">
      <colorScale>
        <cfvo type="min"/>
        <cfvo type="percentile" val="50"/>
        <cfvo type="max"/>
        <color rgb="FFF8696B"/>
        <color rgb="FFFFEB84"/>
        <color rgb="FF63BE7B"/>
      </colorScale>
    </cfRule>
    <cfRule type="notContainsBlanks" dxfId="17" priority="2004">
      <formula>LEN(TRIM(E3370))&gt;0</formula>
    </cfRule>
  </conditionalFormatting>
  <conditionalFormatting sqref="E3375:Y3375">
    <cfRule type="notContainsBlanks" dxfId="16" priority="2006">
      <formula>LEN(TRIM(E3375))&gt;0</formula>
    </cfRule>
    <cfRule type="colorScale" priority="2005">
      <colorScale>
        <cfvo type="min"/>
        <cfvo type="percentile" val="50"/>
        <cfvo type="max"/>
        <color rgb="FFF8696B"/>
        <color rgb="FFFFEB84"/>
        <color rgb="FF63BE7B"/>
      </colorScale>
    </cfRule>
  </conditionalFormatting>
  <conditionalFormatting sqref="E3379:Y3380">
    <cfRule type="notContainsBlanks" dxfId="15" priority="2008">
      <formula>LEN(TRIM(E3379))&gt;0</formula>
    </cfRule>
    <cfRule type="colorScale" priority="2007">
      <colorScale>
        <cfvo type="min"/>
        <cfvo type="percentile" val="50"/>
        <cfvo type="max"/>
        <color rgb="FFF8696B"/>
        <color rgb="FFFFEB84"/>
        <color rgb="FF63BE7B"/>
      </colorScale>
    </cfRule>
  </conditionalFormatting>
  <conditionalFormatting sqref="E3384:Y3385">
    <cfRule type="notContainsBlanks" dxfId="14" priority="2010">
      <formula>LEN(TRIM(E3384))&gt;0</formula>
    </cfRule>
    <cfRule type="colorScale" priority="2009">
      <colorScale>
        <cfvo type="min"/>
        <cfvo type="percentile" val="50"/>
        <cfvo type="max"/>
        <color rgb="FFF8696B"/>
        <color rgb="FFFFEB84"/>
        <color rgb="FF63BE7B"/>
      </colorScale>
    </cfRule>
  </conditionalFormatting>
  <conditionalFormatting sqref="E3389:Y3392">
    <cfRule type="colorScale" priority="2011">
      <colorScale>
        <cfvo type="min"/>
        <cfvo type="percentile" val="50"/>
        <cfvo type="max"/>
        <color rgb="FFF8696B"/>
        <color rgb="FFFFEB84"/>
        <color rgb="FF63BE7B"/>
      </colorScale>
    </cfRule>
    <cfRule type="notContainsBlanks" dxfId="13" priority="2012">
      <formula>LEN(TRIM(E3389))&gt;0</formula>
    </cfRule>
  </conditionalFormatting>
  <conditionalFormatting sqref="E748:Z749">
    <cfRule type="notContainsBlanks" dxfId="12" priority="675">
      <formula>LEN(TRIM(E748))&gt;0</formula>
    </cfRule>
    <cfRule type="colorScale" priority="674">
      <colorScale>
        <cfvo type="min"/>
        <cfvo type="percentile" val="50"/>
        <cfvo type="max"/>
        <color rgb="FFF8696B"/>
        <color rgb="FFFFEB84"/>
        <color rgb="FF63BE7B"/>
      </colorScale>
    </cfRule>
  </conditionalFormatting>
  <conditionalFormatting sqref="E757:Z758">
    <cfRule type="colorScale" priority="678">
      <colorScale>
        <cfvo type="min"/>
        <cfvo type="percentile" val="50"/>
        <cfvo type="max"/>
        <color rgb="FFF8696B"/>
        <color rgb="FFFFEB84"/>
        <color rgb="FF63BE7B"/>
      </colorScale>
    </cfRule>
    <cfRule type="notContainsBlanks" dxfId="11" priority="679">
      <formula>LEN(TRIM(E757))&gt;0</formula>
    </cfRule>
  </conditionalFormatting>
  <conditionalFormatting sqref="E762:Z763">
    <cfRule type="colorScale" priority="680">
      <colorScale>
        <cfvo type="min"/>
        <cfvo type="percentile" val="50"/>
        <cfvo type="max"/>
        <color rgb="FFF8696B"/>
        <color rgb="FFFFEB84"/>
        <color rgb="FF63BE7B"/>
      </colorScale>
    </cfRule>
    <cfRule type="notContainsBlanks" dxfId="10" priority="681">
      <formula>LEN(TRIM(E762))&gt;0</formula>
    </cfRule>
  </conditionalFormatting>
  <conditionalFormatting sqref="E767:Z768">
    <cfRule type="notContainsBlanks" dxfId="9" priority="683">
      <formula>LEN(TRIM(E767))&gt;0</formula>
    </cfRule>
    <cfRule type="colorScale" priority="682">
      <colorScale>
        <cfvo type="min"/>
        <cfvo type="percentile" val="50"/>
        <cfvo type="max"/>
        <color rgb="FFF8696B"/>
        <color rgb="FFFFEB84"/>
        <color rgb="FF63BE7B"/>
      </colorScale>
    </cfRule>
  </conditionalFormatting>
  <conditionalFormatting sqref="E772:Z773">
    <cfRule type="colorScale" priority="684">
      <colorScale>
        <cfvo type="min"/>
        <cfvo type="percentile" val="50"/>
        <cfvo type="max"/>
        <color rgb="FFF8696B"/>
        <color rgb="FFFFEB84"/>
        <color rgb="FF63BE7B"/>
      </colorScale>
    </cfRule>
    <cfRule type="notContainsBlanks" dxfId="8" priority="685">
      <formula>LEN(TRIM(E772))&gt;0</formula>
    </cfRule>
  </conditionalFormatting>
  <conditionalFormatting sqref="E777:Z778">
    <cfRule type="notContainsBlanks" dxfId="7" priority="687">
      <formula>LEN(TRIM(E777))&gt;0</formula>
    </cfRule>
    <cfRule type="colorScale" priority="686">
      <colorScale>
        <cfvo type="min"/>
        <cfvo type="percentile" val="50"/>
        <cfvo type="max"/>
        <color rgb="FFF8696B"/>
        <color rgb="FFFFEB84"/>
        <color rgb="FF63BE7B"/>
      </colorScale>
    </cfRule>
  </conditionalFormatting>
  <conditionalFormatting sqref="E782:Z783">
    <cfRule type="colorScale" priority="688">
      <colorScale>
        <cfvo type="min"/>
        <cfvo type="percentile" val="50"/>
        <cfvo type="max"/>
        <color rgb="FFF8696B"/>
        <color rgb="FFFFEB84"/>
        <color rgb="FF63BE7B"/>
      </colorScale>
    </cfRule>
    <cfRule type="notContainsBlanks" dxfId="6" priority="689">
      <formula>LEN(TRIM(E782))&gt;0</formula>
    </cfRule>
  </conditionalFormatting>
  <conditionalFormatting sqref="E787:Z788">
    <cfRule type="notContainsBlanks" dxfId="5" priority="691">
      <formula>LEN(TRIM(E787))&gt;0</formula>
    </cfRule>
    <cfRule type="colorScale" priority="690">
      <colorScale>
        <cfvo type="min"/>
        <cfvo type="percentile" val="50"/>
        <cfvo type="max"/>
        <color rgb="FFF8696B"/>
        <color rgb="FFFFEB84"/>
        <color rgb="FF63BE7B"/>
      </colorScale>
    </cfRule>
  </conditionalFormatting>
  <conditionalFormatting sqref="E792:Z793">
    <cfRule type="colorScale" priority="692">
      <colorScale>
        <cfvo type="min"/>
        <cfvo type="percentile" val="50"/>
        <cfvo type="max"/>
        <color rgb="FFF8696B"/>
        <color rgb="FFFFEB84"/>
        <color rgb="FF63BE7B"/>
      </colorScale>
    </cfRule>
    <cfRule type="notContainsBlanks" dxfId="4" priority="693">
      <formula>LEN(TRIM(E792))&gt;0</formula>
    </cfRule>
  </conditionalFormatting>
  <conditionalFormatting sqref="E797:Z797">
    <cfRule type="notContainsBlanks" dxfId="3" priority="695">
      <formula>LEN(TRIM(E797))&gt;0</formula>
    </cfRule>
    <cfRule type="colorScale" priority="694">
      <colorScale>
        <cfvo type="min"/>
        <cfvo type="percentile" val="50"/>
        <cfvo type="max"/>
        <color rgb="FFF8696B"/>
        <color rgb="FFFFEB84"/>
        <color rgb="FF63BE7B"/>
      </colorScale>
    </cfRule>
  </conditionalFormatting>
  <conditionalFormatting sqref="E801:Z802">
    <cfRule type="colorScale" priority="696">
      <colorScale>
        <cfvo type="min"/>
        <cfvo type="percentile" val="50"/>
        <cfvo type="max"/>
        <color rgb="FFF8696B"/>
        <color rgb="FFFFEB84"/>
        <color rgb="FF63BE7B"/>
      </colorScale>
    </cfRule>
    <cfRule type="notContainsBlanks" dxfId="2" priority="697">
      <formula>LEN(TRIM(E801))&gt;0</formula>
    </cfRule>
  </conditionalFormatting>
  <conditionalFormatting sqref="E806:Z807">
    <cfRule type="colorScale" priority="698">
      <colorScale>
        <cfvo type="min"/>
        <cfvo type="percentile" val="50"/>
        <cfvo type="max"/>
        <color rgb="FFF8696B"/>
        <color rgb="FFFFEB84"/>
        <color rgb="FF63BE7B"/>
      </colorScale>
    </cfRule>
    <cfRule type="notContainsBlanks" dxfId="1" priority="699">
      <formula>LEN(TRIM(E806))&gt;0</formula>
    </cfRule>
  </conditionalFormatting>
  <conditionalFormatting sqref="E811:Z814">
    <cfRule type="notContainsBlanks" dxfId="0" priority="701">
      <formula>LEN(TRIM(E811))&gt;0</formula>
    </cfRule>
    <cfRule type="colorScale" priority="700">
      <colorScale>
        <cfvo type="min"/>
        <cfvo type="percentile" val="50"/>
        <cfvo type="max"/>
        <color rgb="FFF8696B"/>
        <color rgb="FFFFEB84"/>
        <color rgb="FF63BE7B"/>
      </colorScale>
    </cfRule>
  </conditionalFormatting>
  <conditionalFormatting sqref="F8:F9">
    <cfRule type="colorScale" priority="20">
      <colorScale>
        <cfvo type="min"/>
        <cfvo type="percentile" val="50"/>
        <cfvo type="max"/>
        <color rgb="FFF8696B"/>
        <color rgb="FFFFEB84"/>
        <color rgb="FF63BE7B"/>
      </colorScale>
    </cfRule>
  </conditionalFormatting>
  <conditionalFormatting sqref="F17:F18">
    <cfRule type="colorScale" priority="30">
      <colorScale>
        <cfvo type="min"/>
        <cfvo type="percentile" val="50"/>
        <cfvo type="max"/>
        <color rgb="FFF8696B"/>
        <color rgb="FFFFEB84"/>
        <color rgb="FF63BE7B"/>
      </colorScale>
    </cfRule>
  </conditionalFormatting>
  <conditionalFormatting sqref="F22:F23">
    <cfRule type="colorScale" priority="35">
      <colorScale>
        <cfvo type="min"/>
        <cfvo type="percentile" val="50"/>
        <cfvo type="max"/>
        <color rgb="FFF8696B"/>
        <color rgb="FFFFEB84"/>
        <color rgb="FF63BE7B"/>
      </colorScale>
    </cfRule>
  </conditionalFormatting>
  <conditionalFormatting sqref="F27:F28">
    <cfRule type="colorScale" priority="40">
      <colorScale>
        <cfvo type="min"/>
        <cfvo type="percentile" val="50"/>
        <cfvo type="max"/>
        <color rgb="FFF8696B"/>
        <color rgb="FFFFEB84"/>
        <color rgb="FF63BE7B"/>
      </colorScale>
    </cfRule>
  </conditionalFormatting>
  <conditionalFormatting sqref="F32:F33">
    <cfRule type="colorScale" priority="45">
      <colorScale>
        <cfvo type="min"/>
        <cfvo type="percentile" val="50"/>
        <cfvo type="max"/>
        <color rgb="FFF8696B"/>
        <color rgb="FFFFEB84"/>
        <color rgb="FF63BE7B"/>
      </colorScale>
    </cfRule>
  </conditionalFormatting>
  <conditionalFormatting sqref="F37:F38">
    <cfRule type="colorScale" priority="50">
      <colorScale>
        <cfvo type="min"/>
        <cfvo type="percentile" val="50"/>
        <cfvo type="max"/>
        <color rgb="FFF8696B"/>
        <color rgb="FFFFEB84"/>
        <color rgb="FF63BE7B"/>
      </colorScale>
    </cfRule>
  </conditionalFormatting>
  <conditionalFormatting sqref="F42:F43">
    <cfRule type="colorScale" priority="55">
      <colorScale>
        <cfvo type="min"/>
        <cfvo type="percentile" val="50"/>
        <cfvo type="max"/>
        <color rgb="FFF8696B"/>
        <color rgb="FFFFEB84"/>
        <color rgb="FF63BE7B"/>
      </colorScale>
    </cfRule>
  </conditionalFormatting>
  <conditionalFormatting sqref="F47:F48">
    <cfRule type="colorScale" priority="60">
      <colorScale>
        <cfvo type="min"/>
        <cfvo type="percentile" val="50"/>
        <cfvo type="max"/>
        <color rgb="FFF8696B"/>
        <color rgb="FFFFEB84"/>
        <color rgb="FF63BE7B"/>
      </colorScale>
    </cfRule>
  </conditionalFormatting>
  <conditionalFormatting sqref="F52:F53">
    <cfRule type="colorScale" priority="65">
      <colorScale>
        <cfvo type="min"/>
        <cfvo type="percentile" val="50"/>
        <cfvo type="max"/>
        <color rgb="FFF8696B"/>
        <color rgb="FFFFEB84"/>
        <color rgb="FF63BE7B"/>
      </colorScale>
    </cfRule>
  </conditionalFormatting>
  <conditionalFormatting sqref="F57">
    <cfRule type="colorScale" priority="70">
      <colorScale>
        <cfvo type="min"/>
        <cfvo type="percentile" val="50"/>
        <cfvo type="max"/>
        <color rgb="FFF8696B"/>
        <color rgb="FFFFEB84"/>
        <color rgb="FF63BE7B"/>
      </colorScale>
    </cfRule>
  </conditionalFormatting>
  <conditionalFormatting sqref="F61:F62">
    <cfRule type="colorScale" priority="75">
      <colorScale>
        <cfvo type="min"/>
        <cfvo type="percentile" val="50"/>
        <cfvo type="max"/>
        <color rgb="FFF8696B"/>
        <color rgb="FFFFEB84"/>
        <color rgb="FF63BE7B"/>
      </colorScale>
    </cfRule>
  </conditionalFormatting>
  <conditionalFormatting sqref="F66:F67">
    <cfRule type="colorScale" priority="80">
      <colorScale>
        <cfvo type="min"/>
        <cfvo type="percentile" val="50"/>
        <cfvo type="max"/>
        <color rgb="FFF8696B"/>
        <color rgb="FFFFEB84"/>
        <color rgb="FF63BE7B"/>
      </colorScale>
    </cfRule>
  </conditionalFormatting>
  <conditionalFormatting sqref="F71:F74">
    <cfRule type="colorScale" priority="85">
      <colorScale>
        <cfvo type="min"/>
        <cfvo type="percentile" val="50"/>
        <cfvo type="max"/>
        <color rgb="FFF8696B"/>
        <color rgb="FFFFEB84"/>
        <color rgb="FF63BE7B"/>
      </colorScale>
    </cfRule>
  </conditionalFormatting>
  <conditionalFormatting sqref="F82:F83">
    <cfRule type="colorScale" priority="95">
      <colorScale>
        <cfvo type="min"/>
        <cfvo type="percentile" val="50"/>
        <cfvo type="max"/>
        <color rgb="FFF8696B"/>
        <color rgb="FFFFEB84"/>
        <color rgb="FF63BE7B"/>
      </colorScale>
    </cfRule>
  </conditionalFormatting>
  <conditionalFormatting sqref="F91:F92">
    <cfRule type="colorScale" priority="105">
      <colorScale>
        <cfvo type="min"/>
        <cfvo type="percentile" val="50"/>
        <cfvo type="max"/>
        <color rgb="FFF8696B"/>
        <color rgb="FFFFEB84"/>
        <color rgb="FF63BE7B"/>
      </colorScale>
    </cfRule>
  </conditionalFormatting>
  <conditionalFormatting sqref="F96:F97">
    <cfRule type="colorScale" priority="110">
      <colorScale>
        <cfvo type="min"/>
        <cfvo type="percentile" val="50"/>
        <cfvo type="max"/>
        <color rgb="FFF8696B"/>
        <color rgb="FFFFEB84"/>
        <color rgb="FF63BE7B"/>
      </colorScale>
    </cfRule>
  </conditionalFormatting>
  <conditionalFormatting sqref="F101:F102">
    <cfRule type="colorScale" priority="115">
      <colorScale>
        <cfvo type="min"/>
        <cfvo type="percentile" val="50"/>
        <cfvo type="max"/>
        <color rgb="FFF8696B"/>
        <color rgb="FFFFEB84"/>
        <color rgb="FF63BE7B"/>
      </colorScale>
    </cfRule>
  </conditionalFormatting>
  <conditionalFormatting sqref="F106:F107">
    <cfRule type="colorScale" priority="120">
      <colorScale>
        <cfvo type="min"/>
        <cfvo type="percentile" val="50"/>
        <cfvo type="max"/>
        <color rgb="FFF8696B"/>
        <color rgb="FFFFEB84"/>
        <color rgb="FF63BE7B"/>
      </colorScale>
    </cfRule>
  </conditionalFormatting>
  <conditionalFormatting sqref="F111:F112">
    <cfRule type="colorScale" priority="125">
      <colorScale>
        <cfvo type="min"/>
        <cfvo type="percentile" val="50"/>
        <cfvo type="max"/>
        <color rgb="FFF8696B"/>
        <color rgb="FFFFEB84"/>
        <color rgb="FF63BE7B"/>
      </colorScale>
    </cfRule>
  </conditionalFormatting>
  <conditionalFormatting sqref="F116:F117">
    <cfRule type="colorScale" priority="130">
      <colorScale>
        <cfvo type="min"/>
        <cfvo type="percentile" val="50"/>
        <cfvo type="max"/>
        <color rgb="FFF8696B"/>
        <color rgb="FFFFEB84"/>
        <color rgb="FF63BE7B"/>
      </colorScale>
    </cfRule>
  </conditionalFormatting>
  <conditionalFormatting sqref="F121:F122">
    <cfRule type="colorScale" priority="135">
      <colorScale>
        <cfvo type="min"/>
        <cfvo type="percentile" val="50"/>
        <cfvo type="max"/>
        <color rgb="FFF8696B"/>
        <color rgb="FFFFEB84"/>
        <color rgb="FF63BE7B"/>
      </colorScale>
    </cfRule>
  </conditionalFormatting>
  <conditionalFormatting sqref="F126:F127">
    <cfRule type="colorScale" priority="140">
      <colorScale>
        <cfvo type="min"/>
        <cfvo type="percentile" val="50"/>
        <cfvo type="max"/>
        <color rgb="FFF8696B"/>
        <color rgb="FFFFEB84"/>
        <color rgb="FF63BE7B"/>
      </colorScale>
    </cfRule>
  </conditionalFormatting>
  <conditionalFormatting sqref="F131">
    <cfRule type="colorScale" priority="145">
      <colorScale>
        <cfvo type="min"/>
        <cfvo type="percentile" val="50"/>
        <cfvo type="max"/>
        <color rgb="FFF8696B"/>
        <color rgb="FFFFEB84"/>
        <color rgb="FF63BE7B"/>
      </colorScale>
    </cfRule>
  </conditionalFormatting>
  <conditionalFormatting sqref="F135:F136">
    <cfRule type="colorScale" priority="150">
      <colorScale>
        <cfvo type="min"/>
        <cfvo type="percentile" val="50"/>
        <cfvo type="max"/>
        <color rgb="FFF8696B"/>
        <color rgb="FFFFEB84"/>
        <color rgb="FF63BE7B"/>
      </colorScale>
    </cfRule>
  </conditionalFormatting>
  <conditionalFormatting sqref="F140:F141">
    <cfRule type="colorScale" priority="155">
      <colorScale>
        <cfvo type="min"/>
        <cfvo type="percentile" val="50"/>
        <cfvo type="max"/>
        <color rgb="FFF8696B"/>
        <color rgb="FFFFEB84"/>
        <color rgb="FF63BE7B"/>
      </colorScale>
    </cfRule>
  </conditionalFormatting>
  <conditionalFormatting sqref="F145:F148">
    <cfRule type="colorScale" priority="160">
      <colorScale>
        <cfvo type="min"/>
        <cfvo type="percentile" val="50"/>
        <cfvo type="max"/>
        <color rgb="FFF8696B"/>
        <color rgb="FFFFEB84"/>
        <color rgb="FF63BE7B"/>
      </colorScale>
    </cfRule>
  </conditionalFormatting>
  <conditionalFormatting sqref="F156:F157">
    <cfRule type="colorScale" priority="170">
      <colorScale>
        <cfvo type="min"/>
        <cfvo type="percentile" val="50"/>
        <cfvo type="max"/>
        <color rgb="FFF8696B"/>
        <color rgb="FFFFEB84"/>
        <color rgb="FF63BE7B"/>
      </colorScale>
    </cfRule>
  </conditionalFormatting>
  <conditionalFormatting sqref="F165:F166">
    <cfRule type="colorScale" priority="180">
      <colorScale>
        <cfvo type="min"/>
        <cfvo type="percentile" val="50"/>
        <cfvo type="max"/>
        <color rgb="FFF8696B"/>
        <color rgb="FFFFEB84"/>
        <color rgb="FF63BE7B"/>
      </colorScale>
    </cfRule>
  </conditionalFormatting>
  <conditionalFormatting sqref="F170:F171">
    <cfRule type="colorScale" priority="185">
      <colorScale>
        <cfvo type="min"/>
        <cfvo type="percentile" val="50"/>
        <cfvo type="max"/>
        <color rgb="FFF8696B"/>
        <color rgb="FFFFEB84"/>
        <color rgb="FF63BE7B"/>
      </colorScale>
    </cfRule>
  </conditionalFormatting>
  <conditionalFormatting sqref="F175:F176">
    <cfRule type="colorScale" priority="190">
      <colorScale>
        <cfvo type="min"/>
        <cfvo type="percentile" val="50"/>
        <cfvo type="max"/>
        <color rgb="FFF8696B"/>
        <color rgb="FFFFEB84"/>
        <color rgb="FF63BE7B"/>
      </colorScale>
    </cfRule>
  </conditionalFormatting>
  <conditionalFormatting sqref="F180:F181">
    <cfRule type="colorScale" priority="195">
      <colorScale>
        <cfvo type="min"/>
        <cfvo type="percentile" val="50"/>
        <cfvo type="max"/>
        <color rgb="FFF8696B"/>
        <color rgb="FFFFEB84"/>
        <color rgb="FF63BE7B"/>
      </colorScale>
    </cfRule>
  </conditionalFormatting>
  <conditionalFormatting sqref="F185:F186">
    <cfRule type="colorScale" priority="200">
      <colorScale>
        <cfvo type="min"/>
        <cfvo type="percentile" val="50"/>
        <cfvo type="max"/>
        <color rgb="FFF8696B"/>
        <color rgb="FFFFEB84"/>
        <color rgb="FF63BE7B"/>
      </colorScale>
    </cfRule>
  </conditionalFormatting>
  <conditionalFormatting sqref="F190:F191">
    <cfRule type="colorScale" priority="205">
      <colorScale>
        <cfvo type="min"/>
        <cfvo type="percentile" val="50"/>
        <cfvo type="max"/>
        <color rgb="FFF8696B"/>
        <color rgb="FFFFEB84"/>
        <color rgb="FF63BE7B"/>
      </colorScale>
    </cfRule>
  </conditionalFormatting>
  <conditionalFormatting sqref="F195:F196">
    <cfRule type="colorScale" priority="210">
      <colorScale>
        <cfvo type="min"/>
        <cfvo type="percentile" val="50"/>
        <cfvo type="max"/>
        <color rgb="FFF8696B"/>
        <color rgb="FFFFEB84"/>
        <color rgb="FF63BE7B"/>
      </colorScale>
    </cfRule>
  </conditionalFormatting>
  <conditionalFormatting sqref="F200:F201">
    <cfRule type="colorScale" priority="215">
      <colorScale>
        <cfvo type="min"/>
        <cfvo type="percentile" val="50"/>
        <cfvo type="max"/>
        <color rgb="FFF8696B"/>
        <color rgb="FFFFEB84"/>
        <color rgb="FF63BE7B"/>
      </colorScale>
    </cfRule>
  </conditionalFormatting>
  <conditionalFormatting sqref="F205">
    <cfRule type="colorScale" priority="220">
      <colorScale>
        <cfvo type="min"/>
        <cfvo type="percentile" val="50"/>
        <cfvo type="max"/>
        <color rgb="FFF8696B"/>
        <color rgb="FFFFEB84"/>
        <color rgb="FF63BE7B"/>
      </colorScale>
    </cfRule>
  </conditionalFormatting>
  <conditionalFormatting sqref="F209:F210">
    <cfRule type="colorScale" priority="225">
      <colorScale>
        <cfvo type="min"/>
        <cfvo type="percentile" val="50"/>
        <cfvo type="max"/>
        <color rgb="FFF8696B"/>
        <color rgb="FFFFEB84"/>
        <color rgb="FF63BE7B"/>
      </colorScale>
    </cfRule>
  </conditionalFormatting>
  <conditionalFormatting sqref="F214:F215">
    <cfRule type="colorScale" priority="230">
      <colorScale>
        <cfvo type="min"/>
        <cfvo type="percentile" val="50"/>
        <cfvo type="max"/>
        <color rgb="FFF8696B"/>
        <color rgb="FFFFEB84"/>
        <color rgb="FF63BE7B"/>
      </colorScale>
    </cfRule>
  </conditionalFormatting>
  <conditionalFormatting sqref="F219:F222">
    <cfRule type="colorScale" priority="235">
      <colorScale>
        <cfvo type="min"/>
        <cfvo type="percentile" val="50"/>
        <cfvo type="max"/>
        <color rgb="FFF8696B"/>
        <color rgb="FFFFEB84"/>
        <color rgb="FF63BE7B"/>
      </colorScale>
    </cfRule>
  </conditionalFormatting>
  <conditionalFormatting sqref="F230:F231">
    <cfRule type="colorScale" priority="245">
      <colorScale>
        <cfvo type="min"/>
        <cfvo type="percentile" val="50"/>
        <cfvo type="max"/>
        <color rgb="FFF8696B"/>
        <color rgb="FFFFEB84"/>
        <color rgb="FF63BE7B"/>
      </colorScale>
    </cfRule>
  </conditionalFormatting>
  <conditionalFormatting sqref="F239:F240">
    <cfRule type="colorScale" priority="255">
      <colorScale>
        <cfvo type="min"/>
        <cfvo type="percentile" val="50"/>
        <cfvo type="max"/>
        <color rgb="FFF8696B"/>
        <color rgb="FFFFEB84"/>
        <color rgb="FF63BE7B"/>
      </colorScale>
    </cfRule>
  </conditionalFormatting>
  <conditionalFormatting sqref="F244:F245">
    <cfRule type="colorScale" priority="260">
      <colorScale>
        <cfvo type="min"/>
        <cfvo type="percentile" val="50"/>
        <cfvo type="max"/>
        <color rgb="FFF8696B"/>
        <color rgb="FFFFEB84"/>
        <color rgb="FF63BE7B"/>
      </colorScale>
    </cfRule>
  </conditionalFormatting>
  <conditionalFormatting sqref="F249:F250">
    <cfRule type="colorScale" priority="265">
      <colorScale>
        <cfvo type="min"/>
        <cfvo type="percentile" val="50"/>
        <cfvo type="max"/>
        <color rgb="FFF8696B"/>
        <color rgb="FFFFEB84"/>
        <color rgb="FF63BE7B"/>
      </colorScale>
    </cfRule>
  </conditionalFormatting>
  <conditionalFormatting sqref="F254:F255">
    <cfRule type="colorScale" priority="270">
      <colorScale>
        <cfvo type="min"/>
        <cfvo type="percentile" val="50"/>
        <cfvo type="max"/>
        <color rgb="FFF8696B"/>
        <color rgb="FFFFEB84"/>
        <color rgb="FF63BE7B"/>
      </colorScale>
    </cfRule>
  </conditionalFormatting>
  <conditionalFormatting sqref="F259:F260">
    <cfRule type="colorScale" priority="275">
      <colorScale>
        <cfvo type="min"/>
        <cfvo type="percentile" val="50"/>
        <cfvo type="max"/>
        <color rgb="FFF8696B"/>
        <color rgb="FFFFEB84"/>
        <color rgb="FF63BE7B"/>
      </colorScale>
    </cfRule>
  </conditionalFormatting>
  <conditionalFormatting sqref="F264:F265">
    <cfRule type="colorScale" priority="280">
      <colorScale>
        <cfvo type="min"/>
        <cfvo type="percentile" val="50"/>
        <cfvo type="max"/>
        <color rgb="FFF8696B"/>
        <color rgb="FFFFEB84"/>
        <color rgb="FF63BE7B"/>
      </colorScale>
    </cfRule>
  </conditionalFormatting>
  <conditionalFormatting sqref="F269:F270">
    <cfRule type="colorScale" priority="285">
      <colorScale>
        <cfvo type="min"/>
        <cfvo type="percentile" val="50"/>
        <cfvo type="max"/>
        <color rgb="FFF8696B"/>
        <color rgb="FFFFEB84"/>
        <color rgb="FF63BE7B"/>
      </colorScale>
    </cfRule>
  </conditionalFormatting>
  <conditionalFormatting sqref="F274:F275">
    <cfRule type="colorScale" priority="290">
      <colorScale>
        <cfvo type="min"/>
        <cfvo type="percentile" val="50"/>
        <cfvo type="max"/>
        <color rgb="FFF8696B"/>
        <color rgb="FFFFEB84"/>
        <color rgb="FF63BE7B"/>
      </colorScale>
    </cfRule>
  </conditionalFormatting>
  <conditionalFormatting sqref="F279">
    <cfRule type="colorScale" priority="295">
      <colorScale>
        <cfvo type="min"/>
        <cfvo type="percentile" val="50"/>
        <cfvo type="max"/>
        <color rgb="FFF8696B"/>
        <color rgb="FFFFEB84"/>
        <color rgb="FF63BE7B"/>
      </colorScale>
    </cfRule>
  </conditionalFormatting>
  <conditionalFormatting sqref="F283:F284">
    <cfRule type="colorScale" priority="300">
      <colorScale>
        <cfvo type="min"/>
        <cfvo type="percentile" val="50"/>
        <cfvo type="max"/>
        <color rgb="FFF8696B"/>
        <color rgb="FFFFEB84"/>
        <color rgb="FF63BE7B"/>
      </colorScale>
    </cfRule>
  </conditionalFormatting>
  <conditionalFormatting sqref="F288:F289">
    <cfRule type="colorScale" priority="305">
      <colorScale>
        <cfvo type="min"/>
        <cfvo type="percentile" val="50"/>
        <cfvo type="max"/>
        <color rgb="FFF8696B"/>
        <color rgb="FFFFEB84"/>
        <color rgb="FF63BE7B"/>
      </colorScale>
    </cfRule>
  </conditionalFormatting>
  <conditionalFormatting sqref="F293:F296">
    <cfRule type="colorScale" priority="310">
      <colorScale>
        <cfvo type="min"/>
        <cfvo type="percentile" val="50"/>
        <cfvo type="max"/>
        <color rgb="FFF8696B"/>
        <color rgb="FFFFEB84"/>
        <color rgb="FF63BE7B"/>
      </colorScale>
    </cfRule>
  </conditionalFormatting>
  <conditionalFormatting sqref="F452:F453">
    <cfRule type="colorScale" priority="380">
      <colorScale>
        <cfvo type="min"/>
        <cfvo type="percentile" val="50"/>
        <cfvo type="max"/>
        <color rgb="FFF8696B"/>
        <color rgb="FFFFEB84"/>
        <color rgb="FF63BE7B"/>
      </colorScale>
    </cfRule>
  </conditionalFormatting>
  <conditionalFormatting sqref="F461:F462">
    <cfRule type="colorScale" priority="390">
      <colorScale>
        <cfvo type="min"/>
        <cfvo type="percentile" val="50"/>
        <cfvo type="max"/>
        <color rgb="FFF8696B"/>
        <color rgb="FFFFEB84"/>
        <color rgb="FF63BE7B"/>
      </colorScale>
    </cfRule>
  </conditionalFormatting>
  <conditionalFormatting sqref="F466:F467">
    <cfRule type="colorScale" priority="395">
      <colorScale>
        <cfvo type="min"/>
        <cfvo type="percentile" val="50"/>
        <cfvo type="max"/>
        <color rgb="FFF8696B"/>
        <color rgb="FFFFEB84"/>
        <color rgb="FF63BE7B"/>
      </colorScale>
    </cfRule>
  </conditionalFormatting>
  <conditionalFormatting sqref="F471:F472">
    <cfRule type="colorScale" priority="400">
      <colorScale>
        <cfvo type="min"/>
        <cfvo type="percentile" val="50"/>
        <cfvo type="max"/>
        <color rgb="FFF8696B"/>
        <color rgb="FFFFEB84"/>
        <color rgb="FF63BE7B"/>
      </colorScale>
    </cfRule>
  </conditionalFormatting>
  <conditionalFormatting sqref="F476:F477">
    <cfRule type="colorScale" priority="405">
      <colorScale>
        <cfvo type="min"/>
        <cfvo type="percentile" val="50"/>
        <cfvo type="max"/>
        <color rgb="FFF8696B"/>
        <color rgb="FFFFEB84"/>
        <color rgb="FF63BE7B"/>
      </colorScale>
    </cfRule>
  </conditionalFormatting>
  <conditionalFormatting sqref="F481:F482">
    <cfRule type="colorScale" priority="410">
      <colorScale>
        <cfvo type="min"/>
        <cfvo type="percentile" val="50"/>
        <cfvo type="max"/>
        <color rgb="FFF8696B"/>
        <color rgb="FFFFEB84"/>
        <color rgb="FF63BE7B"/>
      </colorScale>
    </cfRule>
  </conditionalFormatting>
  <conditionalFormatting sqref="F486:F487">
    <cfRule type="colorScale" priority="415">
      <colorScale>
        <cfvo type="min"/>
        <cfvo type="percentile" val="50"/>
        <cfvo type="max"/>
        <color rgb="FFF8696B"/>
        <color rgb="FFFFEB84"/>
        <color rgb="FF63BE7B"/>
      </colorScale>
    </cfRule>
  </conditionalFormatting>
  <conditionalFormatting sqref="F491:F492">
    <cfRule type="colorScale" priority="420">
      <colorScale>
        <cfvo type="min"/>
        <cfvo type="percentile" val="50"/>
        <cfvo type="max"/>
        <color rgb="FFF8696B"/>
        <color rgb="FFFFEB84"/>
        <color rgb="FF63BE7B"/>
      </colorScale>
    </cfRule>
  </conditionalFormatting>
  <conditionalFormatting sqref="F496:F497">
    <cfRule type="colorScale" priority="425">
      <colorScale>
        <cfvo type="min"/>
        <cfvo type="percentile" val="50"/>
        <cfvo type="max"/>
        <color rgb="FFF8696B"/>
        <color rgb="FFFFEB84"/>
        <color rgb="FF63BE7B"/>
      </colorScale>
    </cfRule>
  </conditionalFormatting>
  <conditionalFormatting sqref="F501">
    <cfRule type="colorScale" priority="430">
      <colorScale>
        <cfvo type="min"/>
        <cfvo type="percentile" val="50"/>
        <cfvo type="max"/>
        <color rgb="FFF8696B"/>
        <color rgb="FFFFEB84"/>
        <color rgb="FF63BE7B"/>
      </colorScale>
    </cfRule>
  </conditionalFormatting>
  <conditionalFormatting sqref="F505:F506">
    <cfRule type="colorScale" priority="435">
      <colorScale>
        <cfvo type="min"/>
        <cfvo type="percentile" val="50"/>
        <cfvo type="max"/>
        <color rgb="FFF8696B"/>
        <color rgb="FFFFEB84"/>
        <color rgb="FF63BE7B"/>
      </colorScale>
    </cfRule>
  </conditionalFormatting>
  <conditionalFormatting sqref="F510:F511">
    <cfRule type="colorScale" priority="440">
      <colorScale>
        <cfvo type="min"/>
        <cfvo type="percentile" val="50"/>
        <cfvo type="max"/>
        <color rgb="FFF8696B"/>
        <color rgb="FFFFEB84"/>
        <color rgb="FF63BE7B"/>
      </colorScale>
    </cfRule>
  </conditionalFormatting>
  <conditionalFormatting sqref="F515:F518">
    <cfRule type="colorScale" priority="445">
      <colorScale>
        <cfvo type="min"/>
        <cfvo type="percentile" val="50"/>
        <cfvo type="max"/>
        <color rgb="FFF8696B"/>
        <color rgb="FFFFEB84"/>
        <color rgb="FF63BE7B"/>
      </colorScale>
    </cfRule>
  </conditionalFormatting>
  <conditionalFormatting sqref="F526:F527">
    <cfRule type="colorScale" priority="455">
      <colorScale>
        <cfvo type="min"/>
        <cfvo type="percentile" val="50"/>
        <cfvo type="max"/>
        <color rgb="FFF8696B"/>
        <color rgb="FFFFEB84"/>
        <color rgb="FF63BE7B"/>
      </colorScale>
    </cfRule>
  </conditionalFormatting>
  <conditionalFormatting sqref="F535:F536">
    <cfRule type="colorScale" priority="465">
      <colorScale>
        <cfvo type="min"/>
        <cfvo type="percentile" val="50"/>
        <cfvo type="max"/>
        <color rgb="FFF8696B"/>
        <color rgb="FFFFEB84"/>
        <color rgb="FF63BE7B"/>
      </colorScale>
    </cfRule>
  </conditionalFormatting>
  <conditionalFormatting sqref="F540:F541">
    <cfRule type="colorScale" priority="470">
      <colorScale>
        <cfvo type="min"/>
        <cfvo type="percentile" val="50"/>
        <cfvo type="max"/>
        <color rgb="FFF8696B"/>
        <color rgb="FFFFEB84"/>
        <color rgb="FF63BE7B"/>
      </colorScale>
    </cfRule>
  </conditionalFormatting>
  <conditionalFormatting sqref="F545:F546">
    <cfRule type="colorScale" priority="475">
      <colorScale>
        <cfvo type="min"/>
        <cfvo type="percentile" val="50"/>
        <cfvo type="max"/>
        <color rgb="FFF8696B"/>
        <color rgb="FFFFEB84"/>
        <color rgb="FF63BE7B"/>
      </colorScale>
    </cfRule>
  </conditionalFormatting>
  <conditionalFormatting sqref="F550:F551">
    <cfRule type="colorScale" priority="480">
      <colorScale>
        <cfvo type="min"/>
        <cfvo type="percentile" val="50"/>
        <cfvo type="max"/>
        <color rgb="FFF8696B"/>
        <color rgb="FFFFEB84"/>
        <color rgb="FF63BE7B"/>
      </colorScale>
    </cfRule>
  </conditionalFormatting>
  <conditionalFormatting sqref="F555:F556">
    <cfRule type="colorScale" priority="485">
      <colorScale>
        <cfvo type="min"/>
        <cfvo type="percentile" val="50"/>
        <cfvo type="max"/>
        <color rgb="FFF8696B"/>
        <color rgb="FFFFEB84"/>
        <color rgb="FF63BE7B"/>
      </colorScale>
    </cfRule>
  </conditionalFormatting>
  <conditionalFormatting sqref="F560:F561">
    <cfRule type="colorScale" priority="490">
      <colorScale>
        <cfvo type="min"/>
        <cfvo type="percentile" val="50"/>
        <cfvo type="max"/>
        <color rgb="FFF8696B"/>
        <color rgb="FFFFEB84"/>
        <color rgb="FF63BE7B"/>
      </colorScale>
    </cfRule>
  </conditionalFormatting>
  <conditionalFormatting sqref="F565:F566">
    <cfRule type="colorScale" priority="495">
      <colorScale>
        <cfvo type="min"/>
        <cfvo type="percentile" val="50"/>
        <cfvo type="max"/>
        <color rgb="FFF8696B"/>
        <color rgb="FFFFEB84"/>
        <color rgb="FF63BE7B"/>
      </colorScale>
    </cfRule>
  </conditionalFormatting>
  <conditionalFormatting sqref="F570:F571">
    <cfRule type="colorScale" priority="500">
      <colorScale>
        <cfvo type="min"/>
        <cfvo type="percentile" val="50"/>
        <cfvo type="max"/>
        <color rgb="FFF8696B"/>
        <color rgb="FFFFEB84"/>
        <color rgb="FF63BE7B"/>
      </colorScale>
    </cfRule>
  </conditionalFormatting>
  <conditionalFormatting sqref="F575">
    <cfRule type="colorScale" priority="505">
      <colorScale>
        <cfvo type="min"/>
        <cfvo type="percentile" val="50"/>
        <cfvo type="max"/>
        <color rgb="FFF8696B"/>
        <color rgb="FFFFEB84"/>
        <color rgb="FF63BE7B"/>
      </colorScale>
    </cfRule>
  </conditionalFormatting>
  <conditionalFormatting sqref="F579:F580">
    <cfRule type="colorScale" priority="510">
      <colorScale>
        <cfvo type="min"/>
        <cfvo type="percentile" val="50"/>
        <cfvo type="max"/>
        <color rgb="FFF8696B"/>
        <color rgb="FFFFEB84"/>
        <color rgb="FF63BE7B"/>
      </colorScale>
    </cfRule>
  </conditionalFormatting>
  <conditionalFormatting sqref="F584:F585">
    <cfRule type="colorScale" priority="515">
      <colorScale>
        <cfvo type="min"/>
        <cfvo type="percentile" val="50"/>
        <cfvo type="max"/>
        <color rgb="FFF8696B"/>
        <color rgb="FFFFEB84"/>
        <color rgb="FF63BE7B"/>
      </colorScale>
    </cfRule>
  </conditionalFormatting>
  <conditionalFormatting sqref="F589:F592">
    <cfRule type="colorScale" priority="520">
      <colorScale>
        <cfvo type="min"/>
        <cfvo type="percentile" val="50"/>
        <cfvo type="max"/>
        <color rgb="FFF8696B"/>
        <color rgb="FFFFEB84"/>
        <color rgb="FF63BE7B"/>
      </colorScale>
    </cfRule>
  </conditionalFormatting>
  <conditionalFormatting sqref="F600:F601">
    <cfRule type="colorScale" priority="530">
      <colorScale>
        <cfvo type="min"/>
        <cfvo type="percentile" val="50"/>
        <cfvo type="max"/>
        <color rgb="FFF8696B"/>
        <color rgb="FFFFEB84"/>
        <color rgb="FF63BE7B"/>
      </colorScale>
    </cfRule>
  </conditionalFormatting>
  <conditionalFormatting sqref="F609:F610">
    <cfRule type="colorScale" priority="540">
      <colorScale>
        <cfvo type="min"/>
        <cfvo type="percentile" val="50"/>
        <cfvo type="max"/>
        <color rgb="FFF8696B"/>
        <color rgb="FFFFEB84"/>
        <color rgb="FF63BE7B"/>
      </colorScale>
    </cfRule>
  </conditionalFormatting>
  <conditionalFormatting sqref="F614:F615">
    <cfRule type="colorScale" priority="545">
      <colorScale>
        <cfvo type="min"/>
        <cfvo type="percentile" val="50"/>
        <cfvo type="max"/>
        <color rgb="FFF8696B"/>
        <color rgb="FFFFEB84"/>
        <color rgb="FF63BE7B"/>
      </colorScale>
    </cfRule>
  </conditionalFormatting>
  <conditionalFormatting sqref="F619:F620">
    <cfRule type="colorScale" priority="550">
      <colorScale>
        <cfvo type="min"/>
        <cfvo type="percentile" val="50"/>
        <cfvo type="max"/>
        <color rgb="FFF8696B"/>
        <color rgb="FFFFEB84"/>
        <color rgb="FF63BE7B"/>
      </colorScale>
    </cfRule>
  </conditionalFormatting>
  <conditionalFormatting sqref="F624:F625">
    <cfRule type="colorScale" priority="555">
      <colorScale>
        <cfvo type="min"/>
        <cfvo type="percentile" val="50"/>
        <cfvo type="max"/>
        <color rgb="FFF8696B"/>
        <color rgb="FFFFEB84"/>
        <color rgb="FF63BE7B"/>
      </colorScale>
    </cfRule>
  </conditionalFormatting>
  <conditionalFormatting sqref="F629:F630">
    <cfRule type="colorScale" priority="560">
      <colorScale>
        <cfvo type="min"/>
        <cfvo type="percentile" val="50"/>
        <cfvo type="max"/>
        <color rgb="FFF8696B"/>
        <color rgb="FFFFEB84"/>
        <color rgb="FF63BE7B"/>
      </colorScale>
    </cfRule>
  </conditionalFormatting>
  <conditionalFormatting sqref="F634:F635">
    <cfRule type="colorScale" priority="565">
      <colorScale>
        <cfvo type="min"/>
        <cfvo type="percentile" val="50"/>
        <cfvo type="max"/>
        <color rgb="FFF8696B"/>
        <color rgb="FFFFEB84"/>
        <color rgb="FF63BE7B"/>
      </colorScale>
    </cfRule>
  </conditionalFormatting>
  <conditionalFormatting sqref="F639:F640">
    <cfRule type="colorScale" priority="570">
      <colorScale>
        <cfvo type="min"/>
        <cfvo type="percentile" val="50"/>
        <cfvo type="max"/>
        <color rgb="FFF8696B"/>
        <color rgb="FFFFEB84"/>
        <color rgb="FF63BE7B"/>
      </colorScale>
    </cfRule>
  </conditionalFormatting>
  <conditionalFormatting sqref="F644:F645">
    <cfRule type="colorScale" priority="575">
      <colorScale>
        <cfvo type="min"/>
        <cfvo type="percentile" val="50"/>
        <cfvo type="max"/>
        <color rgb="FFF8696B"/>
        <color rgb="FFFFEB84"/>
        <color rgb="FF63BE7B"/>
      </colorScale>
    </cfRule>
  </conditionalFormatting>
  <conditionalFormatting sqref="F649">
    <cfRule type="colorScale" priority="580">
      <colorScale>
        <cfvo type="min"/>
        <cfvo type="percentile" val="50"/>
        <cfvo type="max"/>
        <color rgb="FFF8696B"/>
        <color rgb="FFFFEB84"/>
        <color rgb="FF63BE7B"/>
      </colorScale>
    </cfRule>
  </conditionalFormatting>
  <conditionalFormatting sqref="F653:F654">
    <cfRule type="colorScale" priority="585">
      <colorScale>
        <cfvo type="min"/>
        <cfvo type="percentile" val="50"/>
        <cfvo type="max"/>
        <color rgb="FFF8696B"/>
        <color rgb="FFFFEB84"/>
        <color rgb="FF63BE7B"/>
      </colorScale>
    </cfRule>
  </conditionalFormatting>
  <conditionalFormatting sqref="F658:F659">
    <cfRule type="colorScale" priority="590">
      <colorScale>
        <cfvo type="min"/>
        <cfvo type="percentile" val="50"/>
        <cfvo type="max"/>
        <color rgb="FFF8696B"/>
        <color rgb="FFFFEB84"/>
        <color rgb="FF63BE7B"/>
      </colorScale>
    </cfRule>
  </conditionalFormatting>
  <conditionalFormatting sqref="F663:F666">
    <cfRule type="colorScale" priority="595">
      <colorScale>
        <cfvo type="min"/>
        <cfvo type="percentile" val="50"/>
        <cfvo type="max"/>
        <color rgb="FFF8696B"/>
        <color rgb="FFFFEB84"/>
        <color rgb="FF63BE7B"/>
      </colorScale>
    </cfRule>
  </conditionalFormatting>
  <conditionalFormatting sqref="F674:F675">
    <cfRule type="colorScale" priority="605">
      <colorScale>
        <cfvo type="min"/>
        <cfvo type="percentile" val="50"/>
        <cfvo type="max"/>
        <color rgb="FFF8696B"/>
        <color rgb="FFFFEB84"/>
        <color rgb="FF63BE7B"/>
      </colorScale>
    </cfRule>
  </conditionalFormatting>
  <conditionalFormatting sqref="F683:F684">
    <cfRule type="colorScale" priority="615">
      <colorScale>
        <cfvo type="min"/>
        <cfvo type="percentile" val="50"/>
        <cfvo type="max"/>
        <color rgb="FFF8696B"/>
        <color rgb="FFFFEB84"/>
        <color rgb="FF63BE7B"/>
      </colorScale>
    </cfRule>
  </conditionalFormatting>
  <conditionalFormatting sqref="F688:F689">
    <cfRule type="colorScale" priority="620">
      <colorScale>
        <cfvo type="min"/>
        <cfvo type="percentile" val="50"/>
        <cfvo type="max"/>
        <color rgb="FFF8696B"/>
        <color rgb="FFFFEB84"/>
        <color rgb="FF63BE7B"/>
      </colorScale>
    </cfRule>
  </conditionalFormatting>
  <conditionalFormatting sqref="F693:F694">
    <cfRule type="colorScale" priority="625">
      <colorScale>
        <cfvo type="min"/>
        <cfvo type="percentile" val="50"/>
        <cfvo type="max"/>
        <color rgb="FFF8696B"/>
        <color rgb="FFFFEB84"/>
        <color rgb="FF63BE7B"/>
      </colorScale>
    </cfRule>
  </conditionalFormatting>
  <conditionalFormatting sqref="F698:F699">
    <cfRule type="colorScale" priority="630">
      <colorScale>
        <cfvo type="min"/>
        <cfvo type="percentile" val="50"/>
        <cfvo type="max"/>
        <color rgb="FFF8696B"/>
        <color rgb="FFFFEB84"/>
        <color rgb="FF63BE7B"/>
      </colorScale>
    </cfRule>
  </conditionalFormatting>
  <conditionalFormatting sqref="F703:F704">
    <cfRule type="colorScale" priority="635">
      <colorScale>
        <cfvo type="min"/>
        <cfvo type="percentile" val="50"/>
        <cfvo type="max"/>
        <color rgb="FFF8696B"/>
        <color rgb="FFFFEB84"/>
        <color rgb="FF63BE7B"/>
      </colorScale>
    </cfRule>
  </conditionalFormatting>
  <conditionalFormatting sqref="F708:F709">
    <cfRule type="colorScale" priority="640">
      <colorScale>
        <cfvo type="min"/>
        <cfvo type="percentile" val="50"/>
        <cfvo type="max"/>
        <color rgb="FFF8696B"/>
        <color rgb="FFFFEB84"/>
        <color rgb="FF63BE7B"/>
      </colorScale>
    </cfRule>
  </conditionalFormatting>
  <conditionalFormatting sqref="F713:F714">
    <cfRule type="colorScale" priority="645">
      <colorScale>
        <cfvo type="min"/>
        <cfvo type="percentile" val="50"/>
        <cfvo type="max"/>
        <color rgb="FFF8696B"/>
        <color rgb="FFFFEB84"/>
        <color rgb="FF63BE7B"/>
      </colorScale>
    </cfRule>
  </conditionalFormatting>
  <conditionalFormatting sqref="F718:F719">
    <cfRule type="colorScale" priority="650">
      <colorScale>
        <cfvo type="min"/>
        <cfvo type="percentile" val="50"/>
        <cfvo type="max"/>
        <color rgb="FFF8696B"/>
        <color rgb="FFFFEB84"/>
        <color rgb="FF63BE7B"/>
      </colorScale>
    </cfRule>
  </conditionalFormatting>
  <conditionalFormatting sqref="F723">
    <cfRule type="colorScale" priority="655">
      <colorScale>
        <cfvo type="min"/>
        <cfvo type="percentile" val="50"/>
        <cfvo type="max"/>
        <color rgb="FFF8696B"/>
        <color rgb="FFFFEB84"/>
        <color rgb="FF63BE7B"/>
      </colorScale>
    </cfRule>
  </conditionalFormatting>
  <conditionalFormatting sqref="F727:F728">
    <cfRule type="colorScale" priority="660">
      <colorScale>
        <cfvo type="min"/>
        <cfvo type="percentile" val="50"/>
        <cfvo type="max"/>
        <color rgb="FFF8696B"/>
        <color rgb="FFFFEB84"/>
        <color rgb="FF63BE7B"/>
      </colorScale>
    </cfRule>
  </conditionalFormatting>
  <conditionalFormatting sqref="F732:F733">
    <cfRule type="colorScale" priority="665">
      <colorScale>
        <cfvo type="min"/>
        <cfvo type="percentile" val="50"/>
        <cfvo type="max"/>
        <color rgb="FFF8696B"/>
        <color rgb="FFFFEB84"/>
        <color rgb="FF63BE7B"/>
      </colorScale>
    </cfRule>
  </conditionalFormatting>
  <conditionalFormatting sqref="F737:F740">
    <cfRule type="colorScale" priority="670">
      <colorScale>
        <cfvo type="min"/>
        <cfvo type="percentile" val="50"/>
        <cfvo type="max"/>
        <color rgb="FFF8696B"/>
        <color rgb="FFFFEB84"/>
        <color rgb="FF63BE7B"/>
      </colorScale>
    </cfRule>
  </conditionalFormatting>
  <conditionalFormatting sqref="F1488:F1489">
    <cfRule type="colorScale" priority="980">
      <colorScale>
        <cfvo type="min"/>
        <cfvo type="percentile" val="50"/>
        <cfvo type="max"/>
        <color rgb="FFF8696B"/>
        <color rgb="FFFFEB84"/>
        <color rgb="FF63BE7B"/>
      </colorScale>
    </cfRule>
  </conditionalFormatting>
  <conditionalFormatting sqref="F1497:F1498">
    <cfRule type="colorScale" priority="990">
      <colorScale>
        <cfvo type="min"/>
        <cfvo type="percentile" val="50"/>
        <cfvo type="max"/>
        <color rgb="FFF8696B"/>
        <color rgb="FFFFEB84"/>
        <color rgb="FF63BE7B"/>
      </colorScale>
    </cfRule>
  </conditionalFormatting>
  <conditionalFormatting sqref="F1502:F1503">
    <cfRule type="colorScale" priority="995">
      <colorScale>
        <cfvo type="min"/>
        <cfvo type="percentile" val="50"/>
        <cfvo type="max"/>
        <color rgb="FFF8696B"/>
        <color rgb="FFFFEB84"/>
        <color rgb="FF63BE7B"/>
      </colorScale>
    </cfRule>
  </conditionalFormatting>
  <conditionalFormatting sqref="F1507:F1508">
    <cfRule type="colorScale" priority="1000">
      <colorScale>
        <cfvo type="min"/>
        <cfvo type="percentile" val="50"/>
        <cfvo type="max"/>
        <color rgb="FFF8696B"/>
        <color rgb="FFFFEB84"/>
        <color rgb="FF63BE7B"/>
      </colorScale>
    </cfRule>
  </conditionalFormatting>
  <conditionalFormatting sqref="F1512:F1513">
    <cfRule type="colorScale" priority="1005">
      <colorScale>
        <cfvo type="min"/>
        <cfvo type="percentile" val="50"/>
        <cfvo type="max"/>
        <color rgb="FFF8696B"/>
        <color rgb="FFFFEB84"/>
        <color rgb="FF63BE7B"/>
      </colorScale>
    </cfRule>
  </conditionalFormatting>
  <conditionalFormatting sqref="F1517:F1518">
    <cfRule type="colorScale" priority="1010">
      <colorScale>
        <cfvo type="min"/>
        <cfvo type="percentile" val="50"/>
        <cfvo type="max"/>
        <color rgb="FFF8696B"/>
        <color rgb="FFFFEB84"/>
        <color rgb="FF63BE7B"/>
      </colorScale>
    </cfRule>
  </conditionalFormatting>
  <conditionalFormatting sqref="F1522:F1523">
    <cfRule type="colorScale" priority="1015">
      <colorScale>
        <cfvo type="min"/>
        <cfvo type="percentile" val="50"/>
        <cfvo type="max"/>
        <color rgb="FFF8696B"/>
        <color rgb="FFFFEB84"/>
        <color rgb="FF63BE7B"/>
      </colorScale>
    </cfRule>
  </conditionalFormatting>
  <conditionalFormatting sqref="F1527:F1528">
    <cfRule type="colorScale" priority="1020">
      <colorScale>
        <cfvo type="min"/>
        <cfvo type="percentile" val="50"/>
        <cfvo type="max"/>
        <color rgb="FFF8696B"/>
        <color rgb="FFFFEB84"/>
        <color rgb="FF63BE7B"/>
      </colorScale>
    </cfRule>
  </conditionalFormatting>
  <conditionalFormatting sqref="F1532:F1533">
    <cfRule type="colorScale" priority="1025">
      <colorScale>
        <cfvo type="min"/>
        <cfvo type="percentile" val="50"/>
        <cfvo type="max"/>
        <color rgb="FFF8696B"/>
        <color rgb="FFFFEB84"/>
        <color rgb="FF63BE7B"/>
      </colorScale>
    </cfRule>
  </conditionalFormatting>
  <conditionalFormatting sqref="F1537">
    <cfRule type="colorScale" priority="1030">
      <colorScale>
        <cfvo type="min"/>
        <cfvo type="percentile" val="50"/>
        <cfvo type="max"/>
        <color rgb="FFF8696B"/>
        <color rgb="FFFFEB84"/>
        <color rgb="FF63BE7B"/>
      </colorScale>
    </cfRule>
  </conditionalFormatting>
  <conditionalFormatting sqref="F1541:F1542">
    <cfRule type="colorScale" priority="1035">
      <colorScale>
        <cfvo type="min"/>
        <cfvo type="percentile" val="50"/>
        <cfvo type="max"/>
        <color rgb="FFF8696B"/>
        <color rgb="FFFFEB84"/>
        <color rgb="FF63BE7B"/>
      </colorScale>
    </cfRule>
  </conditionalFormatting>
  <conditionalFormatting sqref="F1546:F1547">
    <cfRule type="colorScale" priority="1040">
      <colorScale>
        <cfvo type="min"/>
        <cfvo type="percentile" val="50"/>
        <cfvo type="max"/>
        <color rgb="FFF8696B"/>
        <color rgb="FFFFEB84"/>
        <color rgb="FF63BE7B"/>
      </colorScale>
    </cfRule>
  </conditionalFormatting>
  <conditionalFormatting sqref="F1551:F1554">
    <cfRule type="colorScale" priority="1045">
      <colorScale>
        <cfvo type="min"/>
        <cfvo type="percentile" val="50"/>
        <cfvo type="max"/>
        <color rgb="FFF8696B"/>
        <color rgb="FFFFEB84"/>
        <color rgb="FF63BE7B"/>
      </colorScale>
    </cfRule>
  </conditionalFormatting>
  <conditionalFormatting sqref="F1636:F1637">
    <cfRule type="colorScale" priority="1085">
      <colorScale>
        <cfvo type="min"/>
        <cfvo type="percentile" val="50"/>
        <cfvo type="max"/>
        <color rgb="FFF8696B"/>
        <color rgb="FFFFEB84"/>
        <color rgb="FF63BE7B"/>
      </colorScale>
    </cfRule>
  </conditionalFormatting>
  <conditionalFormatting sqref="F1645:F1646">
    <cfRule type="colorScale" priority="1095">
      <colorScale>
        <cfvo type="min"/>
        <cfvo type="percentile" val="50"/>
        <cfvo type="max"/>
        <color rgb="FFF8696B"/>
        <color rgb="FFFFEB84"/>
        <color rgb="FF63BE7B"/>
      </colorScale>
    </cfRule>
  </conditionalFormatting>
  <conditionalFormatting sqref="F1650:F1651">
    <cfRule type="colorScale" priority="1100">
      <colorScale>
        <cfvo type="min"/>
        <cfvo type="percentile" val="50"/>
        <cfvo type="max"/>
        <color rgb="FFF8696B"/>
        <color rgb="FFFFEB84"/>
        <color rgb="FF63BE7B"/>
      </colorScale>
    </cfRule>
  </conditionalFormatting>
  <conditionalFormatting sqref="F1655:F1656">
    <cfRule type="colorScale" priority="1105">
      <colorScale>
        <cfvo type="min"/>
        <cfvo type="percentile" val="50"/>
        <cfvo type="max"/>
        <color rgb="FFF8696B"/>
        <color rgb="FFFFEB84"/>
        <color rgb="FF63BE7B"/>
      </colorScale>
    </cfRule>
  </conditionalFormatting>
  <conditionalFormatting sqref="F1660:F1661">
    <cfRule type="colorScale" priority="1110">
      <colorScale>
        <cfvo type="min"/>
        <cfvo type="percentile" val="50"/>
        <cfvo type="max"/>
        <color rgb="FFF8696B"/>
        <color rgb="FFFFEB84"/>
        <color rgb="FF63BE7B"/>
      </colorScale>
    </cfRule>
  </conditionalFormatting>
  <conditionalFormatting sqref="F1665:F1666">
    <cfRule type="colorScale" priority="1115">
      <colorScale>
        <cfvo type="min"/>
        <cfvo type="percentile" val="50"/>
        <cfvo type="max"/>
        <color rgb="FFF8696B"/>
        <color rgb="FFFFEB84"/>
        <color rgb="FF63BE7B"/>
      </colorScale>
    </cfRule>
  </conditionalFormatting>
  <conditionalFormatting sqref="F1670:F1671">
    <cfRule type="colorScale" priority="1120">
      <colorScale>
        <cfvo type="min"/>
        <cfvo type="percentile" val="50"/>
        <cfvo type="max"/>
        <color rgb="FFF8696B"/>
        <color rgb="FFFFEB84"/>
        <color rgb="FF63BE7B"/>
      </colorScale>
    </cfRule>
  </conditionalFormatting>
  <conditionalFormatting sqref="F1675:F1676">
    <cfRule type="colorScale" priority="1125">
      <colorScale>
        <cfvo type="min"/>
        <cfvo type="percentile" val="50"/>
        <cfvo type="max"/>
        <color rgb="FFF8696B"/>
        <color rgb="FFFFEB84"/>
        <color rgb="FF63BE7B"/>
      </colorScale>
    </cfRule>
  </conditionalFormatting>
  <conditionalFormatting sqref="F1680:F1681">
    <cfRule type="colorScale" priority="1130">
      <colorScale>
        <cfvo type="min"/>
        <cfvo type="percentile" val="50"/>
        <cfvo type="max"/>
        <color rgb="FFF8696B"/>
        <color rgb="FFFFEB84"/>
        <color rgb="FF63BE7B"/>
      </colorScale>
    </cfRule>
  </conditionalFormatting>
  <conditionalFormatting sqref="F1685">
    <cfRule type="colorScale" priority="1135">
      <colorScale>
        <cfvo type="min"/>
        <cfvo type="percentile" val="50"/>
        <cfvo type="max"/>
        <color rgb="FFF8696B"/>
        <color rgb="FFFFEB84"/>
        <color rgb="FF63BE7B"/>
      </colorScale>
    </cfRule>
  </conditionalFormatting>
  <conditionalFormatting sqref="F1689:F1690">
    <cfRule type="colorScale" priority="1140">
      <colorScale>
        <cfvo type="min"/>
        <cfvo type="percentile" val="50"/>
        <cfvo type="max"/>
        <color rgb="FFF8696B"/>
        <color rgb="FFFFEB84"/>
        <color rgb="FF63BE7B"/>
      </colorScale>
    </cfRule>
  </conditionalFormatting>
  <conditionalFormatting sqref="F1694:F1695">
    <cfRule type="colorScale" priority="1145">
      <colorScale>
        <cfvo type="min"/>
        <cfvo type="percentile" val="50"/>
        <cfvo type="max"/>
        <color rgb="FFF8696B"/>
        <color rgb="FFFFEB84"/>
        <color rgb="FF63BE7B"/>
      </colorScale>
    </cfRule>
  </conditionalFormatting>
  <conditionalFormatting sqref="F1699:F1702">
    <cfRule type="colorScale" priority="1150">
      <colorScale>
        <cfvo type="min"/>
        <cfvo type="percentile" val="50"/>
        <cfvo type="max"/>
        <color rgb="FFF8696B"/>
        <color rgb="FFFFEB84"/>
        <color rgb="FF63BE7B"/>
      </colorScale>
    </cfRule>
  </conditionalFormatting>
  <conditionalFormatting sqref="F1796:F1797">
    <cfRule type="colorScale" priority="1196">
      <colorScale>
        <cfvo type="min"/>
        <cfvo type="percentile" val="50"/>
        <cfvo type="max"/>
        <color rgb="FFF8696B"/>
        <color rgb="FFFFEB84"/>
        <color rgb="FF63BE7B"/>
      </colorScale>
    </cfRule>
  </conditionalFormatting>
  <conditionalFormatting sqref="F1805:F1806">
    <cfRule type="colorScale" priority="1206">
      <colorScale>
        <cfvo type="min"/>
        <cfvo type="percentile" val="50"/>
        <cfvo type="max"/>
        <color rgb="FFF8696B"/>
        <color rgb="FFFFEB84"/>
        <color rgb="FF63BE7B"/>
      </colorScale>
    </cfRule>
  </conditionalFormatting>
  <conditionalFormatting sqref="F1810:F1811">
    <cfRule type="colorScale" priority="1211">
      <colorScale>
        <cfvo type="min"/>
        <cfvo type="percentile" val="50"/>
        <cfvo type="max"/>
        <color rgb="FFF8696B"/>
        <color rgb="FFFFEB84"/>
        <color rgb="FF63BE7B"/>
      </colorScale>
    </cfRule>
  </conditionalFormatting>
  <conditionalFormatting sqref="F1815:F1816">
    <cfRule type="colorScale" priority="1216">
      <colorScale>
        <cfvo type="min"/>
        <cfvo type="percentile" val="50"/>
        <cfvo type="max"/>
        <color rgb="FFF8696B"/>
        <color rgb="FFFFEB84"/>
        <color rgb="FF63BE7B"/>
      </colorScale>
    </cfRule>
  </conditionalFormatting>
  <conditionalFormatting sqref="F1820:F1821">
    <cfRule type="colorScale" priority="1221">
      <colorScale>
        <cfvo type="min"/>
        <cfvo type="percentile" val="50"/>
        <cfvo type="max"/>
        <color rgb="FFF8696B"/>
        <color rgb="FFFFEB84"/>
        <color rgb="FF63BE7B"/>
      </colorScale>
    </cfRule>
  </conditionalFormatting>
  <conditionalFormatting sqref="F1825:F1826">
    <cfRule type="colorScale" priority="1226">
      <colorScale>
        <cfvo type="min"/>
        <cfvo type="percentile" val="50"/>
        <cfvo type="max"/>
        <color rgb="FFF8696B"/>
        <color rgb="FFFFEB84"/>
        <color rgb="FF63BE7B"/>
      </colorScale>
    </cfRule>
  </conditionalFormatting>
  <conditionalFormatting sqref="F1830:F1831">
    <cfRule type="colorScale" priority="1231">
      <colorScale>
        <cfvo type="min"/>
        <cfvo type="percentile" val="50"/>
        <cfvo type="max"/>
        <color rgb="FFF8696B"/>
        <color rgb="FFFFEB84"/>
        <color rgb="FF63BE7B"/>
      </colorScale>
    </cfRule>
  </conditionalFormatting>
  <conditionalFormatting sqref="F1835:F1836">
    <cfRule type="colorScale" priority="1236">
      <colorScale>
        <cfvo type="min"/>
        <cfvo type="percentile" val="50"/>
        <cfvo type="max"/>
        <color rgb="FFF8696B"/>
        <color rgb="FFFFEB84"/>
        <color rgb="FF63BE7B"/>
      </colorScale>
    </cfRule>
  </conditionalFormatting>
  <conditionalFormatting sqref="F1840:F1841">
    <cfRule type="colorScale" priority="1241">
      <colorScale>
        <cfvo type="min"/>
        <cfvo type="percentile" val="50"/>
        <cfvo type="max"/>
        <color rgb="FFF8696B"/>
        <color rgb="FFFFEB84"/>
        <color rgb="FF63BE7B"/>
      </colorScale>
    </cfRule>
  </conditionalFormatting>
  <conditionalFormatting sqref="F1845">
    <cfRule type="colorScale" priority="1246">
      <colorScale>
        <cfvo type="min"/>
        <cfvo type="percentile" val="50"/>
        <cfvo type="max"/>
        <color rgb="FFF8696B"/>
        <color rgb="FFFFEB84"/>
        <color rgb="FF63BE7B"/>
      </colorScale>
    </cfRule>
  </conditionalFormatting>
  <conditionalFormatting sqref="F1849:F1850">
    <cfRule type="colorScale" priority="1251">
      <colorScale>
        <cfvo type="min"/>
        <cfvo type="percentile" val="50"/>
        <cfvo type="max"/>
        <color rgb="FFF8696B"/>
        <color rgb="FFFFEB84"/>
        <color rgb="FF63BE7B"/>
      </colorScale>
    </cfRule>
  </conditionalFormatting>
  <conditionalFormatting sqref="F1854:F1855">
    <cfRule type="colorScale" priority="1256">
      <colorScale>
        <cfvo type="min"/>
        <cfvo type="percentile" val="50"/>
        <cfvo type="max"/>
        <color rgb="FFF8696B"/>
        <color rgb="FFFFEB84"/>
        <color rgb="FF63BE7B"/>
      </colorScale>
    </cfRule>
  </conditionalFormatting>
  <conditionalFormatting sqref="F1859:F1862">
    <cfRule type="colorScale" priority="1261">
      <colorScale>
        <cfvo type="min"/>
        <cfvo type="percentile" val="50"/>
        <cfvo type="max"/>
        <color rgb="FFF8696B"/>
        <color rgb="FFFFEB84"/>
        <color rgb="FF63BE7B"/>
      </colorScale>
    </cfRule>
  </conditionalFormatting>
  <conditionalFormatting sqref="F1870:F1871">
    <cfRule type="colorScale" priority="1271">
      <colorScale>
        <cfvo type="min"/>
        <cfvo type="percentile" val="50"/>
        <cfvo type="max"/>
        <color rgb="FFF8696B"/>
        <color rgb="FFFFEB84"/>
        <color rgb="FF63BE7B"/>
      </colorScale>
    </cfRule>
  </conditionalFormatting>
  <conditionalFormatting sqref="F1879:F1880">
    <cfRule type="colorScale" priority="1281">
      <colorScale>
        <cfvo type="min"/>
        <cfvo type="percentile" val="50"/>
        <cfvo type="max"/>
        <color rgb="FFF8696B"/>
        <color rgb="FFFFEB84"/>
        <color rgb="FF63BE7B"/>
      </colorScale>
    </cfRule>
  </conditionalFormatting>
  <conditionalFormatting sqref="F1884:F1885">
    <cfRule type="colorScale" priority="1286">
      <colorScale>
        <cfvo type="min"/>
        <cfvo type="percentile" val="50"/>
        <cfvo type="max"/>
        <color rgb="FFF8696B"/>
        <color rgb="FFFFEB84"/>
        <color rgb="FF63BE7B"/>
      </colorScale>
    </cfRule>
  </conditionalFormatting>
  <conditionalFormatting sqref="F1889:F1890">
    <cfRule type="colorScale" priority="1291">
      <colorScale>
        <cfvo type="min"/>
        <cfvo type="percentile" val="50"/>
        <cfvo type="max"/>
        <color rgb="FFF8696B"/>
        <color rgb="FFFFEB84"/>
        <color rgb="FF63BE7B"/>
      </colorScale>
    </cfRule>
  </conditionalFormatting>
  <conditionalFormatting sqref="F1894:F1895">
    <cfRule type="colorScale" priority="1296">
      <colorScale>
        <cfvo type="min"/>
        <cfvo type="percentile" val="50"/>
        <cfvo type="max"/>
        <color rgb="FFF8696B"/>
        <color rgb="FFFFEB84"/>
        <color rgb="FF63BE7B"/>
      </colorScale>
    </cfRule>
  </conditionalFormatting>
  <conditionalFormatting sqref="F1899:F1900">
    <cfRule type="colorScale" priority="1301">
      <colorScale>
        <cfvo type="min"/>
        <cfvo type="percentile" val="50"/>
        <cfvo type="max"/>
        <color rgb="FFF8696B"/>
        <color rgb="FFFFEB84"/>
        <color rgb="FF63BE7B"/>
      </colorScale>
    </cfRule>
  </conditionalFormatting>
  <conditionalFormatting sqref="F1904:F1905">
    <cfRule type="colorScale" priority="1306">
      <colorScale>
        <cfvo type="min"/>
        <cfvo type="percentile" val="50"/>
        <cfvo type="max"/>
        <color rgb="FFF8696B"/>
        <color rgb="FFFFEB84"/>
        <color rgb="FF63BE7B"/>
      </colorScale>
    </cfRule>
  </conditionalFormatting>
  <conditionalFormatting sqref="F1909:F1910">
    <cfRule type="colorScale" priority="1311">
      <colorScale>
        <cfvo type="min"/>
        <cfvo type="percentile" val="50"/>
        <cfvo type="max"/>
        <color rgb="FFF8696B"/>
        <color rgb="FFFFEB84"/>
        <color rgb="FF63BE7B"/>
      </colorScale>
    </cfRule>
  </conditionalFormatting>
  <conditionalFormatting sqref="F1914:F1915">
    <cfRule type="colorScale" priority="1316">
      <colorScale>
        <cfvo type="min"/>
        <cfvo type="percentile" val="50"/>
        <cfvo type="max"/>
        <color rgb="FFF8696B"/>
        <color rgb="FFFFEB84"/>
        <color rgb="FF63BE7B"/>
      </colorScale>
    </cfRule>
  </conditionalFormatting>
  <conditionalFormatting sqref="F1919">
    <cfRule type="colorScale" priority="1321">
      <colorScale>
        <cfvo type="min"/>
        <cfvo type="percentile" val="50"/>
        <cfvo type="max"/>
        <color rgb="FFF8696B"/>
        <color rgb="FFFFEB84"/>
        <color rgb="FF63BE7B"/>
      </colorScale>
    </cfRule>
  </conditionalFormatting>
  <conditionalFormatting sqref="F1923:F1924">
    <cfRule type="colorScale" priority="1326">
      <colorScale>
        <cfvo type="min"/>
        <cfvo type="percentile" val="50"/>
        <cfvo type="max"/>
        <color rgb="FFF8696B"/>
        <color rgb="FFFFEB84"/>
        <color rgb="FF63BE7B"/>
      </colorScale>
    </cfRule>
  </conditionalFormatting>
  <conditionalFormatting sqref="F1928:F1929">
    <cfRule type="colorScale" priority="1331">
      <colorScale>
        <cfvo type="min"/>
        <cfvo type="percentile" val="50"/>
        <cfvo type="max"/>
        <color rgb="FFF8696B"/>
        <color rgb="FFFFEB84"/>
        <color rgb="FF63BE7B"/>
      </colorScale>
    </cfRule>
  </conditionalFormatting>
  <conditionalFormatting sqref="F1933:F1936">
    <cfRule type="colorScale" priority="1336">
      <colorScale>
        <cfvo type="min"/>
        <cfvo type="percentile" val="50"/>
        <cfvo type="max"/>
        <color rgb="FFF8696B"/>
        <color rgb="FFFFEB84"/>
        <color rgb="FF63BE7B"/>
      </colorScale>
    </cfRule>
  </conditionalFormatting>
  <conditionalFormatting sqref="F2018:F2019">
    <cfRule type="colorScale" priority="1376">
      <colorScale>
        <cfvo type="min"/>
        <cfvo type="percentile" val="50"/>
        <cfvo type="max"/>
        <color rgb="FFF8696B"/>
        <color rgb="FFFFEB84"/>
        <color rgb="FF63BE7B"/>
      </colorScale>
    </cfRule>
  </conditionalFormatting>
  <conditionalFormatting sqref="F2027:F2028">
    <cfRule type="colorScale" priority="1386">
      <colorScale>
        <cfvo type="min"/>
        <cfvo type="percentile" val="50"/>
        <cfvo type="max"/>
        <color rgb="FFF8696B"/>
        <color rgb="FFFFEB84"/>
        <color rgb="FF63BE7B"/>
      </colorScale>
    </cfRule>
  </conditionalFormatting>
  <conditionalFormatting sqref="F2032:F2033">
    <cfRule type="colorScale" priority="1391">
      <colorScale>
        <cfvo type="min"/>
        <cfvo type="percentile" val="50"/>
        <cfvo type="max"/>
        <color rgb="FFF8696B"/>
        <color rgb="FFFFEB84"/>
        <color rgb="FF63BE7B"/>
      </colorScale>
    </cfRule>
  </conditionalFormatting>
  <conditionalFormatting sqref="F2037:F2038">
    <cfRule type="colorScale" priority="1396">
      <colorScale>
        <cfvo type="min"/>
        <cfvo type="percentile" val="50"/>
        <cfvo type="max"/>
        <color rgb="FFF8696B"/>
        <color rgb="FFFFEB84"/>
        <color rgb="FF63BE7B"/>
      </colorScale>
    </cfRule>
  </conditionalFormatting>
  <conditionalFormatting sqref="F2042:F2043">
    <cfRule type="colorScale" priority="1401">
      <colorScale>
        <cfvo type="min"/>
        <cfvo type="percentile" val="50"/>
        <cfvo type="max"/>
        <color rgb="FFF8696B"/>
        <color rgb="FFFFEB84"/>
        <color rgb="FF63BE7B"/>
      </colorScale>
    </cfRule>
  </conditionalFormatting>
  <conditionalFormatting sqref="F2047:F2048">
    <cfRule type="colorScale" priority="1406">
      <colorScale>
        <cfvo type="min"/>
        <cfvo type="percentile" val="50"/>
        <cfvo type="max"/>
        <color rgb="FFF8696B"/>
        <color rgb="FFFFEB84"/>
        <color rgb="FF63BE7B"/>
      </colorScale>
    </cfRule>
  </conditionalFormatting>
  <conditionalFormatting sqref="F2052:F2053">
    <cfRule type="colorScale" priority="1411">
      <colorScale>
        <cfvo type="min"/>
        <cfvo type="percentile" val="50"/>
        <cfvo type="max"/>
        <color rgb="FFF8696B"/>
        <color rgb="FFFFEB84"/>
        <color rgb="FF63BE7B"/>
      </colorScale>
    </cfRule>
  </conditionalFormatting>
  <conditionalFormatting sqref="F2057:F2058">
    <cfRule type="colorScale" priority="1416">
      <colorScale>
        <cfvo type="min"/>
        <cfvo type="percentile" val="50"/>
        <cfvo type="max"/>
        <color rgb="FFF8696B"/>
        <color rgb="FFFFEB84"/>
        <color rgb="FF63BE7B"/>
      </colorScale>
    </cfRule>
  </conditionalFormatting>
  <conditionalFormatting sqref="F2062:F2063">
    <cfRule type="colorScale" priority="1421">
      <colorScale>
        <cfvo type="min"/>
        <cfvo type="percentile" val="50"/>
        <cfvo type="max"/>
        <color rgb="FFF8696B"/>
        <color rgb="FFFFEB84"/>
        <color rgb="FF63BE7B"/>
      </colorScale>
    </cfRule>
  </conditionalFormatting>
  <conditionalFormatting sqref="F2067">
    <cfRule type="colorScale" priority="1426">
      <colorScale>
        <cfvo type="min"/>
        <cfvo type="percentile" val="50"/>
        <cfvo type="max"/>
        <color rgb="FFF8696B"/>
        <color rgb="FFFFEB84"/>
        <color rgb="FF63BE7B"/>
      </colorScale>
    </cfRule>
  </conditionalFormatting>
  <conditionalFormatting sqref="F2071:F2072">
    <cfRule type="colorScale" priority="1431">
      <colorScale>
        <cfvo type="min"/>
        <cfvo type="percentile" val="50"/>
        <cfvo type="max"/>
        <color rgb="FFF8696B"/>
        <color rgb="FFFFEB84"/>
        <color rgb="FF63BE7B"/>
      </colorScale>
    </cfRule>
  </conditionalFormatting>
  <conditionalFormatting sqref="F2076:F2077">
    <cfRule type="colorScale" priority="1436">
      <colorScale>
        <cfvo type="min"/>
        <cfvo type="percentile" val="50"/>
        <cfvo type="max"/>
        <color rgb="FFF8696B"/>
        <color rgb="FFFFEB84"/>
        <color rgb="FF63BE7B"/>
      </colorScale>
    </cfRule>
  </conditionalFormatting>
  <conditionalFormatting sqref="F2081:F2084">
    <cfRule type="colorScale" priority="1441">
      <colorScale>
        <cfvo type="min"/>
        <cfvo type="percentile" val="50"/>
        <cfvo type="max"/>
        <color rgb="FFF8696B"/>
        <color rgb="FFFFEB84"/>
        <color rgb="FF63BE7B"/>
      </colorScale>
    </cfRule>
  </conditionalFormatting>
  <conditionalFormatting sqref="F4872:F4873">
    <cfRule type="colorScale" priority="2651">
      <colorScale>
        <cfvo type="min"/>
        <cfvo type="percentile" val="50"/>
        <cfvo type="max"/>
        <color rgb="FFF8696B"/>
        <color rgb="FFFFEB84"/>
        <color rgb="FF63BE7B"/>
      </colorScale>
    </cfRule>
  </conditionalFormatting>
  <conditionalFormatting sqref="F4881">
    <cfRule type="colorScale" priority="2661">
      <colorScale>
        <cfvo type="min"/>
        <cfvo type="percentile" val="50"/>
        <cfvo type="max"/>
        <color rgb="FFF8696B"/>
        <color rgb="FFFFEB84"/>
        <color rgb="FF63BE7B"/>
      </colorScale>
    </cfRule>
  </conditionalFormatting>
  <conditionalFormatting sqref="F4885">
    <cfRule type="colorScale" priority="2666">
      <colorScale>
        <cfvo type="min"/>
        <cfvo type="percentile" val="50"/>
        <cfvo type="max"/>
        <color rgb="FFF8696B"/>
        <color rgb="FFFFEB84"/>
        <color rgb="FF63BE7B"/>
      </colorScale>
    </cfRule>
  </conditionalFormatting>
  <conditionalFormatting sqref="F4889:F4890">
    <cfRule type="colorScale" priority="2671">
      <colorScale>
        <cfvo type="min"/>
        <cfvo type="percentile" val="50"/>
        <cfvo type="max"/>
        <color rgb="FFF8696B"/>
        <color rgb="FFFFEB84"/>
        <color rgb="FF63BE7B"/>
      </colorScale>
    </cfRule>
  </conditionalFormatting>
  <conditionalFormatting sqref="F4894:F4895">
    <cfRule type="colorScale" priority="2676">
      <colorScale>
        <cfvo type="min"/>
        <cfvo type="percentile" val="50"/>
        <cfvo type="max"/>
        <color rgb="FFF8696B"/>
        <color rgb="FFFFEB84"/>
        <color rgb="FF63BE7B"/>
      </colorScale>
    </cfRule>
  </conditionalFormatting>
  <conditionalFormatting sqref="F4899:F4900">
    <cfRule type="colorScale" priority="2681">
      <colorScale>
        <cfvo type="min"/>
        <cfvo type="percentile" val="50"/>
        <cfvo type="max"/>
        <color rgb="FFF8696B"/>
        <color rgb="FFFFEB84"/>
        <color rgb="FF63BE7B"/>
      </colorScale>
    </cfRule>
  </conditionalFormatting>
  <conditionalFormatting sqref="F4904:F4905">
    <cfRule type="colorScale" priority="2686">
      <colorScale>
        <cfvo type="min"/>
        <cfvo type="percentile" val="50"/>
        <cfvo type="max"/>
        <color rgb="FFF8696B"/>
        <color rgb="FFFFEB84"/>
        <color rgb="FF63BE7B"/>
      </colorScale>
    </cfRule>
  </conditionalFormatting>
  <conditionalFormatting sqref="F4909:F4910">
    <cfRule type="colorScale" priority="2691">
      <colorScale>
        <cfvo type="min"/>
        <cfvo type="percentile" val="50"/>
        <cfvo type="max"/>
        <color rgb="FFF8696B"/>
        <color rgb="FFFFEB84"/>
        <color rgb="FF63BE7B"/>
      </colorScale>
    </cfRule>
  </conditionalFormatting>
  <conditionalFormatting sqref="F4914:F4915">
    <cfRule type="colorScale" priority="2696">
      <colorScale>
        <cfvo type="min"/>
        <cfvo type="percentile" val="50"/>
        <cfvo type="max"/>
        <color rgb="FFF8696B"/>
        <color rgb="FFFFEB84"/>
        <color rgb="FF63BE7B"/>
      </colorScale>
    </cfRule>
  </conditionalFormatting>
  <conditionalFormatting sqref="F4919">
    <cfRule type="colorScale" priority="2701">
      <colorScale>
        <cfvo type="min"/>
        <cfvo type="percentile" val="50"/>
        <cfvo type="max"/>
        <color rgb="FFF8696B"/>
        <color rgb="FFFFEB84"/>
        <color rgb="FF63BE7B"/>
      </colorScale>
    </cfRule>
  </conditionalFormatting>
  <conditionalFormatting sqref="F4923:F4924">
    <cfRule type="colorScale" priority="2706">
      <colorScale>
        <cfvo type="min"/>
        <cfvo type="percentile" val="50"/>
        <cfvo type="max"/>
        <color rgb="FFF8696B"/>
        <color rgb="FFFFEB84"/>
        <color rgb="FF63BE7B"/>
      </colorScale>
    </cfRule>
  </conditionalFormatting>
  <conditionalFormatting sqref="F4928:F4929">
    <cfRule type="colorScale" priority="2711">
      <colorScale>
        <cfvo type="min"/>
        <cfvo type="percentile" val="50"/>
        <cfvo type="max"/>
        <color rgb="FFF8696B"/>
        <color rgb="FFFFEB84"/>
        <color rgb="FF63BE7B"/>
      </colorScale>
    </cfRule>
  </conditionalFormatting>
  <conditionalFormatting sqref="F4933:F4936">
    <cfRule type="colorScale" priority="2716">
      <colorScale>
        <cfvo type="min"/>
        <cfvo type="percentile" val="50"/>
        <cfvo type="max"/>
        <color rgb="FFF8696B"/>
        <color rgb="FFFFEB84"/>
        <color rgb="FF63BE7B"/>
      </colorScale>
    </cfRule>
  </conditionalFormatting>
  <conditionalFormatting sqref="F4944:F4945">
    <cfRule type="colorScale" priority="2726">
      <colorScale>
        <cfvo type="min"/>
        <cfvo type="percentile" val="50"/>
        <cfvo type="max"/>
        <color rgb="FFF8696B"/>
        <color rgb="FFFFEB84"/>
        <color rgb="FF63BE7B"/>
      </colorScale>
    </cfRule>
  </conditionalFormatting>
  <conditionalFormatting sqref="F4953:F4954">
    <cfRule type="colorScale" priority="2736">
      <colorScale>
        <cfvo type="min"/>
        <cfvo type="percentile" val="50"/>
        <cfvo type="max"/>
        <color rgb="FFF8696B"/>
        <color rgb="FFFFEB84"/>
        <color rgb="FF63BE7B"/>
      </colorScale>
    </cfRule>
  </conditionalFormatting>
  <conditionalFormatting sqref="F4958">
    <cfRule type="colorScale" priority="2741">
      <colorScale>
        <cfvo type="min"/>
        <cfvo type="percentile" val="50"/>
        <cfvo type="max"/>
        <color rgb="FFF8696B"/>
        <color rgb="FFFFEB84"/>
        <color rgb="FF63BE7B"/>
      </colorScale>
    </cfRule>
  </conditionalFormatting>
  <conditionalFormatting sqref="F4962:F4963">
    <cfRule type="colorScale" priority="2746">
      <colorScale>
        <cfvo type="min"/>
        <cfvo type="percentile" val="50"/>
        <cfvo type="max"/>
        <color rgb="FFF8696B"/>
        <color rgb="FFFFEB84"/>
        <color rgb="FF63BE7B"/>
      </colorScale>
    </cfRule>
  </conditionalFormatting>
  <conditionalFormatting sqref="F4967:F4968">
    <cfRule type="colorScale" priority="2751">
      <colorScale>
        <cfvo type="min"/>
        <cfvo type="percentile" val="50"/>
        <cfvo type="max"/>
        <color rgb="FFF8696B"/>
        <color rgb="FFFFEB84"/>
        <color rgb="FF63BE7B"/>
      </colorScale>
    </cfRule>
  </conditionalFormatting>
  <conditionalFormatting sqref="F4972:F4973">
    <cfRule type="colorScale" priority="2756">
      <colorScale>
        <cfvo type="min"/>
        <cfvo type="percentile" val="50"/>
        <cfvo type="max"/>
        <color rgb="FFF8696B"/>
        <color rgb="FFFFEB84"/>
        <color rgb="FF63BE7B"/>
      </colorScale>
    </cfRule>
  </conditionalFormatting>
  <conditionalFormatting sqref="F4977:F4978">
    <cfRule type="colorScale" priority="2761">
      <colorScale>
        <cfvo type="min"/>
        <cfvo type="percentile" val="50"/>
        <cfvo type="max"/>
        <color rgb="FFF8696B"/>
        <color rgb="FFFFEB84"/>
        <color rgb="FF63BE7B"/>
      </colorScale>
    </cfRule>
  </conditionalFormatting>
  <conditionalFormatting sqref="F4982:F4983">
    <cfRule type="colorScale" priority="2766">
      <colorScale>
        <cfvo type="min"/>
        <cfvo type="percentile" val="50"/>
        <cfvo type="max"/>
        <color rgb="FFF8696B"/>
        <color rgb="FFFFEB84"/>
        <color rgb="FF63BE7B"/>
      </colorScale>
    </cfRule>
  </conditionalFormatting>
  <conditionalFormatting sqref="F4987:F4988">
    <cfRule type="colorScale" priority="2771">
      <colorScale>
        <cfvo type="min"/>
        <cfvo type="percentile" val="50"/>
        <cfvo type="max"/>
        <color rgb="FFF8696B"/>
        <color rgb="FFFFEB84"/>
        <color rgb="FF63BE7B"/>
      </colorScale>
    </cfRule>
  </conditionalFormatting>
  <conditionalFormatting sqref="F4992">
    <cfRule type="colorScale" priority="2776">
      <colorScale>
        <cfvo type="min"/>
        <cfvo type="percentile" val="50"/>
        <cfvo type="max"/>
        <color rgb="FFF8696B"/>
        <color rgb="FFFFEB84"/>
        <color rgb="FF63BE7B"/>
      </colorScale>
    </cfRule>
  </conditionalFormatting>
  <conditionalFormatting sqref="F4996:F4997">
    <cfRule type="colorScale" priority="2781">
      <colorScale>
        <cfvo type="min"/>
        <cfvo type="percentile" val="50"/>
        <cfvo type="max"/>
        <color rgb="FFF8696B"/>
        <color rgb="FFFFEB84"/>
        <color rgb="FF63BE7B"/>
      </colorScale>
    </cfRule>
  </conditionalFormatting>
  <conditionalFormatting sqref="F5001:F5002">
    <cfRule type="colorScale" priority="2786">
      <colorScale>
        <cfvo type="min"/>
        <cfvo type="percentile" val="50"/>
        <cfvo type="max"/>
        <color rgb="FFF8696B"/>
        <color rgb="FFFFEB84"/>
        <color rgb="FF63BE7B"/>
      </colorScale>
    </cfRule>
  </conditionalFormatting>
  <conditionalFormatting sqref="F5006:F5009">
    <cfRule type="colorScale" priority="2791">
      <colorScale>
        <cfvo type="min"/>
        <cfvo type="percentile" val="50"/>
        <cfvo type="max"/>
        <color rgb="FFF8696B"/>
        <color rgb="FFFFEB84"/>
        <color rgb="FF63BE7B"/>
      </colorScale>
    </cfRule>
  </conditionalFormatting>
  <conditionalFormatting sqref="F5017">
    <cfRule type="colorScale" priority="2801">
      <colorScale>
        <cfvo type="min"/>
        <cfvo type="percentile" val="50"/>
        <cfvo type="max"/>
        <color rgb="FFF8696B"/>
        <color rgb="FFFFEB84"/>
        <color rgb="FF63BE7B"/>
      </colorScale>
    </cfRule>
  </conditionalFormatting>
  <conditionalFormatting sqref="F5025">
    <cfRule type="colorScale" priority="2811">
      <colorScale>
        <cfvo type="min"/>
        <cfvo type="percentile" val="50"/>
        <cfvo type="max"/>
        <color rgb="FFF8696B"/>
        <color rgb="FFFFEB84"/>
        <color rgb="FF63BE7B"/>
      </colorScale>
    </cfRule>
  </conditionalFormatting>
  <conditionalFormatting sqref="F5029">
    <cfRule type="colorScale" priority="2816">
      <colorScale>
        <cfvo type="min"/>
        <cfvo type="percentile" val="50"/>
        <cfvo type="max"/>
        <color rgb="FFF8696B"/>
        <color rgb="FFFFEB84"/>
        <color rgb="FF63BE7B"/>
      </colorScale>
    </cfRule>
  </conditionalFormatting>
  <conditionalFormatting sqref="F5033:F5034">
    <cfRule type="colorScale" priority="2821">
      <colorScale>
        <cfvo type="min"/>
        <cfvo type="percentile" val="50"/>
        <cfvo type="max"/>
        <color rgb="FFF8696B"/>
        <color rgb="FFFFEB84"/>
        <color rgb="FF63BE7B"/>
      </colorScale>
    </cfRule>
  </conditionalFormatting>
  <conditionalFormatting sqref="F5038:F5039">
    <cfRule type="colorScale" priority="2826">
      <colorScale>
        <cfvo type="min"/>
        <cfvo type="percentile" val="50"/>
        <cfvo type="max"/>
        <color rgb="FFF8696B"/>
        <color rgb="FFFFEB84"/>
        <color rgb="FF63BE7B"/>
      </colorScale>
    </cfRule>
  </conditionalFormatting>
  <conditionalFormatting sqref="F5043:F5044">
    <cfRule type="colorScale" priority="2831">
      <colorScale>
        <cfvo type="min"/>
        <cfvo type="percentile" val="50"/>
        <cfvo type="max"/>
        <color rgb="FFF8696B"/>
        <color rgb="FFFFEB84"/>
        <color rgb="FF63BE7B"/>
      </colorScale>
    </cfRule>
  </conditionalFormatting>
  <conditionalFormatting sqref="F5048:F5049">
    <cfRule type="colorScale" priority="2836">
      <colorScale>
        <cfvo type="min"/>
        <cfvo type="percentile" val="50"/>
        <cfvo type="max"/>
        <color rgb="FFF8696B"/>
        <color rgb="FFFFEB84"/>
        <color rgb="FF63BE7B"/>
      </colorScale>
    </cfRule>
  </conditionalFormatting>
  <conditionalFormatting sqref="F5053:F5054">
    <cfRule type="colorScale" priority="2841">
      <colorScale>
        <cfvo type="min"/>
        <cfvo type="percentile" val="50"/>
        <cfvo type="max"/>
        <color rgb="FFF8696B"/>
        <color rgb="FFFFEB84"/>
        <color rgb="FF63BE7B"/>
      </colorScale>
    </cfRule>
  </conditionalFormatting>
  <conditionalFormatting sqref="F5058:F5059">
    <cfRule type="colorScale" priority="2846">
      <colorScale>
        <cfvo type="min"/>
        <cfvo type="percentile" val="50"/>
        <cfvo type="max"/>
        <color rgb="FFF8696B"/>
        <color rgb="FFFFEB84"/>
        <color rgb="FF63BE7B"/>
      </colorScale>
    </cfRule>
  </conditionalFormatting>
  <conditionalFormatting sqref="F5063">
    <cfRule type="colorScale" priority="2851">
      <colorScale>
        <cfvo type="min"/>
        <cfvo type="percentile" val="50"/>
        <cfvo type="max"/>
        <color rgb="FFF8696B"/>
        <color rgb="FFFFEB84"/>
        <color rgb="FF63BE7B"/>
      </colorScale>
    </cfRule>
  </conditionalFormatting>
  <conditionalFormatting sqref="F5067:F5068">
    <cfRule type="colorScale" priority="2856">
      <colorScale>
        <cfvo type="min"/>
        <cfvo type="percentile" val="50"/>
        <cfvo type="max"/>
        <color rgb="FFF8696B"/>
        <color rgb="FFFFEB84"/>
        <color rgb="FF63BE7B"/>
      </colorScale>
    </cfRule>
  </conditionalFormatting>
  <conditionalFormatting sqref="F5072:F5073">
    <cfRule type="colorScale" priority="2861">
      <colorScale>
        <cfvo type="min"/>
        <cfvo type="percentile" val="50"/>
        <cfvo type="max"/>
        <color rgb="FFF8696B"/>
        <color rgb="FFFFEB84"/>
        <color rgb="FF63BE7B"/>
      </colorScale>
    </cfRule>
  </conditionalFormatting>
  <conditionalFormatting sqref="F5077:F5080">
    <cfRule type="colorScale" priority="2866">
      <colorScale>
        <cfvo type="min"/>
        <cfvo type="percentile" val="50"/>
        <cfvo type="max"/>
        <color rgb="FFF8696B"/>
        <color rgb="FFFFEB84"/>
        <color rgb="FF63BE7B"/>
      </colorScale>
    </cfRule>
  </conditionalFormatting>
  <conditionalFormatting sqref="F5088:F5089">
    <cfRule type="colorScale" priority="2876">
      <colorScale>
        <cfvo type="min"/>
        <cfvo type="percentile" val="50"/>
        <cfvo type="max"/>
        <color rgb="FFF8696B"/>
        <color rgb="FFFFEB84"/>
        <color rgb="FF63BE7B"/>
      </colorScale>
    </cfRule>
  </conditionalFormatting>
  <conditionalFormatting sqref="F5097">
    <cfRule type="colorScale" priority="2886">
      <colorScale>
        <cfvo type="min"/>
        <cfvo type="percentile" val="50"/>
        <cfvo type="max"/>
        <color rgb="FFF8696B"/>
        <color rgb="FFFFEB84"/>
        <color rgb="FF63BE7B"/>
      </colorScale>
    </cfRule>
  </conditionalFormatting>
  <conditionalFormatting sqref="F5101">
    <cfRule type="colorScale" priority="2891">
      <colorScale>
        <cfvo type="min"/>
        <cfvo type="percentile" val="50"/>
        <cfvo type="max"/>
        <color rgb="FFF8696B"/>
        <color rgb="FFFFEB84"/>
        <color rgb="FF63BE7B"/>
      </colorScale>
    </cfRule>
  </conditionalFormatting>
  <conditionalFormatting sqref="F5105:F5106">
    <cfRule type="colorScale" priority="2896">
      <colorScale>
        <cfvo type="min"/>
        <cfvo type="percentile" val="50"/>
        <cfvo type="max"/>
        <color rgb="FFF8696B"/>
        <color rgb="FFFFEB84"/>
        <color rgb="FF63BE7B"/>
      </colorScale>
    </cfRule>
  </conditionalFormatting>
  <conditionalFormatting sqref="F5110:F5111">
    <cfRule type="colorScale" priority="2901">
      <colorScale>
        <cfvo type="min"/>
        <cfvo type="percentile" val="50"/>
        <cfvo type="max"/>
        <color rgb="FFF8696B"/>
        <color rgb="FFFFEB84"/>
        <color rgb="FF63BE7B"/>
      </colorScale>
    </cfRule>
  </conditionalFormatting>
  <conditionalFormatting sqref="F5115:F5116">
    <cfRule type="colorScale" priority="2906">
      <colorScale>
        <cfvo type="min"/>
        <cfvo type="percentile" val="50"/>
        <cfvo type="max"/>
        <color rgb="FFF8696B"/>
        <color rgb="FFFFEB84"/>
        <color rgb="FF63BE7B"/>
      </colorScale>
    </cfRule>
  </conditionalFormatting>
  <conditionalFormatting sqref="F5120:F5121">
    <cfRule type="colorScale" priority="2911">
      <colorScale>
        <cfvo type="min"/>
        <cfvo type="percentile" val="50"/>
        <cfvo type="max"/>
        <color rgb="FFF8696B"/>
        <color rgb="FFFFEB84"/>
        <color rgb="FF63BE7B"/>
      </colorScale>
    </cfRule>
  </conditionalFormatting>
  <conditionalFormatting sqref="F5125:F5126">
    <cfRule type="colorScale" priority="2916">
      <colorScale>
        <cfvo type="min"/>
        <cfvo type="percentile" val="50"/>
        <cfvo type="max"/>
        <color rgb="FFF8696B"/>
        <color rgb="FFFFEB84"/>
        <color rgb="FF63BE7B"/>
      </colorScale>
    </cfRule>
  </conditionalFormatting>
  <conditionalFormatting sqref="F5130:F5131">
    <cfRule type="colorScale" priority="2921">
      <colorScale>
        <cfvo type="min"/>
        <cfvo type="percentile" val="50"/>
        <cfvo type="max"/>
        <color rgb="FFF8696B"/>
        <color rgb="FFFFEB84"/>
        <color rgb="FF63BE7B"/>
      </colorScale>
    </cfRule>
  </conditionalFormatting>
  <conditionalFormatting sqref="F5135">
    <cfRule type="colorScale" priority="2926">
      <colorScale>
        <cfvo type="min"/>
        <cfvo type="percentile" val="50"/>
        <cfvo type="max"/>
        <color rgb="FFF8696B"/>
        <color rgb="FFFFEB84"/>
        <color rgb="FF63BE7B"/>
      </colorScale>
    </cfRule>
  </conditionalFormatting>
  <conditionalFormatting sqref="F5139:F5140">
    <cfRule type="colorScale" priority="2931">
      <colorScale>
        <cfvo type="min"/>
        <cfvo type="percentile" val="50"/>
        <cfvo type="max"/>
        <color rgb="FFF8696B"/>
        <color rgb="FFFFEB84"/>
        <color rgb="FF63BE7B"/>
      </colorScale>
    </cfRule>
  </conditionalFormatting>
  <conditionalFormatting sqref="F5144:F5145">
    <cfRule type="colorScale" priority="2936">
      <colorScale>
        <cfvo type="min"/>
        <cfvo type="percentile" val="50"/>
        <cfvo type="max"/>
        <color rgb="FFF8696B"/>
        <color rgb="FFFFEB84"/>
        <color rgb="FF63BE7B"/>
      </colorScale>
    </cfRule>
  </conditionalFormatting>
  <conditionalFormatting sqref="F5149:F5152">
    <cfRule type="colorScale" priority="2941">
      <colorScale>
        <cfvo type="min"/>
        <cfvo type="percentile" val="50"/>
        <cfvo type="max"/>
        <color rgb="FFF8696B"/>
        <color rgb="FFFFEB84"/>
        <color rgb="FF63BE7B"/>
      </colorScale>
    </cfRule>
  </conditionalFormatting>
  <conditionalFormatting sqref="F5160">
    <cfRule type="colorScale" priority="2951">
      <colorScale>
        <cfvo type="min"/>
        <cfvo type="percentile" val="50"/>
        <cfvo type="max"/>
        <color rgb="FFF8696B"/>
        <color rgb="FFFFEB84"/>
        <color rgb="FF63BE7B"/>
      </colorScale>
    </cfRule>
  </conditionalFormatting>
  <conditionalFormatting sqref="F5168:F5169">
    <cfRule type="colorScale" priority="2961">
      <colorScale>
        <cfvo type="min"/>
        <cfvo type="percentile" val="50"/>
        <cfvo type="max"/>
        <color rgb="FFF8696B"/>
        <color rgb="FFFFEB84"/>
        <color rgb="FF63BE7B"/>
      </colorScale>
    </cfRule>
  </conditionalFormatting>
  <conditionalFormatting sqref="F5173">
    <cfRule type="colorScale" priority="2966">
      <colorScale>
        <cfvo type="min"/>
        <cfvo type="percentile" val="50"/>
        <cfvo type="max"/>
        <color rgb="FFF8696B"/>
        <color rgb="FFFFEB84"/>
        <color rgb="FF63BE7B"/>
      </colorScale>
    </cfRule>
  </conditionalFormatting>
  <conditionalFormatting sqref="F5177:F5178">
    <cfRule type="colorScale" priority="2971">
      <colorScale>
        <cfvo type="min"/>
        <cfvo type="percentile" val="50"/>
        <cfvo type="max"/>
        <color rgb="FFF8696B"/>
        <color rgb="FFFFEB84"/>
        <color rgb="FF63BE7B"/>
      </colorScale>
    </cfRule>
  </conditionalFormatting>
  <conditionalFormatting sqref="F5182">
    <cfRule type="colorScale" priority="2976">
      <colorScale>
        <cfvo type="min"/>
        <cfvo type="percentile" val="50"/>
        <cfvo type="max"/>
        <color rgb="FFF8696B"/>
        <color rgb="FFFFEB84"/>
        <color rgb="FF63BE7B"/>
      </colorScale>
    </cfRule>
  </conditionalFormatting>
  <conditionalFormatting sqref="F5186:F5187">
    <cfRule type="colorScale" priority="2981">
      <colorScale>
        <cfvo type="min"/>
        <cfvo type="percentile" val="50"/>
        <cfvo type="max"/>
        <color rgb="FFF8696B"/>
        <color rgb="FFFFEB84"/>
        <color rgb="FF63BE7B"/>
      </colorScale>
    </cfRule>
  </conditionalFormatting>
  <conditionalFormatting sqref="F5191:F5192">
    <cfRule type="colorScale" priority="2986">
      <colorScale>
        <cfvo type="min"/>
        <cfvo type="percentile" val="50"/>
        <cfvo type="max"/>
        <color rgb="FFF8696B"/>
        <color rgb="FFFFEB84"/>
        <color rgb="FF63BE7B"/>
      </colorScale>
    </cfRule>
  </conditionalFormatting>
  <conditionalFormatting sqref="F5196:F5197">
    <cfRule type="colorScale" priority="2991">
      <colorScale>
        <cfvo type="min"/>
        <cfvo type="percentile" val="50"/>
        <cfvo type="max"/>
        <color rgb="FFF8696B"/>
        <color rgb="FFFFEB84"/>
        <color rgb="FF63BE7B"/>
      </colorScale>
    </cfRule>
  </conditionalFormatting>
  <conditionalFormatting sqref="F5201:F5202">
    <cfRule type="colorScale" priority="2996">
      <colorScale>
        <cfvo type="min"/>
        <cfvo type="percentile" val="50"/>
        <cfvo type="max"/>
        <color rgb="FFF8696B"/>
        <color rgb="FFFFEB84"/>
        <color rgb="FF63BE7B"/>
      </colorScale>
    </cfRule>
  </conditionalFormatting>
  <conditionalFormatting sqref="F5206">
    <cfRule type="colorScale" priority="3001">
      <colorScale>
        <cfvo type="min"/>
        <cfvo type="percentile" val="50"/>
        <cfvo type="max"/>
        <color rgb="FFF8696B"/>
        <color rgb="FFFFEB84"/>
        <color rgb="FF63BE7B"/>
      </colorScale>
    </cfRule>
  </conditionalFormatting>
  <conditionalFormatting sqref="F5210:F5211">
    <cfRule type="colorScale" priority="3006">
      <colorScale>
        <cfvo type="min"/>
        <cfvo type="percentile" val="50"/>
        <cfvo type="max"/>
        <color rgb="FFF8696B"/>
        <color rgb="FFFFEB84"/>
        <color rgb="FF63BE7B"/>
      </colorScale>
    </cfRule>
  </conditionalFormatting>
  <conditionalFormatting sqref="F5215:F5216">
    <cfRule type="colorScale" priority="3011">
      <colorScale>
        <cfvo type="min"/>
        <cfvo type="percentile" val="50"/>
        <cfvo type="max"/>
        <color rgb="FFF8696B"/>
        <color rgb="FFFFEB84"/>
        <color rgb="FF63BE7B"/>
      </colorScale>
    </cfRule>
  </conditionalFormatting>
  <conditionalFormatting sqref="F5220:F5223">
    <cfRule type="colorScale" priority="3016">
      <colorScale>
        <cfvo type="min"/>
        <cfvo type="percentile" val="50"/>
        <cfvo type="max"/>
        <color rgb="FFF8696B"/>
        <color rgb="FFFFEB84"/>
        <color rgb="FF63BE7B"/>
      </colorScale>
    </cfRule>
  </conditionalFormatting>
  <conditionalFormatting sqref="F5231:F5232">
    <cfRule type="colorScale" priority="3026">
      <colorScale>
        <cfvo type="min"/>
        <cfvo type="percentile" val="50"/>
        <cfvo type="max"/>
        <color rgb="FFF8696B"/>
        <color rgb="FFFFEB84"/>
        <color rgb="FF63BE7B"/>
      </colorScale>
    </cfRule>
  </conditionalFormatting>
  <conditionalFormatting sqref="F5240:F5241">
    <cfRule type="colorScale" priority="3036">
      <colorScale>
        <cfvo type="min"/>
        <cfvo type="percentile" val="50"/>
        <cfvo type="max"/>
        <color rgb="FFF8696B"/>
        <color rgb="FFFFEB84"/>
        <color rgb="FF63BE7B"/>
      </colorScale>
    </cfRule>
  </conditionalFormatting>
  <conditionalFormatting sqref="F5245">
    <cfRule type="colorScale" priority="3041">
      <colorScale>
        <cfvo type="min"/>
        <cfvo type="percentile" val="50"/>
        <cfvo type="max"/>
        <color rgb="FFF8696B"/>
        <color rgb="FFFFEB84"/>
        <color rgb="FF63BE7B"/>
      </colorScale>
    </cfRule>
  </conditionalFormatting>
  <conditionalFormatting sqref="F5249:F5250">
    <cfRule type="colorScale" priority="3046">
      <colorScale>
        <cfvo type="min"/>
        <cfvo type="percentile" val="50"/>
        <cfvo type="max"/>
        <color rgb="FFF8696B"/>
        <color rgb="FFFFEB84"/>
        <color rgb="FF63BE7B"/>
      </colorScale>
    </cfRule>
  </conditionalFormatting>
  <conditionalFormatting sqref="F5254:F5255">
    <cfRule type="colorScale" priority="3051">
      <colorScale>
        <cfvo type="min"/>
        <cfvo type="percentile" val="50"/>
        <cfvo type="max"/>
        <color rgb="FFF8696B"/>
        <color rgb="FFFFEB84"/>
        <color rgb="FF63BE7B"/>
      </colorScale>
    </cfRule>
  </conditionalFormatting>
  <conditionalFormatting sqref="F5259:F5260">
    <cfRule type="colorScale" priority="3056">
      <colorScale>
        <cfvo type="min"/>
        <cfvo type="percentile" val="50"/>
        <cfvo type="max"/>
        <color rgb="FFF8696B"/>
        <color rgb="FFFFEB84"/>
        <color rgb="FF63BE7B"/>
      </colorScale>
    </cfRule>
  </conditionalFormatting>
  <conditionalFormatting sqref="F5264:F5265">
    <cfRule type="colorScale" priority="3061">
      <colorScale>
        <cfvo type="min"/>
        <cfvo type="percentile" val="50"/>
        <cfvo type="max"/>
        <color rgb="FFF8696B"/>
        <color rgb="FFFFEB84"/>
        <color rgb="FF63BE7B"/>
      </colorScale>
    </cfRule>
  </conditionalFormatting>
  <conditionalFormatting sqref="F5269:F5270">
    <cfRule type="colorScale" priority="3066">
      <colorScale>
        <cfvo type="min"/>
        <cfvo type="percentile" val="50"/>
        <cfvo type="max"/>
        <color rgb="FFF8696B"/>
        <color rgb="FFFFEB84"/>
        <color rgb="FF63BE7B"/>
      </colorScale>
    </cfRule>
  </conditionalFormatting>
  <conditionalFormatting sqref="F5274:F5275">
    <cfRule type="colorScale" priority="3071">
      <colorScale>
        <cfvo type="min"/>
        <cfvo type="percentile" val="50"/>
        <cfvo type="max"/>
        <color rgb="FFF8696B"/>
        <color rgb="FFFFEB84"/>
        <color rgb="FF63BE7B"/>
      </colorScale>
    </cfRule>
  </conditionalFormatting>
  <conditionalFormatting sqref="F5279">
    <cfRule type="colorScale" priority="3076">
      <colorScale>
        <cfvo type="min"/>
        <cfvo type="percentile" val="50"/>
        <cfvo type="max"/>
        <color rgb="FFF8696B"/>
        <color rgb="FFFFEB84"/>
        <color rgb="FF63BE7B"/>
      </colorScale>
    </cfRule>
  </conditionalFormatting>
  <conditionalFormatting sqref="F5283:F5284">
    <cfRule type="colorScale" priority="3081">
      <colorScale>
        <cfvo type="min"/>
        <cfvo type="percentile" val="50"/>
        <cfvo type="max"/>
        <color rgb="FFF8696B"/>
        <color rgb="FFFFEB84"/>
        <color rgb="FF63BE7B"/>
      </colorScale>
    </cfRule>
  </conditionalFormatting>
  <conditionalFormatting sqref="F5288:F5289">
    <cfRule type="colorScale" priority="3086">
      <colorScale>
        <cfvo type="min"/>
        <cfvo type="percentile" val="50"/>
        <cfvo type="max"/>
        <color rgb="FFF8696B"/>
        <color rgb="FFFFEB84"/>
        <color rgb="FF63BE7B"/>
      </colorScale>
    </cfRule>
  </conditionalFormatting>
  <conditionalFormatting sqref="F5293:F5296">
    <cfRule type="colorScale" priority="3091">
      <colorScale>
        <cfvo type="min"/>
        <cfvo type="percentile" val="50"/>
        <cfvo type="max"/>
        <color rgb="FFF8696B"/>
        <color rgb="FFFFEB84"/>
        <color rgb="FF63BE7B"/>
      </colorScale>
    </cfRule>
  </conditionalFormatting>
  <conditionalFormatting sqref="F5304:F5305">
    <cfRule type="colorScale" priority="3101">
      <colorScale>
        <cfvo type="min"/>
        <cfvo type="percentile" val="50"/>
        <cfvo type="max"/>
        <color rgb="FFF8696B"/>
        <color rgb="FFFFEB84"/>
        <color rgb="FF63BE7B"/>
      </colorScale>
    </cfRule>
  </conditionalFormatting>
  <conditionalFormatting sqref="F5313:F5314">
    <cfRule type="colorScale" priority="3111">
      <colorScale>
        <cfvo type="min"/>
        <cfvo type="percentile" val="50"/>
        <cfvo type="max"/>
        <color rgb="FFF8696B"/>
        <color rgb="FFFFEB84"/>
        <color rgb="FF63BE7B"/>
      </colorScale>
    </cfRule>
  </conditionalFormatting>
  <conditionalFormatting sqref="F5318:F5319">
    <cfRule type="colorScale" priority="3116">
      <colorScale>
        <cfvo type="min"/>
        <cfvo type="percentile" val="50"/>
        <cfvo type="max"/>
        <color rgb="FFF8696B"/>
        <color rgb="FFFFEB84"/>
        <color rgb="FF63BE7B"/>
      </colorScale>
    </cfRule>
  </conditionalFormatting>
  <conditionalFormatting sqref="F5323:F5324">
    <cfRule type="colorScale" priority="3121">
      <colorScale>
        <cfvo type="min"/>
        <cfvo type="percentile" val="50"/>
        <cfvo type="max"/>
        <color rgb="FFF8696B"/>
        <color rgb="FFFFEB84"/>
        <color rgb="FF63BE7B"/>
      </colorScale>
    </cfRule>
  </conditionalFormatting>
  <conditionalFormatting sqref="F5328:F5329">
    <cfRule type="colorScale" priority="3126">
      <colorScale>
        <cfvo type="min"/>
        <cfvo type="percentile" val="50"/>
        <cfvo type="max"/>
        <color rgb="FFF8696B"/>
        <color rgb="FFFFEB84"/>
        <color rgb="FF63BE7B"/>
      </colorScale>
    </cfRule>
  </conditionalFormatting>
  <conditionalFormatting sqref="F5333:F5334">
    <cfRule type="colorScale" priority="3131">
      <colorScale>
        <cfvo type="min"/>
        <cfvo type="percentile" val="50"/>
        <cfvo type="max"/>
        <color rgb="FFF8696B"/>
        <color rgb="FFFFEB84"/>
        <color rgb="FF63BE7B"/>
      </colorScale>
    </cfRule>
  </conditionalFormatting>
  <conditionalFormatting sqref="F5338:F5339">
    <cfRule type="colorScale" priority="3136">
      <colorScale>
        <cfvo type="min"/>
        <cfvo type="percentile" val="50"/>
        <cfvo type="max"/>
        <color rgb="FFF8696B"/>
        <color rgb="FFFFEB84"/>
        <color rgb="FF63BE7B"/>
      </colorScale>
    </cfRule>
  </conditionalFormatting>
  <conditionalFormatting sqref="F5343:F5344">
    <cfRule type="colorScale" priority="3141">
      <colorScale>
        <cfvo type="min"/>
        <cfvo type="percentile" val="50"/>
        <cfvo type="max"/>
        <color rgb="FFF8696B"/>
        <color rgb="FFFFEB84"/>
        <color rgb="FF63BE7B"/>
      </colorScale>
    </cfRule>
  </conditionalFormatting>
  <conditionalFormatting sqref="F5348:F5349">
    <cfRule type="colorScale" priority="3146">
      <colorScale>
        <cfvo type="min"/>
        <cfvo type="percentile" val="50"/>
        <cfvo type="max"/>
        <color rgb="FFF8696B"/>
        <color rgb="FFFFEB84"/>
        <color rgb="FF63BE7B"/>
      </colorScale>
    </cfRule>
  </conditionalFormatting>
  <conditionalFormatting sqref="F5353">
    <cfRule type="colorScale" priority="3151">
      <colorScale>
        <cfvo type="min"/>
        <cfvo type="percentile" val="50"/>
        <cfvo type="max"/>
        <color rgb="FFF8696B"/>
        <color rgb="FFFFEB84"/>
        <color rgb="FF63BE7B"/>
      </colorScale>
    </cfRule>
  </conditionalFormatting>
  <conditionalFormatting sqref="F5357:F5358">
    <cfRule type="colorScale" priority="3156">
      <colorScale>
        <cfvo type="min"/>
        <cfvo type="percentile" val="50"/>
        <cfvo type="max"/>
        <color rgb="FFF8696B"/>
        <color rgb="FFFFEB84"/>
        <color rgb="FF63BE7B"/>
      </colorScale>
    </cfRule>
  </conditionalFormatting>
  <conditionalFormatting sqref="F5362:F5363">
    <cfRule type="colorScale" priority="3161">
      <colorScale>
        <cfvo type="min"/>
        <cfvo type="percentile" val="50"/>
        <cfvo type="max"/>
        <color rgb="FFF8696B"/>
        <color rgb="FFFFEB84"/>
        <color rgb="FF63BE7B"/>
      </colorScale>
    </cfRule>
  </conditionalFormatting>
  <conditionalFormatting sqref="F5367:F5370">
    <cfRule type="colorScale" priority="3166">
      <colorScale>
        <cfvo type="min"/>
        <cfvo type="percentile" val="50"/>
        <cfvo type="max"/>
        <color rgb="FFF8696B"/>
        <color rgb="FFFFEB84"/>
        <color rgb="FF63BE7B"/>
      </colorScale>
    </cfRule>
  </conditionalFormatting>
  <conditionalFormatting sqref="F5378">
    <cfRule type="colorScale" priority="3176">
      <colorScale>
        <cfvo type="min"/>
        <cfvo type="percentile" val="50"/>
        <cfvo type="max"/>
        <color rgb="FFF8696B"/>
        <color rgb="FFFFEB84"/>
        <color rgb="FF63BE7B"/>
      </colorScale>
    </cfRule>
  </conditionalFormatting>
  <conditionalFormatting sqref="F5386">
    <cfRule type="colorScale" priority="3186">
      <colorScale>
        <cfvo type="min"/>
        <cfvo type="percentile" val="50"/>
        <cfvo type="max"/>
        <color rgb="FFF8696B"/>
        <color rgb="FFFFEB84"/>
        <color rgb="FF63BE7B"/>
      </colorScale>
    </cfRule>
  </conditionalFormatting>
  <conditionalFormatting sqref="F5390">
    <cfRule type="colorScale" priority="3191">
      <colorScale>
        <cfvo type="min"/>
        <cfvo type="percentile" val="50"/>
        <cfvo type="max"/>
        <color rgb="FFF8696B"/>
        <color rgb="FFFFEB84"/>
        <color rgb="FF63BE7B"/>
      </colorScale>
    </cfRule>
  </conditionalFormatting>
  <conditionalFormatting sqref="F5394">
    <cfRule type="colorScale" priority="3196">
      <colorScale>
        <cfvo type="min"/>
        <cfvo type="percentile" val="50"/>
        <cfvo type="max"/>
        <color rgb="FFF8696B"/>
        <color rgb="FFFFEB84"/>
        <color rgb="FF63BE7B"/>
      </colorScale>
    </cfRule>
  </conditionalFormatting>
  <conditionalFormatting sqref="F5398">
    <cfRule type="colorScale" priority="3201">
      <colorScale>
        <cfvo type="min"/>
        <cfvo type="percentile" val="50"/>
        <cfvo type="max"/>
        <color rgb="FFF8696B"/>
        <color rgb="FFFFEB84"/>
        <color rgb="FF63BE7B"/>
      </colorScale>
    </cfRule>
  </conditionalFormatting>
  <conditionalFormatting sqref="F5402">
    <cfRule type="colorScale" priority="3206">
      <colorScale>
        <cfvo type="min"/>
        <cfvo type="percentile" val="50"/>
        <cfvo type="max"/>
        <color rgb="FFF8696B"/>
        <color rgb="FFFFEB84"/>
        <color rgb="FF63BE7B"/>
      </colorScale>
    </cfRule>
  </conditionalFormatting>
  <conditionalFormatting sqref="F5406:F5407">
    <cfRule type="colorScale" priority="3211">
      <colorScale>
        <cfvo type="min"/>
        <cfvo type="percentile" val="50"/>
        <cfvo type="max"/>
        <color rgb="FFF8696B"/>
        <color rgb="FFFFEB84"/>
        <color rgb="FF63BE7B"/>
      </colorScale>
    </cfRule>
  </conditionalFormatting>
  <conditionalFormatting sqref="F5411">
    <cfRule type="colorScale" priority="3216">
      <colorScale>
        <cfvo type="min"/>
        <cfvo type="percentile" val="50"/>
        <cfvo type="max"/>
        <color rgb="FFF8696B"/>
        <color rgb="FFFFEB84"/>
        <color rgb="FF63BE7B"/>
      </colorScale>
    </cfRule>
  </conditionalFormatting>
  <conditionalFormatting sqref="F5415">
    <cfRule type="colorScale" priority="3221">
      <colorScale>
        <cfvo type="min"/>
        <cfvo type="percentile" val="50"/>
        <cfvo type="max"/>
        <color rgb="FFF8696B"/>
        <color rgb="FFFFEB84"/>
        <color rgb="FF63BE7B"/>
      </colorScale>
    </cfRule>
  </conditionalFormatting>
  <conditionalFormatting sqref="F5419">
    <cfRule type="colorScale" priority="3226">
      <colorScale>
        <cfvo type="min"/>
        <cfvo type="percentile" val="50"/>
        <cfvo type="max"/>
        <color rgb="FFF8696B"/>
        <color rgb="FFFFEB84"/>
        <color rgb="FF63BE7B"/>
      </colorScale>
    </cfRule>
  </conditionalFormatting>
  <conditionalFormatting sqref="F5423:F5424">
    <cfRule type="colorScale" priority="3231">
      <colorScale>
        <cfvo type="min"/>
        <cfvo type="percentile" val="50"/>
        <cfvo type="max"/>
        <color rgb="FFF8696B"/>
        <color rgb="FFFFEB84"/>
        <color rgb="FF63BE7B"/>
      </colorScale>
    </cfRule>
  </conditionalFormatting>
  <conditionalFormatting sqref="F5428">
    <cfRule type="colorScale" priority="3236">
      <colorScale>
        <cfvo type="min"/>
        <cfvo type="percentile" val="50"/>
        <cfvo type="max"/>
        <color rgb="FFF8696B"/>
        <color rgb="FFFFEB84"/>
        <color rgb="FF63BE7B"/>
      </colorScale>
    </cfRule>
  </conditionalFormatting>
  <conditionalFormatting sqref="F5432:F5433">
    <cfRule type="colorScale" priority="3241">
      <colorScale>
        <cfvo type="min"/>
        <cfvo type="percentile" val="50"/>
        <cfvo type="max"/>
        <color rgb="FFF8696B"/>
        <color rgb="FFFFEB84"/>
        <color rgb="FF63BE7B"/>
      </colorScale>
    </cfRule>
  </conditionalFormatting>
  <conditionalFormatting sqref="F5441:F5442">
    <cfRule type="colorScale" priority="3251">
      <colorScale>
        <cfvo type="min"/>
        <cfvo type="percentile" val="50"/>
        <cfvo type="max"/>
        <color rgb="FFF8696B"/>
        <color rgb="FFFFEB84"/>
        <color rgb="FF63BE7B"/>
      </colorScale>
    </cfRule>
  </conditionalFormatting>
  <conditionalFormatting sqref="F5450:F5451">
    <cfRule type="colorScale" priority="3261">
      <colorScale>
        <cfvo type="min"/>
        <cfvo type="percentile" val="50"/>
        <cfvo type="max"/>
        <color rgb="FFF8696B"/>
        <color rgb="FFFFEB84"/>
        <color rgb="FF63BE7B"/>
      </colorScale>
    </cfRule>
  </conditionalFormatting>
  <conditionalFormatting sqref="F5455:F5456">
    <cfRule type="colorScale" priority="3266">
      <colorScale>
        <cfvo type="min"/>
        <cfvo type="percentile" val="50"/>
        <cfvo type="max"/>
        <color rgb="FFF8696B"/>
        <color rgb="FFFFEB84"/>
        <color rgb="FF63BE7B"/>
      </colorScale>
    </cfRule>
  </conditionalFormatting>
  <conditionalFormatting sqref="F5460:F5461">
    <cfRule type="colorScale" priority="3271">
      <colorScale>
        <cfvo type="min"/>
        <cfvo type="percentile" val="50"/>
        <cfvo type="max"/>
        <color rgb="FFF8696B"/>
        <color rgb="FFFFEB84"/>
        <color rgb="FF63BE7B"/>
      </colorScale>
    </cfRule>
  </conditionalFormatting>
  <conditionalFormatting sqref="F5465:F5466">
    <cfRule type="colorScale" priority="3276">
      <colorScale>
        <cfvo type="min"/>
        <cfvo type="percentile" val="50"/>
        <cfvo type="max"/>
        <color rgb="FFF8696B"/>
        <color rgb="FFFFEB84"/>
        <color rgb="FF63BE7B"/>
      </colorScale>
    </cfRule>
  </conditionalFormatting>
  <conditionalFormatting sqref="F5470:F5471">
    <cfRule type="colorScale" priority="3281">
      <colorScale>
        <cfvo type="min"/>
        <cfvo type="percentile" val="50"/>
        <cfvo type="max"/>
        <color rgb="FFF8696B"/>
        <color rgb="FFFFEB84"/>
        <color rgb="FF63BE7B"/>
      </colorScale>
    </cfRule>
  </conditionalFormatting>
  <conditionalFormatting sqref="F5475:F5476">
    <cfRule type="colorScale" priority="3286">
      <colorScale>
        <cfvo type="min"/>
        <cfvo type="percentile" val="50"/>
        <cfvo type="max"/>
        <color rgb="FFF8696B"/>
        <color rgb="FFFFEB84"/>
        <color rgb="FF63BE7B"/>
      </colorScale>
    </cfRule>
  </conditionalFormatting>
  <conditionalFormatting sqref="F5480:F5481">
    <cfRule type="colorScale" priority="3291">
      <colorScale>
        <cfvo type="min"/>
        <cfvo type="percentile" val="50"/>
        <cfvo type="max"/>
        <color rgb="FFF8696B"/>
        <color rgb="FFFFEB84"/>
        <color rgb="FF63BE7B"/>
      </colorScale>
    </cfRule>
  </conditionalFormatting>
  <conditionalFormatting sqref="F5485:F5486">
    <cfRule type="colorScale" priority="3296">
      <colorScale>
        <cfvo type="min"/>
        <cfvo type="percentile" val="50"/>
        <cfvo type="max"/>
        <color rgb="FFF8696B"/>
        <color rgb="FFFFEB84"/>
        <color rgb="FF63BE7B"/>
      </colorScale>
    </cfRule>
  </conditionalFormatting>
  <conditionalFormatting sqref="F5490">
    <cfRule type="colorScale" priority="3301">
      <colorScale>
        <cfvo type="min"/>
        <cfvo type="percentile" val="50"/>
        <cfvo type="max"/>
        <color rgb="FFF8696B"/>
        <color rgb="FFFFEB84"/>
        <color rgb="FF63BE7B"/>
      </colorScale>
    </cfRule>
  </conditionalFormatting>
  <conditionalFormatting sqref="F5494:F5495">
    <cfRule type="colorScale" priority="3306">
      <colorScale>
        <cfvo type="min"/>
        <cfvo type="percentile" val="50"/>
        <cfvo type="max"/>
        <color rgb="FFF8696B"/>
        <color rgb="FFFFEB84"/>
        <color rgb="FF63BE7B"/>
      </colorScale>
    </cfRule>
  </conditionalFormatting>
  <conditionalFormatting sqref="F5499:F5500">
    <cfRule type="colorScale" priority="3311">
      <colorScale>
        <cfvo type="min"/>
        <cfvo type="percentile" val="50"/>
        <cfvo type="max"/>
        <color rgb="FFF8696B"/>
        <color rgb="FFFFEB84"/>
        <color rgb="FF63BE7B"/>
      </colorScale>
    </cfRule>
  </conditionalFormatting>
  <conditionalFormatting sqref="F5504:F5507">
    <cfRule type="colorScale" priority="3316">
      <colorScale>
        <cfvo type="min"/>
        <cfvo type="percentile" val="50"/>
        <cfvo type="max"/>
        <color rgb="FFF8696B"/>
        <color rgb="FFFFEB84"/>
        <color rgb="FF63BE7B"/>
      </colorScale>
    </cfRule>
  </conditionalFormatting>
  <conditionalFormatting sqref="F5515">
    <cfRule type="colorScale" priority="3326">
      <colorScale>
        <cfvo type="min"/>
        <cfvo type="percentile" val="50"/>
        <cfvo type="max"/>
        <color rgb="FFF8696B"/>
        <color rgb="FFFFEB84"/>
        <color rgb="FF63BE7B"/>
      </colorScale>
    </cfRule>
  </conditionalFormatting>
  <conditionalFormatting sqref="F5523">
    <cfRule type="colorScale" priority="3336">
      <colorScale>
        <cfvo type="min"/>
        <cfvo type="percentile" val="50"/>
        <cfvo type="max"/>
        <color rgb="FFF8696B"/>
        <color rgb="FFFFEB84"/>
        <color rgb="FF63BE7B"/>
      </colorScale>
    </cfRule>
  </conditionalFormatting>
  <conditionalFormatting sqref="F5527">
    <cfRule type="colorScale" priority="3341">
      <colorScale>
        <cfvo type="min"/>
        <cfvo type="percentile" val="50"/>
        <cfvo type="max"/>
        <color rgb="FFF8696B"/>
        <color rgb="FFFFEB84"/>
        <color rgb="FF63BE7B"/>
      </colorScale>
    </cfRule>
  </conditionalFormatting>
  <conditionalFormatting sqref="F5531">
    <cfRule type="colorScale" priority="3346">
      <colorScale>
        <cfvo type="min"/>
        <cfvo type="percentile" val="50"/>
        <cfvo type="max"/>
        <color rgb="FFF8696B"/>
        <color rgb="FFFFEB84"/>
        <color rgb="FF63BE7B"/>
      </colorScale>
    </cfRule>
  </conditionalFormatting>
  <conditionalFormatting sqref="F5535">
    <cfRule type="colorScale" priority="3351">
      <colorScale>
        <cfvo type="min"/>
        <cfvo type="percentile" val="50"/>
        <cfvo type="max"/>
        <color rgb="FFF8696B"/>
        <color rgb="FFFFEB84"/>
        <color rgb="FF63BE7B"/>
      </colorScale>
    </cfRule>
  </conditionalFormatting>
  <conditionalFormatting sqref="F5539:F5540">
    <cfRule type="colorScale" priority="3356">
      <colorScale>
        <cfvo type="min"/>
        <cfvo type="percentile" val="50"/>
        <cfvo type="max"/>
        <color rgb="FFF8696B"/>
        <color rgb="FFFFEB84"/>
        <color rgb="FF63BE7B"/>
      </colorScale>
    </cfRule>
  </conditionalFormatting>
  <conditionalFormatting sqref="F5544:F5545">
    <cfRule type="colorScale" priority="3361">
      <colorScale>
        <cfvo type="min"/>
        <cfvo type="percentile" val="50"/>
        <cfvo type="max"/>
        <color rgb="FFF8696B"/>
        <color rgb="FFFFEB84"/>
        <color rgb="FF63BE7B"/>
      </colorScale>
    </cfRule>
  </conditionalFormatting>
  <conditionalFormatting sqref="F5549:F5550">
    <cfRule type="colorScale" priority="3366">
      <colorScale>
        <cfvo type="min"/>
        <cfvo type="percentile" val="50"/>
        <cfvo type="max"/>
        <color rgb="FFF8696B"/>
        <color rgb="FFFFEB84"/>
        <color rgb="FF63BE7B"/>
      </colorScale>
    </cfRule>
  </conditionalFormatting>
  <conditionalFormatting sqref="F5554:F5555">
    <cfRule type="colorScale" priority="3371">
      <colorScale>
        <cfvo type="min"/>
        <cfvo type="percentile" val="50"/>
        <cfvo type="max"/>
        <color rgb="FFF8696B"/>
        <color rgb="FFFFEB84"/>
        <color rgb="FF63BE7B"/>
      </colorScale>
    </cfRule>
  </conditionalFormatting>
  <conditionalFormatting sqref="F5559">
    <cfRule type="colorScale" priority="3376">
      <colorScale>
        <cfvo type="min"/>
        <cfvo type="percentile" val="50"/>
        <cfvo type="max"/>
        <color rgb="FFF8696B"/>
        <color rgb="FFFFEB84"/>
        <color rgb="FF63BE7B"/>
      </colorScale>
    </cfRule>
  </conditionalFormatting>
  <conditionalFormatting sqref="F5563:F5564">
    <cfRule type="colorScale" priority="3381">
      <colorScale>
        <cfvo type="min"/>
        <cfvo type="percentile" val="50"/>
        <cfvo type="max"/>
        <color rgb="FFF8696B"/>
        <color rgb="FFFFEB84"/>
        <color rgb="FF63BE7B"/>
      </colorScale>
    </cfRule>
  </conditionalFormatting>
  <conditionalFormatting sqref="F5568:F5569">
    <cfRule type="colorScale" priority="3386">
      <colorScale>
        <cfvo type="min"/>
        <cfvo type="percentile" val="50"/>
        <cfvo type="max"/>
        <color rgb="FFF8696B"/>
        <color rgb="FFFFEB84"/>
        <color rgb="FF63BE7B"/>
      </colorScale>
    </cfRule>
  </conditionalFormatting>
  <conditionalFormatting sqref="F5573:F5574">
    <cfRule type="colorScale" priority="3391">
      <colorScale>
        <cfvo type="min"/>
        <cfvo type="percentile" val="50"/>
        <cfvo type="max"/>
        <color rgb="FFF8696B"/>
        <color rgb="FFFFEB84"/>
        <color rgb="FF63BE7B"/>
      </colorScale>
    </cfRule>
  </conditionalFormatting>
  <conditionalFormatting sqref="F5582:F5583">
    <cfRule type="colorScale" priority="3401">
      <colorScale>
        <cfvo type="min"/>
        <cfvo type="percentile" val="50"/>
        <cfvo type="max"/>
        <color rgb="FFF8696B"/>
        <color rgb="FFFFEB84"/>
        <color rgb="FF63BE7B"/>
      </colorScale>
    </cfRule>
  </conditionalFormatting>
  <conditionalFormatting sqref="F5591:F5592">
    <cfRule type="colorScale" priority="3411">
      <colorScale>
        <cfvo type="min"/>
        <cfvo type="percentile" val="50"/>
        <cfvo type="max"/>
        <color rgb="FFF8696B"/>
        <color rgb="FFFFEB84"/>
        <color rgb="FF63BE7B"/>
      </colorScale>
    </cfRule>
  </conditionalFormatting>
  <conditionalFormatting sqref="F5596">
    <cfRule type="colorScale" priority="3416">
      <colorScale>
        <cfvo type="min"/>
        <cfvo type="percentile" val="50"/>
        <cfvo type="max"/>
        <color rgb="FFF8696B"/>
        <color rgb="FFFFEB84"/>
        <color rgb="FF63BE7B"/>
      </colorScale>
    </cfRule>
  </conditionalFormatting>
  <conditionalFormatting sqref="F5600:F5601">
    <cfRule type="colorScale" priority="3421">
      <colorScale>
        <cfvo type="min"/>
        <cfvo type="percentile" val="50"/>
        <cfvo type="max"/>
        <color rgb="FFF8696B"/>
        <color rgb="FFFFEB84"/>
        <color rgb="FF63BE7B"/>
      </colorScale>
    </cfRule>
  </conditionalFormatting>
  <conditionalFormatting sqref="F5605:F5606">
    <cfRule type="colorScale" priority="3426">
      <colorScale>
        <cfvo type="min"/>
        <cfvo type="percentile" val="50"/>
        <cfvo type="max"/>
        <color rgb="FFF8696B"/>
        <color rgb="FFFFEB84"/>
        <color rgb="FF63BE7B"/>
      </colorScale>
    </cfRule>
  </conditionalFormatting>
  <conditionalFormatting sqref="F5610:F5611">
    <cfRule type="colorScale" priority="3431">
      <colorScale>
        <cfvo type="min"/>
        <cfvo type="percentile" val="50"/>
        <cfvo type="max"/>
        <color rgb="FFF8696B"/>
        <color rgb="FFFFEB84"/>
        <color rgb="FF63BE7B"/>
      </colorScale>
    </cfRule>
  </conditionalFormatting>
  <conditionalFormatting sqref="F5615:F5616">
    <cfRule type="colorScale" priority="3436">
      <colorScale>
        <cfvo type="min"/>
        <cfvo type="percentile" val="50"/>
        <cfvo type="max"/>
        <color rgb="FFF8696B"/>
        <color rgb="FFFFEB84"/>
        <color rgb="FF63BE7B"/>
      </colorScale>
    </cfRule>
  </conditionalFormatting>
  <conditionalFormatting sqref="F5620">
    <cfRule type="colorScale" priority="3441">
      <colorScale>
        <cfvo type="min"/>
        <cfvo type="percentile" val="50"/>
        <cfvo type="max"/>
        <color rgb="FFF8696B"/>
        <color rgb="FFFFEB84"/>
        <color rgb="FF63BE7B"/>
      </colorScale>
    </cfRule>
  </conditionalFormatting>
  <conditionalFormatting sqref="F5624:F5625">
    <cfRule type="colorScale" priority="3446">
      <colorScale>
        <cfvo type="min"/>
        <cfvo type="percentile" val="50"/>
        <cfvo type="max"/>
        <color rgb="FFF8696B"/>
        <color rgb="FFFFEB84"/>
        <color rgb="FF63BE7B"/>
      </colorScale>
    </cfRule>
  </conditionalFormatting>
  <conditionalFormatting sqref="F5629">
    <cfRule type="colorScale" priority="3451">
      <colorScale>
        <cfvo type="min"/>
        <cfvo type="percentile" val="50"/>
        <cfvo type="max"/>
        <color rgb="FFF8696B"/>
        <color rgb="FFFFEB84"/>
        <color rgb="FF63BE7B"/>
      </colorScale>
    </cfRule>
  </conditionalFormatting>
  <conditionalFormatting sqref="F5633:F5634">
    <cfRule type="colorScale" priority="3456">
      <colorScale>
        <cfvo type="min"/>
        <cfvo type="percentile" val="50"/>
        <cfvo type="max"/>
        <color rgb="FFF8696B"/>
        <color rgb="FFFFEB84"/>
        <color rgb="FF63BE7B"/>
      </colorScale>
    </cfRule>
  </conditionalFormatting>
  <conditionalFormatting sqref="F5638">
    <cfRule type="colorScale" priority="3461">
      <colorScale>
        <cfvo type="min"/>
        <cfvo type="percentile" val="50"/>
        <cfvo type="max"/>
        <color rgb="FFF8696B"/>
        <color rgb="FFFFEB84"/>
        <color rgb="FF63BE7B"/>
      </colorScale>
    </cfRule>
  </conditionalFormatting>
  <conditionalFormatting sqref="F5642:F5645">
    <cfRule type="colorScale" priority="3466">
      <colorScale>
        <cfvo type="min"/>
        <cfvo type="percentile" val="50"/>
        <cfvo type="max"/>
        <color rgb="FFF8696B"/>
        <color rgb="FFFFEB84"/>
        <color rgb="FF63BE7B"/>
      </colorScale>
    </cfRule>
  </conditionalFormatting>
  <conditionalFormatting sqref="F5653">
    <cfRule type="colorScale" priority="3476">
      <colorScale>
        <cfvo type="min"/>
        <cfvo type="percentile" val="50"/>
        <cfvo type="max"/>
        <color rgb="FFF8696B"/>
        <color rgb="FFFFEB84"/>
        <color rgb="FF63BE7B"/>
      </colorScale>
    </cfRule>
  </conditionalFormatting>
  <conditionalFormatting sqref="F5661">
    <cfRule type="colorScale" priority="3486">
      <colorScale>
        <cfvo type="min"/>
        <cfvo type="percentile" val="50"/>
        <cfvo type="max"/>
        <color rgb="FFF8696B"/>
        <color rgb="FFFFEB84"/>
        <color rgb="FF63BE7B"/>
      </colorScale>
    </cfRule>
  </conditionalFormatting>
  <conditionalFormatting sqref="F5665">
    <cfRule type="colorScale" priority="3491">
      <colorScale>
        <cfvo type="min"/>
        <cfvo type="percentile" val="50"/>
        <cfvo type="max"/>
        <color rgb="FFF8696B"/>
        <color rgb="FFFFEB84"/>
        <color rgb="FF63BE7B"/>
      </colorScale>
    </cfRule>
  </conditionalFormatting>
  <conditionalFormatting sqref="F5669">
    <cfRule type="colorScale" priority="3496">
      <colorScale>
        <cfvo type="min"/>
        <cfvo type="percentile" val="50"/>
        <cfvo type="max"/>
        <color rgb="FFF8696B"/>
        <color rgb="FFFFEB84"/>
        <color rgb="FF63BE7B"/>
      </colorScale>
    </cfRule>
  </conditionalFormatting>
  <conditionalFormatting sqref="F5673">
    <cfRule type="colorScale" priority="3501">
      <colorScale>
        <cfvo type="min"/>
        <cfvo type="percentile" val="50"/>
        <cfvo type="max"/>
        <color rgb="FFF8696B"/>
        <color rgb="FFFFEB84"/>
        <color rgb="FF63BE7B"/>
      </colorScale>
    </cfRule>
  </conditionalFormatting>
  <conditionalFormatting sqref="F5677">
    <cfRule type="colorScale" priority="3506">
      <colorScale>
        <cfvo type="min"/>
        <cfvo type="percentile" val="50"/>
        <cfvo type="max"/>
        <color rgb="FFF8696B"/>
        <color rgb="FFFFEB84"/>
        <color rgb="FF63BE7B"/>
      </colorScale>
    </cfRule>
  </conditionalFormatting>
  <conditionalFormatting sqref="F5681">
    <cfRule type="colorScale" priority="3511">
      <colorScale>
        <cfvo type="min"/>
        <cfvo type="percentile" val="50"/>
        <cfvo type="max"/>
        <color rgb="FFF8696B"/>
        <color rgb="FFFFEB84"/>
        <color rgb="FF63BE7B"/>
      </colorScale>
    </cfRule>
  </conditionalFormatting>
  <conditionalFormatting sqref="F5685">
    <cfRule type="colorScale" priority="3516">
      <colorScale>
        <cfvo type="min"/>
        <cfvo type="percentile" val="50"/>
        <cfvo type="max"/>
        <color rgb="FFF8696B"/>
        <color rgb="FFFFEB84"/>
        <color rgb="FF63BE7B"/>
      </colorScale>
    </cfRule>
  </conditionalFormatting>
  <conditionalFormatting sqref="F5689">
    <cfRule type="colorScale" priority="3521">
      <colorScale>
        <cfvo type="min"/>
        <cfvo type="percentile" val="50"/>
        <cfvo type="max"/>
        <color rgb="FFF8696B"/>
        <color rgb="FFFFEB84"/>
        <color rgb="FF63BE7B"/>
      </colorScale>
    </cfRule>
  </conditionalFormatting>
  <conditionalFormatting sqref="F5693">
    <cfRule type="colorScale" priority="3526">
      <colorScale>
        <cfvo type="min"/>
        <cfvo type="percentile" val="50"/>
        <cfvo type="max"/>
        <color rgb="FFF8696B"/>
        <color rgb="FFFFEB84"/>
        <color rgb="FF63BE7B"/>
      </colorScale>
    </cfRule>
  </conditionalFormatting>
  <conditionalFormatting sqref="F5697">
    <cfRule type="colorScale" priority="3531">
      <colorScale>
        <cfvo type="min"/>
        <cfvo type="percentile" val="50"/>
        <cfvo type="max"/>
        <color rgb="FFF8696B"/>
        <color rgb="FFFFEB84"/>
        <color rgb="FF63BE7B"/>
      </colorScale>
    </cfRule>
  </conditionalFormatting>
  <conditionalFormatting sqref="F5701">
    <cfRule type="colorScale" priority="3536">
      <colorScale>
        <cfvo type="min"/>
        <cfvo type="percentile" val="50"/>
        <cfvo type="max"/>
        <color rgb="FFF8696B"/>
        <color rgb="FFFFEB84"/>
        <color rgb="FF63BE7B"/>
      </colorScale>
    </cfRule>
  </conditionalFormatting>
  <conditionalFormatting sqref="F5705">
    <cfRule type="colorScale" priority="3541">
      <colorScale>
        <cfvo type="min"/>
        <cfvo type="percentile" val="50"/>
        <cfvo type="max"/>
        <color rgb="FFF8696B"/>
        <color rgb="FFFFEB84"/>
        <color rgb="FF63BE7B"/>
      </colorScale>
    </cfRule>
  </conditionalFormatting>
  <conditionalFormatting sqref="F5713:F5714">
    <cfRule type="colorScale" priority="3551">
      <colorScale>
        <cfvo type="min"/>
        <cfvo type="percentile" val="50"/>
        <cfvo type="max"/>
        <color rgb="FFF8696B"/>
        <color rgb="FFFFEB84"/>
        <color rgb="FF63BE7B"/>
      </colorScale>
    </cfRule>
  </conditionalFormatting>
  <conditionalFormatting sqref="F5722:F5723">
    <cfRule type="colorScale" priority="3561">
      <colorScale>
        <cfvo type="min"/>
        <cfvo type="percentile" val="50"/>
        <cfvo type="max"/>
        <color rgb="FFF8696B"/>
        <color rgb="FFFFEB84"/>
        <color rgb="FF63BE7B"/>
      </colorScale>
    </cfRule>
  </conditionalFormatting>
  <conditionalFormatting sqref="F5727:F5728">
    <cfRule type="colorScale" priority="3566">
      <colorScale>
        <cfvo type="min"/>
        <cfvo type="percentile" val="50"/>
        <cfvo type="max"/>
        <color rgb="FFF8696B"/>
        <color rgb="FFFFEB84"/>
        <color rgb="FF63BE7B"/>
      </colorScale>
    </cfRule>
  </conditionalFormatting>
  <conditionalFormatting sqref="F5732:F5733">
    <cfRule type="colorScale" priority="3571">
      <colorScale>
        <cfvo type="min"/>
        <cfvo type="percentile" val="50"/>
        <cfvo type="max"/>
        <color rgb="FFF8696B"/>
        <color rgb="FFFFEB84"/>
        <color rgb="FF63BE7B"/>
      </colorScale>
    </cfRule>
  </conditionalFormatting>
  <conditionalFormatting sqref="F5737:F5738">
    <cfRule type="colorScale" priority="3576">
      <colorScale>
        <cfvo type="min"/>
        <cfvo type="percentile" val="50"/>
        <cfvo type="max"/>
        <color rgb="FFF8696B"/>
        <color rgb="FFFFEB84"/>
        <color rgb="FF63BE7B"/>
      </colorScale>
    </cfRule>
  </conditionalFormatting>
  <conditionalFormatting sqref="F5742:F5743">
    <cfRule type="colorScale" priority="3581">
      <colorScale>
        <cfvo type="min"/>
        <cfvo type="percentile" val="50"/>
        <cfvo type="max"/>
        <color rgb="FFF8696B"/>
        <color rgb="FFFFEB84"/>
        <color rgb="FF63BE7B"/>
      </colorScale>
    </cfRule>
  </conditionalFormatting>
  <conditionalFormatting sqref="F5747:F5748">
    <cfRule type="colorScale" priority="3586">
      <colorScale>
        <cfvo type="min"/>
        <cfvo type="percentile" val="50"/>
        <cfvo type="max"/>
        <color rgb="FFF8696B"/>
        <color rgb="FFFFEB84"/>
        <color rgb="FF63BE7B"/>
      </colorScale>
    </cfRule>
  </conditionalFormatting>
  <conditionalFormatting sqref="F5752:F5753">
    <cfRule type="colorScale" priority="3591">
      <colorScale>
        <cfvo type="min"/>
        <cfvo type="percentile" val="50"/>
        <cfvo type="max"/>
        <color rgb="FFF8696B"/>
        <color rgb="FFFFEB84"/>
        <color rgb="FF63BE7B"/>
      </colorScale>
    </cfRule>
  </conditionalFormatting>
  <conditionalFormatting sqref="F5757:F5758">
    <cfRule type="colorScale" priority="3596">
      <colorScale>
        <cfvo type="min"/>
        <cfvo type="percentile" val="50"/>
        <cfvo type="max"/>
        <color rgb="FFF8696B"/>
        <color rgb="FFFFEB84"/>
        <color rgb="FF63BE7B"/>
      </colorScale>
    </cfRule>
  </conditionalFormatting>
  <conditionalFormatting sqref="F5762">
    <cfRule type="colorScale" priority="3601">
      <colorScale>
        <cfvo type="min"/>
        <cfvo type="percentile" val="50"/>
        <cfvo type="max"/>
        <color rgb="FFF8696B"/>
        <color rgb="FFFFEB84"/>
        <color rgb="FF63BE7B"/>
      </colorScale>
    </cfRule>
  </conditionalFormatting>
  <conditionalFormatting sqref="F5766:F5767">
    <cfRule type="colorScale" priority="3606">
      <colorScale>
        <cfvo type="min"/>
        <cfvo type="percentile" val="50"/>
        <cfvo type="max"/>
        <color rgb="FFF8696B"/>
        <color rgb="FFFFEB84"/>
        <color rgb="FF63BE7B"/>
      </colorScale>
    </cfRule>
  </conditionalFormatting>
  <conditionalFormatting sqref="F5771:F5772">
    <cfRule type="colorScale" priority="3611">
      <colorScale>
        <cfvo type="min"/>
        <cfvo type="percentile" val="50"/>
        <cfvo type="max"/>
        <color rgb="FFF8696B"/>
        <color rgb="FFFFEB84"/>
        <color rgb="FF63BE7B"/>
      </colorScale>
    </cfRule>
  </conditionalFormatting>
  <conditionalFormatting sqref="F5776:F5779">
    <cfRule type="colorScale" priority="3616">
      <colorScale>
        <cfvo type="min"/>
        <cfvo type="percentile" val="50"/>
        <cfvo type="max"/>
        <color rgb="FFF8696B"/>
        <color rgb="FFFFEB84"/>
        <color rgb="FF63BE7B"/>
      </colorScale>
    </cfRule>
  </conditionalFormatting>
  <conditionalFormatting sqref="F5787:F5788">
    <cfRule type="colorScale" priority="3626">
      <colorScale>
        <cfvo type="min"/>
        <cfvo type="percentile" val="50"/>
        <cfvo type="max"/>
        <color rgb="FFF8696B"/>
        <color rgb="FFFFEB84"/>
        <color rgb="FF63BE7B"/>
      </colorScale>
    </cfRule>
  </conditionalFormatting>
  <conditionalFormatting sqref="F5796">
    <cfRule type="colorScale" priority="3636">
      <colorScale>
        <cfvo type="min"/>
        <cfvo type="percentile" val="50"/>
        <cfvo type="max"/>
        <color rgb="FFF8696B"/>
        <color rgb="FFFFEB84"/>
        <color rgb="FF63BE7B"/>
      </colorScale>
    </cfRule>
  </conditionalFormatting>
  <conditionalFormatting sqref="F5800">
    <cfRule type="colorScale" priority="3641">
      <colorScale>
        <cfvo type="min"/>
        <cfvo type="percentile" val="50"/>
        <cfvo type="max"/>
        <color rgb="FFF8696B"/>
        <color rgb="FFFFEB84"/>
        <color rgb="FF63BE7B"/>
      </colorScale>
    </cfRule>
  </conditionalFormatting>
  <conditionalFormatting sqref="F5804:F5805">
    <cfRule type="colorScale" priority="3646">
      <colorScale>
        <cfvo type="min"/>
        <cfvo type="percentile" val="50"/>
        <cfvo type="max"/>
        <color rgb="FFF8696B"/>
        <color rgb="FFFFEB84"/>
        <color rgb="FF63BE7B"/>
      </colorScale>
    </cfRule>
  </conditionalFormatting>
  <conditionalFormatting sqref="F5809">
    <cfRule type="colorScale" priority="3651">
      <colorScale>
        <cfvo type="min"/>
        <cfvo type="percentile" val="50"/>
        <cfvo type="max"/>
        <color rgb="FFF8696B"/>
        <color rgb="FFFFEB84"/>
        <color rgb="FF63BE7B"/>
      </colorScale>
    </cfRule>
  </conditionalFormatting>
  <conditionalFormatting sqref="F5813:F5814">
    <cfRule type="colorScale" priority="3656">
      <colorScale>
        <cfvo type="min"/>
        <cfvo type="percentile" val="50"/>
        <cfvo type="max"/>
        <color rgb="FFF8696B"/>
        <color rgb="FFFFEB84"/>
        <color rgb="FF63BE7B"/>
      </colorScale>
    </cfRule>
  </conditionalFormatting>
  <conditionalFormatting sqref="F5818">
    <cfRule type="colorScale" priority="3661">
      <colorScale>
        <cfvo type="min"/>
        <cfvo type="percentile" val="50"/>
        <cfvo type="max"/>
        <color rgb="FFF8696B"/>
        <color rgb="FFFFEB84"/>
        <color rgb="FF63BE7B"/>
      </colorScale>
    </cfRule>
  </conditionalFormatting>
  <conditionalFormatting sqref="F5822:F5823">
    <cfRule type="colorScale" priority="3666">
      <colorScale>
        <cfvo type="min"/>
        <cfvo type="percentile" val="50"/>
        <cfvo type="max"/>
        <color rgb="FFF8696B"/>
        <color rgb="FFFFEB84"/>
        <color rgb="FF63BE7B"/>
      </colorScale>
    </cfRule>
  </conditionalFormatting>
  <conditionalFormatting sqref="F5827">
    <cfRule type="colorScale" priority="3671">
      <colorScale>
        <cfvo type="min"/>
        <cfvo type="percentile" val="50"/>
        <cfvo type="max"/>
        <color rgb="FFF8696B"/>
        <color rgb="FFFFEB84"/>
        <color rgb="FF63BE7B"/>
      </colorScale>
    </cfRule>
  </conditionalFormatting>
  <conditionalFormatting sqref="F5831">
    <cfRule type="colorScale" priority="3676">
      <colorScale>
        <cfvo type="min"/>
        <cfvo type="percentile" val="50"/>
        <cfvo type="max"/>
        <color rgb="FFF8696B"/>
        <color rgb="FFFFEB84"/>
        <color rgb="FF63BE7B"/>
      </colorScale>
    </cfRule>
  </conditionalFormatting>
  <conditionalFormatting sqref="F5835:F5836">
    <cfRule type="colorScale" priority="3681">
      <colorScale>
        <cfvo type="min"/>
        <cfvo type="percentile" val="50"/>
        <cfvo type="max"/>
        <color rgb="FFF8696B"/>
        <color rgb="FFFFEB84"/>
        <color rgb="FF63BE7B"/>
      </colorScale>
    </cfRule>
  </conditionalFormatting>
  <conditionalFormatting sqref="F5840:F5841">
    <cfRule type="colorScale" priority="3686">
      <colorScale>
        <cfvo type="min"/>
        <cfvo type="percentile" val="50"/>
        <cfvo type="max"/>
        <color rgb="FFF8696B"/>
        <color rgb="FFFFEB84"/>
        <color rgb="FF63BE7B"/>
      </colorScale>
    </cfRule>
  </conditionalFormatting>
  <conditionalFormatting sqref="F5845:F5847">
    <cfRule type="colorScale" priority="3691">
      <colorScale>
        <cfvo type="min"/>
        <cfvo type="percentile" val="50"/>
        <cfvo type="max"/>
        <color rgb="FFF8696B"/>
        <color rgb="FFFFEB84"/>
        <color rgb="FF63BE7B"/>
      </colorScale>
    </cfRule>
  </conditionalFormatting>
  <conditionalFormatting sqref="F5855:F5856">
    <cfRule type="colorScale" priority="3701">
      <colorScale>
        <cfvo type="min"/>
        <cfvo type="percentile" val="50"/>
        <cfvo type="max"/>
        <color rgb="FFF8696B"/>
        <color rgb="FFFFEB84"/>
        <color rgb="FF63BE7B"/>
      </colorScale>
    </cfRule>
  </conditionalFormatting>
  <conditionalFormatting sqref="F5864:F5865">
    <cfRule type="colorScale" priority="3711">
      <colorScale>
        <cfvo type="min"/>
        <cfvo type="percentile" val="50"/>
        <cfvo type="max"/>
        <color rgb="FFF8696B"/>
        <color rgb="FFFFEB84"/>
        <color rgb="FF63BE7B"/>
      </colorScale>
    </cfRule>
  </conditionalFormatting>
  <conditionalFormatting sqref="F5869">
    <cfRule type="colorScale" priority="3716">
      <colorScale>
        <cfvo type="min"/>
        <cfvo type="percentile" val="50"/>
        <cfvo type="max"/>
        <color rgb="FFF8696B"/>
        <color rgb="FFFFEB84"/>
        <color rgb="FF63BE7B"/>
      </colorScale>
    </cfRule>
  </conditionalFormatting>
  <conditionalFormatting sqref="F5873:F5874">
    <cfRule type="colorScale" priority="3721">
      <colorScale>
        <cfvo type="min"/>
        <cfvo type="percentile" val="50"/>
        <cfvo type="max"/>
        <color rgb="FFF8696B"/>
        <color rgb="FFFFEB84"/>
        <color rgb="FF63BE7B"/>
      </colorScale>
    </cfRule>
  </conditionalFormatting>
  <conditionalFormatting sqref="F5878:F5879">
    <cfRule type="colorScale" priority="3726">
      <colorScale>
        <cfvo type="min"/>
        <cfvo type="percentile" val="50"/>
        <cfvo type="max"/>
        <color rgb="FFF8696B"/>
        <color rgb="FFFFEB84"/>
        <color rgb="FF63BE7B"/>
      </colorScale>
    </cfRule>
  </conditionalFormatting>
  <conditionalFormatting sqref="F5883:F5884">
    <cfRule type="colorScale" priority="3731">
      <colorScale>
        <cfvo type="min"/>
        <cfvo type="percentile" val="50"/>
        <cfvo type="max"/>
        <color rgb="FFF8696B"/>
        <color rgb="FFFFEB84"/>
        <color rgb="FF63BE7B"/>
      </colorScale>
    </cfRule>
  </conditionalFormatting>
  <conditionalFormatting sqref="F5888:F5889">
    <cfRule type="colorScale" priority="3736">
      <colorScale>
        <cfvo type="min"/>
        <cfvo type="percentile" val="50"/>
        <cfvo type="max"/>
        <color rgb="FFF8696B"/>
        <color rgb="FFFFEB84"/>
        <color rgb="FF63BE7B"/>
      </colorScale>
    </cfRule>
  </conditionalFormatting>
  <conditionalFormatting sqref="F5893:F5894">
    <cfRule type="colorScale" priority="3741">
      <colorScale>
        <cfvo type="min"/>
        <cfvo type="percentile" val="50"/>
        <cfvo type="max"/>
        <color rgb="FFF8696B"/>
        <color rgb="FFFFEB84"/>
        <color rgb="FF63BE7B"/>
      </colorScale>
    </cfRule>
  </conditionalFormatting>
  <conditionalFormatting sqref="F5898:F5899">
    <cfRule type="colorScale" priority="3746">
      <colorScale>
        <cfvo type="min"/>
        <cfvo type="percentile" val="50"/>
        <cfvo type="max"/>
        <color rgb="FFF8696B"/>
        <color rgb="FFFFEB84"/>
        <color rgb="FF63BE7B"/>
      </colorScale>
    </cfRule>
  </conditionalFormatting>
  <conditionalFormatting sqref="F5903">
    <cfRule type="colorScale" priority="3751">
      <colorScale>
        <cfvo type="min"/>
        <cfvo type="percentile" val="50"/>
        <cfvo type="max"/>
        <color rgb="FFF8696B"/>
        <color rgb="FFFFEB84"/>
        <color rgb="FF63BE7B"/>
      </colorScale>
    </cfRule>
  </conditionalFormatting>
  <conditionalFormatting sqref="F5907:F5908">
    <cfRule type="colorScale" priority="3756">
      <colorScale>
        <cfvo type="min"/>
        <cfvo type="percentile" val="50"/>
        <cfvo type="max"/>
        <color rgb="FFF8696B"/>
        <color rgb="FFFFEB84"/>
        <color rgb="FF63BE7B"/>
      </colorScale>
    </cfRule>
  </conditionalFormatting>
  <conditionalFormatting sqref="F5912:F5913">
    <cfRule type="colorScale" priority="3761">
      <colorScale>
        <cfvo type="min"/>
        <cfvo type="percentile" val="50"/>
        <cfvo type="max"/>
        <color rgb="FFF8696B"/>
        <color rgb="FFFFEB84"/>
        <color rgb="FF63BE7B"/>
      </colorScale>
    </cfRule>
  </conditionalFormatting>
  <conditionalFormatting sqref="F5917:F5920">
    <cfRule type="colorScale" priority="3766">
      <colorScale>
        <cfvo type="min"/>
        <cfvo type="percentile" val="50"/>
        <cfvo type="max"/>
        <color rgb="FFF8696B"/>
        <color rgb="FFFFEB84"/>
        <color rgb="FF63BE7B"/>
      </colorScale>
    </cfRule>
  </conditionalFormatting>
  <conditionalFormatting sqref="F5928">
    <cfRule type="colorScale" priority="3776">
      <colorScale>
        <cfvo type="min"/>
        <cfvo type="percentile" val="50"/>
        <cfvo type="max"/>
        <color rgb="FFF8696B"/>
        <color rgb="FFFFEB84"/>
        <color rgb="FF63BE7B"/>
      </colorScale>
    </cfRule>
  </conditionalFormatting>
  <conditionalFormatting sqref="F5936">
    <cfRule type="colorScale" priority="3786">
      <colorScale>
        <cfvo type="min"/>
        <cfvo type="percentile" val="50"/>
        <cfvo type="max"/>
        <color rgb="FFF8696B"/>
        <color rgb="FFFFEB84"/>
        <color rgb="FF63BE7B"/>
      </colorScale>
    </cfRule>
  </conditionalFormatting>
  <conditionalFormatting sqref="F5940">
    <cfRule type="colorScale" priority="3791">
      <colorScale>
        <cfvo type="min"/>
        <cfvo type="percentile" val="50"/>
        <cfvo type="max"/>
        <color rgb="FFF8696B"/>
        <color rgb="FFFFEB84"/>
        <color rgb="FF63BE7B"/>
      </colorScale>
    </cfRule>
  </conditionalFormatting>
  <conditionalFormatting sqref="F5944">
    <cfRule type="colorScale" priority="3796">
      <colorScale>
        <cfvo type="min"/>
        <cfvo type="percentile" val="50"/>
        <cfvo type="max"/>
        <color rgb="FFF8696B"/>
        <color rgb="FFFFEB84"/>
        <color rgb="FF63BE7B"/>
      </colorScale>
    </cfRule>
  </conditionalFormatting>
  <conditionalFormatting sqref="F5948:F5949">
    <cfRule type="colorScale" priority="3801">
      <colorScale>
        <cfvo type="min"/>
        <cfvo type="percentile" val="50"/>
        <cfvo type="max"/>
        <color rgb="FFF8696B"/>
        <color rgb="FFFFEB84"/>
        <color rgb="FF63BE7B"/>
      </colorScale>
    </cfRule>
  </conditionalFormatting>
  <conditionalFormatting sqref="F5953:F5954">
    <cfRule type="colorScale" priority="3806">
      <colorScale>
        <cfvo type="min"/>
        <cfvo type="percentile" val="50"/>
        <cfvo type="max"/>
        <color rgb="FFF8696B"/>
        <color rgb="FFFFEB84"/>
        <color rgb="FF63BE7B"/>
      </colorScale>
    </cfRule>
  </conditionalFormatting>
  <conditionalFormatting sqref="F5958:F5959">
    <cfRule type="colorScale" priority="3811">
      <colorScale>
        <cfvo type="min"/>
        <cfvo type="percentile" val="50"/>
        <cfvo type="max"/>
        <color rgb="FFF8696B"/>
        <color rgb="FFFFEB84"/>
        <color rgb="FF63BE7B"/>
      </colorScale>
    </cfRule>
  </conditionalFormatting>
  <conditionalFormatting sqref="F5963:F5964">
    <cfRule type="colorScale" priority="3816">
      <colorScale>
        <cfvo type="min"/>
        <cfvo type="percentile" val="50"/>
        <cfvo type="max"/>
        <color rgb="FFF8696B"/>
        <color rgb="FFFFEB84"/>
        <color rgb="FF63BE7B"/>
      </colorScale>
    </cfRule>
  </conditionalFormatting>
  <conditionalFormatting sqref="F5968:F5969">
    <cfRule type="colorScale" priority="3821">
      <colorScale>
        <cfvo type="min"/>
        <cfvo type="percentile" val="50"/>
        <cfvo type="max"/>
        <color rgb="FFF8696B"/>
        <color rgb="FFFFEB84"/>
        <color rgb="FF63BE7B"/>
      </colorScale>
    </cfRule>
  </conditionalFormatting>
  <conditionalFormatting sqref="F5973">
    <cfRule type="colorScale" priority="3826">
      <colorScale>
        <cfvo type="min"/>
        <cfvo type="percentile" val="50"/>
        <cfvo type="max"/>
        <color rgb="FFF8696B"/>
        <color rgb="FFFFEB84"/>
        <color rgb="FF63BE7B"/>
      </colorScale>
    </cfRule>
  </conditionalFormatting>
  <conditionalFormatting sqref="F5977:F5978">
    <cfRule type="colorScale" priority="3831">
      <colorScale>
        <cfvo type="min"/>
        <cfvo type="percentile" val="50"/>
        <cfvo type="max"/>
        <color rgb="FFF8696B"/>
        <color rgb="FFFFEB84"/>
        <color rgb="FF63BE7B"/>
      </colorScale>
    </cfRule>
  </conditionalFormatting>
  <conditionalFormatting sqref="F5982:F5983">
    <cfRule type="colorScale" priority="3836">
      <colorScale>
        <cfvo type="min"/>
        <cfvo type="percentile" val="50"/>
        <cfvo type="max"/>
        <color rgb="FFF8696B"/>
        <color rgb="FFFFEB84"/>
        <color rgb="FF63BE7B"/>
      </colorScale>
    </cfRule>
  </conditionalFormatting>
  <conditionalFormatting sqref="F5987:F5990">
    <cfRule type="colorScale" priority="3841">
      <colorScale>
        <cfvo type="min"/>
        <cfvo type="percentile" val="50"/>
        <cfvo type="max"/>
        <color rgb="FFF8696B"/>
        <color rgb="FFFFEB84"/>
        <color rgb="FF63BE7B"/>
      </colorScale>
    </cfRule>
  </conditionalFormatting>
  <conditionalFormatting sqref="F5998">
    <cfRule type="colorScale" priority="3851">
      <colorScale>
        <cfvo type="min"/>
        <cfvo type="percentile" val="50"/>
        <cfvo type="max"/>
        <color rgb="FFF8696B"/>
        <color rgb="FFFFEB84"/>
        <color rgb="FF63BE7B"/>
      </colorScale>
    </cfRule>
  </conditionalFormatting>
  <conditionalFormatting sqref="F6006">
    <cfRule type="colorScale" priority="3861">
      <colorScale>
        <cfvo type="min"/>
        <cfvo type="percentile" val="50"/>
        <cfvo type="max"/>
        <color rgb="FFF8696B"/>
        <color rgb="FFFFEB84"/>
        <color rgb="FF63BE7B"/>
      </colorScale>
    </cfRule>
  </conditionalFormatting>
  <conditionalFormatting sqref="F6010">
    <cfRule type="colorScale" priority="3866">
      <colorScale>
        <cfvo type="min"/>
        <cfvo type="percentile" val="50"/>
        <cfvo type="max"/>
        <color rgb="FFF8696B"/>
        <color rgb="FFFFEB84"/>
        <color rgb="FF63BE7B"/>
      </colorScale>
    </cfRule>
  </conditionalFormatting>
  <conditionalFormatting sqref="F6014">
    <cfRule type="colorScale" priority="3871">
      <colorScale>
        <cfvo type="min"/>
        <cfvo type="percentile" val="50"/>
        <cfvo type="max"/>
        <color rgb="FFF8696B"/>
        <color rgb="FFFFEB84"/>
        <color rgb="FF63BE7B"/>
      </colorScale>
    </cfRule>
  </conditionalFormatting>
  <conditionalFormatting sqref="F6018">
    <cfRule type="colorScale" priority="3876">
      <colorScale>
        <cfvo type="min"/>
        <cfvo type="percentile" val="50"/>
        <cfvo type="max"/>
        <color rgb="FFF8696B"/>
        <color rgb="FFFFEB84"/>
        <color rgb="FF63BE7B"/>
      </colorScale>
    </cfRule>
  </conditionalFormatting>
  <conditionalFormatting sqref="F6022:F6023">
    <cfRule type="colorScale" priority="3881">
      <colorScale>
        <cfvo type="min"/>
        <cfvo type="percentile" val="50"/>
        <cfvo type="max"/>
        <color rgb="FFF8696B"/>
        <color rgb="FFFFEB84"/>
        <color rgb="FF63BE7B"/>
      </colorScale>
    </cfRule>
  </conditionalFormatting>
  <conditionalFormatting sqref="F6027">
    <cfRule type="colorScale" priority="3886">
      <colorScale>
        <cfvo type="min"/>
        <cfvo type="percentile" val="50"/>
        <cfvo type="max"/>
        <color rgb="FFF8696B"/>
        <color rgb="FFFFEB84"/>
        <color rgb="FF63BE7B"/>
      </colorScale>
    </cfRule>
  </conditionalFormatting>
  <conditionalFormatting sqref="F6031:F6032">
    <cfRule type="colorScale" priority="3891">
      <colorScale>
        <cfvo type="min"/>
        <cfvo type="percentile" val="50"/>
        <cfvo type="max"/>
        <color rgb="FFF8696B"/>
        <color rgb="FFFFEB84"/>
        <color rgb="FF63BE7B"/>
      </colorScale>
    </cfRule>
  </conditionalFormatting>
  <conditionalFormatting sqref="F6036">
    <cfRule type="colorScale" priority="3896">
      <colorScale>
        <cfvo type="min"/>
        <cfvo type="percentile" val="50"/>
        <cfvo type="max"/>
        <color rgb="FFF8696B"/>
        <color rgb="FFFFEB84"/>
        <color rgb="FF63BE7B"/>
      </colorScale>
    </cfRule>
  </conditionalFormatting>
  <conditionalFormatting sqref="F6040">
    <cfRule type="colorScale" priority="3901">
      <colorScale>
        <cfvo type="min"/>
        <cfvo type="percentile" val="50"/>
        <cfvo type="max"/>
        <color rgb="FFF8696B"/>
        <color rgb="FFFFEB84"/>
        <color rgb="FF63BE7B"/>
      </colorScale>
    </cfRule>
  </conditionalFormatting>
  <conditionalFormatting sqref="F6044:F6045">
    <cfRule type="colorScale" priority="3906">
      <colorScale>
        <cfvo type="min"/>
        <cfvo type="percentile" val="50"/>
        <cfvo type="max"/>
        <color rgb="FFF8696B"/>
        <color rgb="FFFFEB84"/>
        <color rgb="FF63BE7B"/>
      </colorScale>
    </cfRule>
  </conditionalFormatting>
  <conditionalFormatting sqref="F6049:F6050">
    <cfRule type="colorScale" priority="3911">
      <colorScale>
        <cfvo type="min"/>
        <cfvo type="percentile" val="50"/>
        <cfvo type="max"/>
        <color rgb="FFF8696B"/>
        <color rgb="FFFFEB84"/>
        <color rgb="FF63BE7B"/>
      </colorScale>
    </cfRule>
  </conditionalFormatting>
  <conditionalFormatting sqref="F6054:F6056">
    <cfRule type="colorScale" priority="3916">
      <colorScale>
        <cfvo type="min"/>
        <cfvo type="percentile" val="50"/>
        <cfvo type="max"/>
        <color rgb="FFF8696B"/>
        <color rgb="FFFFEB84"/>
        <color rgb="FF63BE7B"/>
      </colorScale>
    </cfRule>
  </conditionalFormatting>
  <conditionalFormatting sqref="F6064:F6065">
    <cfRule type="colorScale" priority="3926">
      <colorScale>
        <cfvo type="min"/>
        <cfvo type="percentile" val="50"/>
        <cfvo type="max"/>
        <color rgb="FFF8696B"/>
        <color rgb="FFFFEB84"/>
        <color rgb="FF63BE7B"/>
      </colorScale>
    </cfRule>
  </conditionalFormatting>
  <conditionalFormatting sqref="F6073:F6074">
    <cfRule type="colorScale" priority="3936">
      <colorScale>
        <cfvo type="min"/>
        <cfvo type="percentile" val="50"/>
        <cfvo type="max"/>
        <color rgb="FFF8696B"/>
        <color rgb="FFFFEB84"/>
        <color rgb="FF63BE7B"/>
      </colorScale>
    </cfRule>
  </conditionalFormatting>
  <conditionalFormatting sqref="F6078">
    <cfRule type="colorScale" priority="3941">
      <colorScale>
        <cfvo type="min"/>
        <cfvo type="percentile" val="50"/>
        <cfvo type="max"/>
        <color rgb="FFF8696B"/>
        <color rgb="FFFFEB84"/>
        <color rgb="FF63BE7B"/>
      </colorScale>
    </cfRule>
  </conditionalFormatting>
  <conditionalFormatting sqref="F6082:F6083">
    <cfRule type="colorScale" priority="3946">
      <colorScale>
        <cfvo type="min"/>
        <cfvo type="percentile" val="50"/>
        <cfvo type="max"/>
        <color rgb="FFF8696B"/>
        <color rgb="FFFFEB84"/>
        <color rgb="FF63BE7B"/>
      </colorScale>
    </cfRule>
  </conditionalFormatting>
  <conditionalFormatting sqref="F6087">
    <cfRule type="colorScale" priority="3951">
      <colorScale>
        <cfvo type="min"/>
        <cfvo type="percentile" val="50"/>
        <cfvo type="max"/>
        <color rgb="FFF8696B"/>
        <color rgb="FFFFEB84"/>
        <color rgb="FF63BE7B"/>
      </colorScale>
    </cfRule>
  </conditionalFormatting>
  <conditionalFormatting sqref="F6091:F6092">
    <cfRule type="colorScale" priority="3956">
      <colorScale>
        <cfvo type="min"/>
        <cfvo type="percentile" val="50"/>
        <cfvo type="max"/>
        <color rgb="FFF8696B"/>
        <color rgb="FFFFEB84"/>
        <color rgb="FF63BE7B"/>
      </colorScale>
    </cfRule>
  </conditionalFormatting>
  <conditionalFormatting sqref="F6096:F6097">
    <cfRule type="colorScale" priority="3961">
      <colorScale>
        <cfvo type="min"/>
        <cfvo type="percentile" val="50"/>
        <cfvo type="max"/>
        <color rgb="FFF8696B"/>
        <color rgb="FFFFEB84"/>
        <color rgb="FF63BE7B"/>
      </colorScale>
    </cfRule>
  </conditionalFormatting>
  <conditionalFormatting sqref="F6101:F6102">
    <cfRule type="colorScale" priority="3966">
      <colorScale>
        <cfvo type="min"/>
        <cfvo type="percentile" val="50"/>
        <cfvo type="max"/>
        <color rgb="FFF8696B"/>
        <color rgb="FFFFEB84"/>
        <color rgb="FF63BE7B"/>
      </colorScale>
    </cfRule>
  </conditionalFormatting>
  <conditionalFormatting sqref="F6106">
    <cfRule type="colorScale" priority="3971">
      <colorScale>
        <cfvo type="min"/>
        <cfvo type="percentile" val="50"/>
        <cfvo type="max"/>
        <color rgb="FFF8696B"/>
        <color rgb="FFFFEB84"/>
        <color rgb="FF63BE7B"/>
      </colorScale>
    </cfRule>
  </conditionalFormatting>
  <conditionalFormatting sqref="F6110">
    <cfRule type="colorScale" priority="3976">
      <colorScale>
        <cfvo type="min"/>
        <cfvo type="percentile" val="50"/>
        <cfvo type="max"/>
        <color rgb="FFF8696B"/>
        <color rgb="FFFFEB84"/>
        <color rgb="FF63BE7B"/>
      </colorScale>
    </cfRule>
  </conditionalFormatting>
  <conditionalFormatting sqref="F6114:F6115">
    <cfRule type="colorScale" priority="3981">
      <colorScale>
        <cfvo type="min"/>
        <cfvo type="percentile" val="50"/>
        <cfvo type="max"/>
        <color rgb="FFF8696B"/>
        <color rgb="FFFFEB84"/>
        <color rgb="FF63BE7B"/>
      </colorScale>
    </cfRule>
  </conditionalFormatting>
  <conditionalFormatting sqref="F6119:F6120">
    <cfRule type="colorScale" priority="3986">
      <colorScale>
        <cfvo type="min"/>
        <cfvo type="percentile" val="50"/>
        <cfvo type="max"/>
        <color rgb="FFF8696B"/>
        <color rgb="FFFFEB84"/>
        <color rgb="FF63BE7B"/>
      </colorScale>
    </cfRule>
  </conditionalFormatting>
  <conditionalFormatting sqref="F6124:F6127">
    <cfRule type="colorScale" priority="3991">
      <colorScale>
        <cfvo type="min"/>
        <cfvo type="percentile" val="50"/>
        <cfvo type="max"/>
        <color rgb="FFF8696B"/>
        <color rgb="FFFFEB84"/>
        <color rgb="FF63BE7B"/>
      </colorScale>
    </cfRule>
  </conditionalFormatting>
  <conditionalFormatting sqref="F6135:F6136">
    <cfRule type="colorScale" priority="4001">
      <colorScale>
        <cfvo type="min"/>
        <cfvo type="percentile" val="50"/>
        <cfvo type="max"/>
        <color rgb="FFF8696B"/>
        <color rgb="FFFFEB84"/>
        <color rgb="FF63BE7B"/>
      </colorScale>
    </cfRule>
  </conditionalFormatting>
  <conditionalFormatting sqref="F6144:F6145">
    <cfRule type="colorScale" priority="4011">
      <colorScale>
        <cfvo type="min"/>
        <cfvo type="percentile" val="50"/>
        <cfvo type="max"/>
        <color rgb="FFF8696B"/>
        <color rgb="FFFFEB84"/>
        <color rgb="FF63BE7B"/>
      </colorScale>
    </cfRule>
  </conditionalFormatting>
  <conditionalFormatting sqref="F6149">
    <cfRule type="colorScale" priority="4016">
      <colorScale>
        <cfvo type="min"/>
        <cfvo type="percentile" val="50"/>
        <cfvo type="max"/>
        <color rgb="FFF8696B"/>
        <color rgb="FFFFEB84"/>
        <color rgb="FF63BE7B"/>
      </colorScale>
    </cfRule>
  </conditionalFormatting>
  <conditionalFormatting sqref="F6153:F6154">
    <cfRule type="colorScale" priority="4021">
      <colorScale>
        <cfvo type="min"/>
        <cfvo type="percentile" val="50"/>
        <cfvo type="max"/>
        <color rgb="FFF8696B"/>
        <color rgb="FFFFEB84"/>
        <color rgb="FF63BE7B"/>
      </colorScale>
    </cfRule>
  </conditionalFormatting>
  <conditionalFormatting sqref="F6158:F6159">
    <cfRule type="colorScale" priority="4026">
      <colorScale>
        <cfvo type="min"/>
        <cfvo type="percentile" val="50"/>
        <cfvo type="max"/>
        <color rgb="FFF8696B"/>
        <color rgb="FFFFEB84"/>
        <color rgb="FF63BE7B"/>
      </colorScale>
    </cfRule>
  </conditionalFormatting>
  <conditionalFormatting sqref="F6163:F6164">
    <cfRule type="colorScale" priority="4031">
      <colorScale>
        <cfvo type="min"/>
        <cfvo type="percentile" val="50"/>
        <cfvo type="max"/>
        <color rgb="FFF8696B"/>
        <color rgb="FFFFEB84"/>
        <color rgb="FF63BE7B"/>
      </colorScale>
    </cfRule>
  </conditionalFormatting>
  <conditionalFormatting sqref="F6168:F6169">
    <cfRule type="colorScale" priority="4036">
      <colorScale>
        <cfvo type="min"/>
        <cfvo type="percentile" val="50"/>
        <cfvo type="max"/>
        <color rgb="FFF8696B"/>
        <color rgb="FFFFEB84"/>
        <color rgb="FF63BE7B"/>
      </colorScale>
    </cfRule>
  </conditionalFormatting>
  <conditionalFormatting sqref="F6173:F6174">
    <cfRule type="colorScale" priority="4041">
      <colorScale>
        <cfvo type="min"/>
        <cfvo type="percentile" val="50"/>
        <cfvo type="max"/>
        <color rgb="FFF8696B"/>
        <color rgb="FFFFEB84"/>
        <color rgb="FF63BE7B"/>
      </colorScale>
    </cfRule>
  </conditionalFormatting>
  <conditionalFormatting sqref="F6178:F6179">
    <cfRule type="colorScale" priority="4046">
      <colorScale>
        <cfvo type="min"/>
        <cfvo type="percentile" val="50"/>
        <cfvo type="max"/>
        <color rgb="FFF8696B"/>
        <color rgb="FFFFEB84"/>
        <color rgb="FF63BE7B"/>
      </colorScale>
    </cfRule>
  </conditionalFormatting>
  <conditionalFormatting sqref="F6183">
    <cfRule type="colorScale" priority="4051">
      <colorScale>
        <cfvo type="min"/>
        <cfvo type="percentile" val="50"/>
        <cfvo type="max"/>
        <color rgb="FFF8696B"/>
        <color rgb="FFFFEB84"/>
        <color rgb="FF63BE7B"/>
      </colorScale>
    </cfRule>
  </conditionalFormatting>
  <conditionalFormatting sqref="F6187:F6188">
    <cfRule type="colorScale" priority="4056">
      <colorScale>
        <cfvo type="min"/>
        <cfvo type="percentile" val="50"/>
        <cfvo type="max"/>
        <color rgb="FFF8696B"/>
        <color rgb="FFFFEB84"/>
        <color rgb="FF63BE7B"/>
      </colorScale>
    </cfRule>
  </conditionalFormatting>
  <conditionalFormatting sqref="F6192:F6193">
    <cfRule type="colorScale" priority="4061">
      <colorScale>
        <cfvo type="min"/>
        <cfvo type="percentile" val="50"/>
        <cfvo type="max"/>
        <color rgb="FFF8696B"/>
        <color rgb="FFFFEB84"/>
        <color rgb="FF63BE7B"/>
      </colorScale>
    </cfRule>
  </conditionalFormatting>
  <conditionalFormatting sqref="F6197:F6200">
    <cfRule type="colorScale" priority="4066">
      <colorScale>
        <cfvo type="min"/>
        <cfvo type="percentile" val="50"/>
        <cfvo type="max"/>
        <color rgb="FFF8696B"/>
        <color rgb="FFFFEB84"/>
        <color rgb="FF63BE7B"/>
      </colorScale>
    </cfRule>
  </conditionalFormatting>
  <conditionalFormatting sqref="F6208">
    <cfRule type="colorScale" priority="4076">
      <colorScale>
        <cfvo type="min"/>
        <cfvo type="percentile" val="50"/>
        <cfvo type="max"/>
        <color rgb="FFF8696B"/>
        <color rgb="FFFFEB84"/>
        <color rgb="FF63BE7B"/>
      </colorScale>
    </cfRule>
  </conditionalFormatting>
  <conditionalFormatting sqref="F6216">
    <cfRule type="colorScale" priority="4086">
      <colorScale>
        <cfvo type="min"/>
        <cfvo type="percentile" val="50"/>
        <cfvo type="max"/>
        <color rgb="FFF8696B"/>
        <color rgb="FFFFEB84"/>
        <color rgb="FF63BE7B"/>
      </colorScale>
    </cfRule>
  </conditionalFormatting>
  <conditionalFormatting sqref="F6220">
    <cfRule type="colorScale" priority="4091">
      <colorScale>
        <cfvo type="min"/>
        <cfvo type="percentile" val="50"/>
        <cfvo type="max"/>
        <color rgb="FFF8696B"/>
        <color rgb="FFFFEB84"/>
        <color rgb="FF63BE7B"/>
      </colorScale>
    </cfRule>
  </conditionalFormatting>
  <conditionalFormatting sqref="F6224:F6225">
    <cfRule type="colorScale" priority="4096">
      <colorScale>
        <cfvo type="min"/>
        <cfvo type="percentile" val="50"/>
        <cfvo type="max"/>
        <color rgb="FFF8696B"/>
        <color rgb="FFFFEB84"/>
        <color rgb="FF63BE7B"/>
      </colorScale>
    </cfRule>
  </conditionalFormatting>
  <conditionalFormatting sqref="F6229">
    <cfRule type="colorScale" priority="4101">
      <colorScale>
        <cfvo type="min"/>
        <cfvo type="percentile" val="50"/>
        <cfvo type="max"/>
        <color rgb="FFF8696B"/>
        <color rgb="FFFFEB84"/>
        <color rgb="FF63BE7B"/>
      </colorScale>
    </cfRule>
  </conditionalFormatting>
  <conditionalFormatting sqref="F6233:F6234">
    <cfRule type="colorScale" priority="4106">
      <colorScale>
        <cfvo type="min"/>
        <cfvo type="percentile" val="50"/>
        <cfvo type="max"/>
        <color rgb="FFF8696B"/>
        <color rgb="FFFFEB84"/>
        <color rgb="FF63BE7B"/>
      </colorScale>
    </cfRule>
  </conditionalFormatting>
  <conditionalFormatting sqref="F6238:F6239">
    <cfRule type="colorScale" priority="4111">
      <colorScale>
        <cfvo type="min"/>
        <cfvo type="percentile" val="50"/>
        <cfvo type="max"/>
        <color rgb="FFF8696B"/>
        <color rgb="FFFFEB84"/>
        <color rgb="FF63BE7B"/>
      </colorScale>
    </cfRule>
  </conditionalFormatting>
  <conditionalFormatting sqref="F6243:F6244">
    <cfRule type="colorScale" priority="4116">
      <colorScale>
        <cfvo type="min"/>
        <cfvo type="percentile" val="50"/>
        <cfvo type="max"/>
        <color rgb="FFF8696B"/>
        <color rgb="FFFFEB84"/>
        <color rgb="FF63BE7B"/>
      </colorScale>
    </cfRule>
  </conditionalFormatting>
  <conditionalFormatting sqref="F6248:F6249">
    <cfRule type="colorScale" priority="4121">
      <colorScale>
        <cfvo type="min"/>
        <cfvo type="percentile" val="50"/>
        <cfvo type="max"/>
        <color rgb="FFF8696B"/>
        <color rgb="FFFFEB84"/>
        <color rgb="FF63BE7B"/>
      </colorScale>
    </cfRule>
  </conditionalFormatting>
  <conditionalFormatting sqref="F6253">
    <cfRule type="colorScale" priority="4126">
      <colorScale>
        <cfvo type="min"/>
        <cfvo type="percentile" val="50"/>
        <cfvo type="max"/>
        <color rgb="FFF8696B"/>
        <color rgb="FFFFEB84"/>
        <color rgb="FF63BE7B"/>
      </colorScale>
    </cfRule>
  </conditionalFormatting>
  <conditionalFormatting sqref="F6257:F6258">
    <cfRule type="colorScale" priority="4131">
      <colorScale>
        <cfvo type="min"/>
        <cfvo type="percentile" val="50"/>
        <cfvo type="max"/>
        <color rgb="FFF8696B"/>
        <color rgb="FFFFEB84"/>
        <color rgb="FF63BE7B"/>
      </colorScale>
    </cfRule>
  </conditionalFormatting>
  <conditionalFormatting sqref="F6262:F6263">
    <cfRule type="colorScale" priority="4136">
      <colorScale>
        <cfvo type="min"/>
        <cfvo type="percentile" val="50"/>
        <cfvo type="max"/>
        <color rgb="FFF8696B"/>
        <color rgb="FFFFEB84"/>
        <color rgb="FF63BE7B"/>
      </colorScale>
    </cfRule>
  </conditionalFormatting>
  <conditionalFormatting sqref="F6267:F6270">
    <cfRule type="colorScale" priority="4141">
      <colorScale>
        <cfvo type="min"/>
        <cfvo type="percentile" val="50"/>
        <cfvo type="max"/>
        <color rgb="FFF8696B"/>
        <color rgb="FFFFEB84"/>
        <color rgb="FF63BE7B"/>
      </colorScale>
    </cfRule>
  </conditionalFormatting>
  <conditionalFormatting sqref="F6870:F6871">
    <cfRule type="colorScale" priority="4391">
      <colorScale>
        <cfvo type="min"/>
        <cfvo type="percentile" val="50"/>
        <cfvo type="max"/>
        <color rgb="FFF8696B"/>
        <color rgb="FFFFEB84"/>
        <color rgb="FF63BE7B"/>
      </colorScale>
    </cfRule>
  </conditionalFormatting>
  <conditionalFormatting sqref="F6879:F6880">
    <cfRule type="colorScale" priority="4401">
      <colorScale>
        <cfvo type="min"/>
        <cfvo type="percentile" val="50"/>
        <cfvo type="max"/>
        <color rgb="FFF8696B"/>
        <color rgb="FFFFEB84"/>
        <color rgb="FF63BE7B"/>
      </colorScale>
    </cfRule>
  </conditionalFormatting>
  <conditionalFormatting sqref="F6884:F6885">
    <cfRule type="colorScale" priority="4406">
      <colorScale>
        <cfvo type="min"/>
        <cfvo type="percentile" val="50"/>
        <cfvo type="max"/>
        <color rgb="FFF8696B"/>
        <color rgb="FFFFEB84"/>
        <color rgb="FF63BE7B"/>
      </colorScale>
    </cfRule>
  </conditionalFormatting>
  <conditionalFormatting sqref="F6889:F6890">
    <cfRule type="colorScale" priority="4411">
      <colorScale>
        <cfvo type="min"/>
        <cfvo type="percentile" val="50"/>
        <cfvo type="max"/>
        <color rgb="FFF8696B"/>
        <color rgb="FFFFEB84"/>
        <color rgb="FF63BE7B"/>
      </colorScale>
    </cfRule>
  </conditionalFormatting>
  <conditionalFormatting sqref="F6894:F6895">
    <cfRule type="colorScale" priority="4416">
      <colorScale>
        <cfvo type="min"/>
        <cfvo type="percentile" val="50"/>
        <cfvo type="max"/>
        <color rgb="FFF8696B"/>
        <color rgb="FFFFEB84"/>
        <color rgb="FF63BE7B"/>
      </colorScale>
    </cfRule>
  </conditionalFormatting>
  <conditionalFormatting sqref="F6899:F6900">
    <cfRule type="colorScale" priority="4421">
      <colorScale>
        <cfvo type="min"/>
        <cfvo type="percentile" val="50"/>
        <cfvo type="max"/>
        <color rgb="FFF8696B"/>
        <color rgb="FFFFEB84"/>
        <color rgb="FF63BE7B"/>
      </colorScale>
    </cfRule>
  </conditionalFormatting>
  <conditionalFormatting sqref="F6904:F6905">
    <cfRule type="colorScale" priority="4426">
      <colorScale>
        <cfvo type="min"/>
        <cfvo type="percentile" val="50"/>
        <cfvo type="max"/>
        <color rgb="FFF8696B"/>
        <color rgb="FFFFEB84"/>
        <color rgb="FF63BE7B"/>
      </colorScale>
    </cfRule>
  </conditionalFormatting>
  <conditionalFormatting sqref="F6909:F6910">
    <cfRule type="colorScale" priority="4431">
      <colorScale>
        <cfvo type="min"/>
        <cfvo type="percentile" val="50"/>
        <cfvo type="max"/>
        <color rgb="FFF8696B"/>
        <color rgb="FFFFEB84"/>
        <color rgb="FF63BE7B"/>
      </colorScale>
    </cfRule>
  </conditionalFormatting>
  <conditionalFormatting sqref="F6914:F6915">
    <cfRule type="colorScale" priority="4436">
      <colorScale>
        <cfvo type="min"/>
        <cfvo type="percentile" val="50"/>
        <cfvo type="max"/>
        <color rgb="FFF8696B"/>
        <color rgb="FFFFEB84"/>
        <color rgb="FF63BE7B"/>
      </colorScale>
    </cfRule>
  </conditionalFormatting>
  <conditionalFormatting sqref="F6919">
    <cfRule type="colorScale" priority="4441">
      <colorScale>
        <cfvo type="min"/>
        <cfvo type="percentile" val="50"/>
        <cfvo type="max"/>
        <color rgb="FFF8696B"/>
        <color rgb="FFFFEB84"/>
        <color rgb="FF63BE7B"/>
      </colorScale>
    </cfRule>
  </conditionalFormatting>
  <conditionalFormatting sqref="F6923:F6924">
    <cfRule type="colorScale" priority="4446">
      <colorScale>
        <cfvo type="min"/>
        <cfvo type="percentile" val="50"/>
        <cfvo type="max"/>
        <color rgb="FFF8696B"/>
        <color rgb="FFFFEB84"/>
        <color rgb="FF63BE7B"/>
      </colorScale>
    </cfRule>
  </conditionalFormatting>
  <conditionalFormatting sqref="F6928:F6929">
    <cfRule type="colorScale" priority="4451">
      <colorScale>
        <cfvo type="min"/>
        <cfvo type="percentile" val="50"/>
        <cfvo type="max"/>
        <color rgb="FFF8696B"/>
        <color rgb="FFFFEB84"/>
        <color rgb="FF63BE7B"/>
      </colorScale>
    </cfRule>
  </conditionalFormatting>
  <conditionalFormatting sqref="F6933:F6936">
    <cfRule type="colorScale" priority="4456">
      <colorScale>
        <cfvo type="min"/>
        <cfvo type="percentile" val="50"/>
        <cfvo type="max"/>
        <color rgb="FFF8696B"/>
        <color rgb="FFFFEB84"/>
        <color rgb="FF63BE7B"/>
      </colorScale>
    </cfRule>
  </conditionalFormatting>
  <conditionalFormatting sqref="F6944:F6945">
    <cfRule type="colorScale" priority="4466">
      <colorScale>
        <cfvo type="min"/>
        <cfvo type="percentile" val="50"/>
        <cfvo type="max"/>
        <color rgb="FFF8696B"/>
        <color rgb="FFFFEB84"/>
        <color rgb="FF63BE7B"/>
      </colorScale>
    </cfRule>
  </conditionalFormatting>
  <conditionalFormatting sqref="F6953:F6954">
    <cfRule type="colorScale" priority="4476">
      <colorScale>
        <cfvo type="min"/>
        <cfvo type="percentile" val="50"/>
        <cfvo type="max"/>
        <color rgb="FFF8696B"/>
        <color rgb="FFFFEB84"/>
        <color rgb="FF63BE7B"/>
      </colorScale>
    </cfRule>
  </conditionalFormatting>
  <conditionalFormatting sqref="F6958:F6959">
    <cfRule type="colorScale" priority="4481">
      <colorScale>
        <cfvo type="min"/>
        <cfvo type="percentile" val="50"/>
        <cfvo type="max"/>
        <color rgb="FFF8696B"/>
        <color rgb="FFFFEB84"/>
        <color rgb="FF63BE7B"/>
      </colorScale>
    </cfRule>
  </conditionalFormatting>
  <conditionalFormatting sqref="F6963:F6964">
    <cfRule type="colorScale" priority="4486">
      <colorScale>
        <cfvo type="min"/>
        <cfvo type="percentile" val="50"/>
        <cfvo type="max"/>
        <color rgb="FFF8696B"/>
        <color rgb="FFFFEB84"/>
        <color rgb="FF63BE7B"/>
      </colorScale>
    </cfRule>
  </conditionalFormatting>
  <conditionalFormatting sqref="F6968:F6969">
    <cfRule type="colorScale" priority="4491">
      <colorScale>
        <cfvo type="min"/>
        <cfvo type="percentile" val="50"/>
        <cfvo type="max"/>
        <color rgb="FFF8696B"/>
        <color rgb="FFFFEB84"/>
        <color rgb="FF63BE7B"/>
      </colorScale>
    </cfRule>
  </conditionalFormatting>
  <conditionalFormatting sqref="F6973:F6974">
    <cfRule type="colorScale" priority="4496">
      <colorScale>
        <cfvo type="min"/>
        <cfvo type="percentile" val="50"/>
        <cfvo type="max"/>
        <color rgb="FFF8696B"/>
        <color rgb="FFFFEB84"/>
        <color rgb="FF63BE7B"/>
      </colorScale>
    </cfRule>
  </conditionalFormatting>
  <conditionalFormatting sqref="F6978:F6979">
    <cfRule type="colorScale" priority="4501">
      <colorScale>
        <cfvo type="min"/>
        <cfvo type="percentile" val="50"/>
        <cfvo type="max"/>
        <color rgb="FFF8696B"/>
        <color rgb="FFFFEB84"/>
        <color rgb="FF63BE7B"/>
      </colorScale>
    </cfRule>
  </conditionalFormatting>
  <conditionalFormatting sqref="F6983:F6984">
    <cfRule type="colorScale" priority="4506">
      <colorScale>
        <cfvo type="min"/>
        <cfvo type="percentile" val="50"/>
        <cfvo type="max"/>
        <color rgb="FFF8696B"/>
        <color rgb="FFFFEB84"/>
        <color rgb="FF63BE7B"/>
      </colorScale>
    </cfRule>
  </conditionalFormatting>
  <conditionalFormatting sqref="F6988:F6989">
    <cfRule type="colorScale" priority="4511">
      <colorScale>
        <cfvo type="min"/>
        <cfvo type="percentile" val="50"/>
        <cfvo type="max"/>
        <color rgb="FFF8696B"/>
        <color rgb="FFFFEB84"/>
        <color rgb="FF63BE7B"/>
      </colorScale>
    </cfRule>
  </conditionalFormatting>
  <conditionalFormatting sqref="F6993">
    <cfRule type="colorScale" priority="4516">
      <colorScale>
        <cfvo type="min"/>
        <cfvo type="percentile" val="50"/>
        <cfvo type="max"/>
        <color rgb="FFF8696B"/>
        <color rgb="FFFFEB84"/>
        <color rgb="FF63BE7B"/>
      </colorScale>
    </cfRule>
  </conditionalFormatting>
  <conditionalFormatting sqref="F6997:F6998">
    <cfRule type="colorScale" priority="4521">
      <colorScale>
        <cfvo type="min"/>
        <cfvo type="percentile" val="50"/>
        <cfvo type="max"/>
        <color rgb="FFF8696B"/>
        <color rgb="FFFFEB84"/>
        <color rgb="FF63BE7B"/>
      </colorScale>
    </cfRule>
  </conditionalFormatting>
  <conditionalFormatting sqref="F7002:F7003">
    <cfRule type="colorScale" priority="4526">
      <colorScale>
        <cfvo type="min"/>
        <cfvo type="percentile" val="50"/>
        <cfvo type="max"/>
        <color rgb="FFF8696B"/>
        <color rgb="FFFFEB84"/>
        <color rgb="FF63BE7B"/>
      </colorScale>
    </cfRule>
  </conditionalFormatting>
  <conditionalFormatting sqref="F7007:F7010">
    <cfRule type="colorScale" priority="4531">
      <colorScale>
        <cfvo type="min"/>
        <cfvo type="percentile" val="50"/>
        <cfvo type="max"/>
        <color rgb="FFF8696B"/>
        <color rgb="FFFFEB84"/>
        <color rgb="FF63BE7B"/>
      </colorScale>
    </cfRule>
  </conditionalFormatting>
  <conditionalFormatting sqref="F7092">
    <cfRule type="colorScale" priority="4571">
      <colorScale>
        <cfvo type="min"/>
        <cfvo type="percentile" val="50"/>
        <cfvo type="max"/>
        <color rgb="FFF8696B"/>
        <color rgb="FFFFEB84"/>
        <color rgb="FF63BE7B"/>
      </colorScale>
    </cfRule>
  </conditionalFormatting>
  <conditionalFormatting sqref="F7100">
    <cfRule type="colorScale" priority="4581">
      <colorScale>
        <cfvo type="min"/>
        <cfvo type="percentile" val="50"/>
        <cfvo type="max"/>
        <color rgb="FFF8696B"/>
        <color rgb="FFFFEB84"/>
        <color rgb="FF63BE7B"/>
      </colorScale>
    </cfRule>
  </conditionalFormatting>
  <conditionalFormatting sqref="F7104">
    <cfRule type="colorScale" priority="4586">
      <colorScale>
        <cfvo type="min"/>
        <cfvo type="percentile" val="50"/>
        <cfvo type="max"/>
        <color rgb="FFF8696B"/>
        <color rgb="FFFFEB84"/>
        <color rgb="FF63BE7B"/>
      </colorScale>
    </cfRule>
  </conditionalFormatting>
  <conditionalFormatting sqref="F7108">
    <cfRule type="colorScale" priority="4591">
      <colorScale>
        <cfvo type="min"/>
        <cfvo type="percentile" val="50"/>
        <cfvo type="max"/>
        <color rgb="FFF8696B"/>
        <color rgb="FFFFEB84"/>
        <color rgb="FF63BE7B"/>
      </colorScale>
    </cfRule>
  </conditionalFormatting>
  <conditionalFormatting sqref="F7112">
    <cfRule type="colorScale" priority="4596">
      <colorScale>
        <cfvo type="min"/>
        <cfvo type="percentile" val="50"/>
        <cfvo type="max"/>
        <color rgb="FFF8696B"/>
        <color rgb="FFFFEB84"/>
        <color rgb="FF63BE7B"/>
      </colorScale>
    </cfRule>
  </conditionalFormatting>
  <conditionalFormatting sqref="F7116:F7117">
    <cfRule type="colorScale" priority="4601">
      <colorScale>
        <cfvo type="min"/>
        <cfvo type="percentile" val="50"/>
        <cfvo type="max"/>
        <color rgb="FFF8696B"/>
        <color rgb="FFFFEB84"/>
        <color rgb="FF63BE7B"/>
      </colorScale>
    </cfRule>
  </conditionalFormatting>
  <conditionalFormatting sqref="F7121:F7122">
    <cfRule type="colorScale" priority="4606">
      <colorScale>
        <cfvo type="min"/>
        <cfvo type="percentile" val="50"/>
        <cfvo type="max"/>
        <color rgb="FFF8696B"/>
        <color rgb="FFFFEB84"/>
        <color rgb="FF63BE7B"/>
      </colorScale>
    </cfRule>
  </conditionalFormatting>
  <conditionalFormatting sqref="F7126">
    <cfRule type="colorScale" priority="4611">
      <colorScale>
        <cfvo type="min"/>
        <cfvo type="percentile" val="50"/>
        <cfvo type="max"/>
        <color rgb="FFF8696B"/>
        <color rgb="FFFFEB84"/>
        <color rgb="FF63BE7B"/>
      </colorScale>
    </cfRule>
  </conditionalFormatting>
  <conditionalFormatting sqref="F7130">
    <cfRule type="colorScale" priority="4616">
      <colorScale>
        <cfvo type="min"/>
        <cfvo type="percentile" val="50"/>
        <cfvo type="max"/>
        <color rgb="FFF8696B"/>
        <color rgb="FFFFEB84"/>
        <color rgb="FF63BE7B"/>
      </colorScale>
    </cfRule>
  </conditionalFormatting>
  <conditionalFormatting sqref="F7134">
    <cfRule type="colorScale" priority="4621">
      <colorScale>
        <cfvo type="min"/>
        <cfvo type="percentile" val="50"/>
        <cfvo type="max"/>
        <color rgb="FFF8696B"/>
        <color rgb="FFFFEB84"/>
        <color rgb="FF63BE7B"/>
      </colorScale>
    </cfRule>
  </conditionalFormatting>
  <conditionalFormatting sqref="F7138:F7139">
    <cfRule type="colorScale" priority="4626">
      <colorScale>
        <cfvo type="min"/>
        <cfvo type="percentile" val="50"/>
        <cfvo type="max"/>
        <color rgb="FFF8696B"/>
        <color rgb="FFFFEB84"/>
        <color rgb="FF63BE7B"/>
      </colorScale>
    </cfRule>
  </conditionalFormatting>
  <conditionalFormatting sqref="F7143:F7144">
    <cfRule type="colorScale" priority="4631">
      <colorScale>
        <cfvo type="min"/>
        <cfvo type="percentile" val="50"/>
        <cfvo type="max"/>
        <color rgb="FFF8696B"/>
        <color rgb="FFFFEB84"/>
        <color rgb="FF63BE7B"/>
      </colorScale>
    </cfRule>
  </conditionalFormatting>
  <conditionalFormatting sqref="F7148:F7150">
    <cfRule type="colorScale" priority="4636">
      <colorScale>
        <cfvo type="min"/>
        <cfvo type="percentile" val="50"/>
        <cfvo type="max"/>
        <color rgb="FFF8696B"/>
        <color rgb="FFFFEB84"/>
        <color rgb="FF63BE7B"/>
      </colorScale>
    </cfRule>
  </conditionalFormatting>
  <conditionalFormatting sqref="F7158:F7159">
    <cfRule type="colorScale" priority="4646">
      <colorScale>
        <cfvo type="min"/>
        <cfvo type="percentile" val="50"/>
        <cfvo type="max"/>
        <color rgb="FFF8696B"/>
        <color rgb="FFFFEB84"/>
        <color rgb="FF63BE7B"/>
      </colorScale>
    </cfRule>
  </conditionalFormatting>
  <conditionalFormatting sqref="F7167:F7168">
    <cfRule type="colorScale" priority="4656">
      <colorScale>
        <cfvo type="min"/>
        <cfvo type="percentile" val="50"/>
        <cfvo type="max"/>
        <color rgb="FFF8696B"/>
        <color rgb="FFFFEB84"/>
        <color rgb="FF63BE7B"/>
      </colorScale>
    </cfRule>
  </conditionalFormatting>
  <conditionalFormatting sqref="F7172:F7173">
    <cfRule type="colorScale" priority="4661">
      <colorScale>
        <cfvo type="min"/>
        <cfvo type="percentile" val="50"/>
        <cfvo type="max"/>
        <color rgb="FFF8696B"/>
        <color rgb="FFFFEB84"/>
        <color rgb="FF63BE7B"/>
      </colorScale>
    </cfRule>
  </conditionalFormatting>
  <conditionalFormatting sqref="F7177:F7178">
    <cfRule type="colorScale" priority="4666">
      <colorScale>
        <cfvo type="min"/>
        <cfvo type="percentile" val="50"/>
        <cfvo type="max"/>
        <color rgb="FFF8696B"/>
        <color rgb="FFFFEB84"/>
        <color rgb="FF63BE7B"/>
      </colorScale>
    </cfRule>
  </conditionalFormatting>
  <conditionalFormatting sqref="F7182:F7183">
    <cfRule type="colorScale" priority="4671">
      <colorScale>
        <cfvo type="min"/>
        <cfvo type="percentile" val="50"/>
        <cfvo type="max"/>
        <color rgb="FFF8696B"/>
        <color rgb="FFFFEB84"/>
        <color rgb="FF63BE7B"/>
      </colorScale>
    </cfRule>
  </conditionalFormatting>
  <conditionalFormatting sqref="F7187:F7188">
    <cfRule type="colorScale" priority="4676">
      <colorScale>
        <cfvo type="min"/>
        <cfvo type="percentile" val="50"/>
        <cfvo type="max"/>
        <color rgb="FFF8696B"/>
        <color rgb="FFFFEB84"/>
        <color rgb="FF63BE7B"/>
      </colorScale>
    </cfRule>
  </conditionalFormatting>
  <conditionalFormatting sqref="F7192:F7193">
    <cfRule type="colorScale" priority="4681">
      <colorScale>
        <cfvo type="min"/>
        <cfvo type="percentile" val="50"/>
        <cfvo type="max"/>
        <color rgb="FFF8696B"/>
        <color rgb="FFFFEB84"/>
        <color rgb="FF63BE7B"/>
      </colorScale>
    </cfRule>
  </conditionalFormatting>
  <conditionalFormatting sqref="F7197:F7198">
    <cfRule type="colorScale" priority="4686">
      <colorScale>
        <cfvo type="min"/>
        <cfvo type="percentile" val="50"/>
        <cfvo type="max"/>
        <color rgb="FFF8696B"/>
        <color rgb="FFFFEB84"/>
        <color rgb="FF63BE7B"/>
      </colorScale>
    </cfRule>
  </conditionalFormatting>
  <conditionalFormatting sqref="F7202:F7203">
    <cfRule type="colorScale" priority="4691">
      <colorScale>
        <cfvo type="min"/>
        <cfvo type="percentile" val="50"/>
        <cfvo type="max"/>
        <color rgb="FFF8696B"/>
        <color rgb="FFFFEB84"/>
        <color rgb="FF63BE7B"/>
      </colorScale>
    </cfRule>
  </conditionalFormatting>
  <conditionalFormatting sqref="F7207">
    <cfRule type="colorScale" priority="4696">
      <colorScale>
        <cfvo type="min"/>
        <cfvo type="percentile" val="50"/>
        <cfvo type="max"/>
        <color rgb="FFF8696B"/>
        <color rgb="FFFFEB84"/>
        <color rgb="FF63BE7B"/>
      </colorScale>
    </cfRule>
  </conditionalFormatting>
  <conditionalFormatting sqref="F7211:F7212">
    <cfRule type="colorScale" priority="4701">
      <colorScale>
        <cfvo type="min"/>
        <cfvo type="percentile" val="50"/>
        <cfvo type="max"/>
        <color rgb="FFF8696B"/>
        <color rgb="FFFFEB84"/>
        <color rgb="FF63BE7B"/>
      </colorScale>
    </cfRule>
  </conditionalFormatting>
  <conditionalFormatting sqref="F7216:F7217">
    <cfRule type="colorScale" priority="4706">
      <colorScale>
        <cfvo type="min"/>
        <cfvo type="percentile" val="50"/>
        <cfvo type="max"/>
        <color rgb="FFF8696B"/>
        <color rgb="FFFFEB84"/>
        <color rgb="FF63BE7B"/>
      </colorScale>
    </cfRule>
  </conditionalFormatting>
  <conditionalFormatting sqref="F7221:F7224">
    <cfRule type="colorScale" priority="4711">
      <colorScale>
        <cfvo type="min"/>
        <cfvo type="percentile" val="50"/>
        <cfvo type="max"/>
        <color rgb="FFF8696B"/>
        <color rgb="FFFFEB84"/>
        <color rgb="FF63BE7B"/>
      </colorScale>
    </cfRule>
  </conditionalFormatting>
  <conditionalFormatting sqref="F7232:F7233">
    <cfRule type="colorScale" priority="4721">
      <colorScale>
        <cfvo type="min"/>
        <cfvo type="percentile" val="50"/>
        <cfvo type="max"/>
        <color rgb="FFF8696B"/>
        <color rgb="FFFFEB84"/>
        <color rgb="FF63BE7B"/>
      </colorScale>
    </cfRule>
  </conditionalFormatting>
  <conditionalFormatting sqref="F7241:F7242">
    <cfRule type="colorScale" priority="4731">
      <colorScale>
        <cfvo type="min"/>
        <cfvo type="percentile" val="50"/>
        <cfvo type="max"/>
        <color rgb="FFF8696B"/>
        <color rgb="FFFFEB84"/>
        <color rgb="FF63BE7B"/>
      </colorScale>
    </cfRule>
  </conditionalFormatting>
  <conditionalFormatting sqref="F7246">
    <cfRule type="colorScale" priority="4736">
      <colorScale>
        <cfvo type="min"/>
        <cfvo type="percentile" val="50"/>
        <cfvo type="max"/>
        <color rgb="FFF8696B"/>
        <color rgb="FFFFEB84"/>
        <color rgb="FF63BE7B"/>
      </colorScale>
    </cfRule>
  </conditionalFormatting>
  <conditionalFormatting sqref="F7250:F7251">
    <cfRule type="colorScale" priority="4741">
      <colorScale>
        <cfvo type="min"/>
        <cfvo type="percentile" val="50"/>
        <cfvo type="max"/>
        <color rgb="FFF8696B"/>
        <color rgb="FFFFEB84"/>
        <color rgb="FF63BE7B"/>
      </colorScale>
    </cfRule>
  </conditionalFormatting>
  <conditionalFormatting sqref="F7255:F7256">
    <cfRule type="colorScale" priority="4746">
      <colorScale>
        <cfvo type="min"/>
        <cfvo type="percentile" val="50"/>
        <cfvo type="max"/>
        <color rgb="FFF8696B"/>
        <color rgb="FFFFEB84"/>
        <color rgb="FF63BE7B"/>
      </colorScale>
    </cfRule>
  </conditionalFormatting>
  <conditionalFormatting sqref="F7260:F7261">
    <cfRule type="colorScale" priority="4751">
      <colorScale>
        <cfvo type="min"/>
        <cfvo type="percentile" val="50"/>
        <cfvo type="max"/>
        <color rgb="FFF8696B"/>
        <color rgb="FFFFEB84"/>
        <color rgb="FF63BE7B"/>
      </colorScale>
    </cfRule>
  </conditionalFormatting>
  <conditionalFormatting sqref="F7265:F7266">
    <cfRule type="colorScale" priority="4756">
      <colorScale>
        <cfvo type="min"/>
        <cfvo type="percentile" val="50"/>
        <cfvo type="max"/>
        <color rgb="FFF8696B"/>
        <color rgb="FFFFEB84"/>
        <color rgb="FF63BE7B"/>
      </colorScale>
    </cfRule>
  </conditionalFormatting>
  <conditionalFormatting sqref="F7270:F7271">
    <cfRule type="colorScale" priority="4761">
      <colorScale>
        <cfvo type="min"/>
        <cfvo type="percentile" val="50"/>
        <cfvo type="max"/>
        <color rgb="FFF8696B"/>
        <color rgb="FFFFEB84"/>
        <color rgb="FF63BE7B"/>
      </colorScale>
    </cfRule>
  </conditionalFormatting>
  <conditionalFormatting sqref="F7275:F7276">
    <cfRule type="colorScale" priority="4766">
      <colorScale>
        <cfvo type="min"/>
        <cfvo type="percentile" val="50"/>
        <cfvo type="max"/>
        <color rgb="FFF8696B"/>
        <color rgb="FFFFEB84"/>
        <color rgb="FF63BE7B"/>
      </colorScale>
    </cfRule>
  </conditionalFormatting>
  <conditionalFormatting sqref="F7280">
    <cfRule type="colorScale" priority="4771">
      <colorScale>
        <cfvo type="min"/>
        <cfvo type="percentile" val="50"/>
        <cfvo type="max"/>
        <color rgb="FFF8696B"/>
        <color rgb="FFFFEB84"/>
        <color rgb="FF63BE7B"/>
      </colorScale>
    </cfRule>
  </conditionalFormatting>
  <conditionalFormatting sqref="F7284:F7285">
    <cfRule type="colorScale" priority="4776">
      <colorScale>
        <cfvo type="min"/>
        <cfvo type="percentile" val="50"/>
        <cfvo type="max"/>
        <color rgb="FFF8696B"/>
        <color rgb="FFFFEB84"/>
        <color rgb="FF63BE7B"/>
      </colorScale>
    </cfRule>
  </conditionalFormatting>
  <conditionalFormatting sqref="F7289:F7290">
    <cfRule type="colorScale" priority="4781">
      <colorScale>
        <cfvo type="min"/>
        <cfvo type="percentile" val="50"/>
        <cfvo type="max"/>
        <color rgb="FFF8696B"/>
        <color rgb="FFFFEB84"/>
        <color rgb="FF63BE7B"/>
      </colorScale>
    </cfRule>
  </conditionalFormatting>
  <conditionalFormatting sqref="F7294:F7297">
    <cfRule type="colorScale" priority="4786">
      <colorScale>
        <cfvo type="min"/>
        <cfvo type="percentile" val="50"/>
        <cfvo type="max"/>
        <color rgb="FFF8696B"/>
        <color rgb="FFFFEB84"/>
        <color rgb="FF63BE7B"/>
      </colorScale>
    </cfRule>
  </conditionalFormatting>
  <conditionalFormatting sqref="F7305:F7306">
    <cfRule type="colorScale" priority="4796">
      <colorScale>
        <cfvo type="min"/>
        <cfvo type="percentile" val="50"/>
        <cfvo type="max"/>
        <color rgb="FFF8696B"/>
        <color rgb="FFFFEB84"/>
        <color rgb="FF63BE7B"/>
      </colorScale>
    </cfRule>
  </conditionalFormatting>
  <conditionalFormatting sqref="F7314:F7315">
    <cfRule type="colorScale" priority="4806">
      <colorScale>
        <cfvo type="min"/>
        <cfvo type="percentile" val="50"/>
        <cfvo type="max"/>
        <color rgb="FFF8696B"/>
        <color rgb="FFFFEB84"/>
        <color rgb="FF63BE7B"/>
      </colorScale>
    </cfRule>
  </conditionalFormatting>
  <conditionalFormatting sqref="F7319">
    <cfRule type="colorScale" priority="4811">
      <colorScale>
        <cfvo type="min"/>
        <cfvo type="percentile" val="50"/>
        <cfvo type="max"/>
        <color rgb="FFF8696B"/>
        <color rgb="FFFFEB84"/>
        <color rgb="FF63BE7B"/>
      </colorScale>
    </cfRule>
  </conditionalFormatting>
  <conditionalFormatting sqref="F7323:F7324">
    <cfRule type="colorScale" priority="4816">
      <colorScale>
        <cfvo type="min"/>
        <cfvo type="percentile" val="50"/>
        <cfvo type="max"/>
        <color rgb="FFF8696B"/>
        <color rgb="FFFFEB84"/>
        <color rgb="FF63BE7B"/>
      </colorScale>
    </cfRule>
  </conditionalFormatting>
  <conditionalFormatting sqref="F7328:F7329">
    <cfRule type="colorScale" priority="4821">
      <colorScale>
        <cfvo type="min"/>
        <cfvo type="percentile" val="50"/>
        <cfvo type="max"/>
        <color rgb="FFF8696B"/>
        <color rgb="FFFFEB84"/>
        <color rgb="FF63BE7B"/>
      </colorScale>
    </cfRule>
  </conditionalFormatting>
  <conditionalFormatting sqref="F7333:F7334">
    <cfRule type="colorScale" priority="4826">
      <colorScale>
        <cfvo type="min"/>
        <cfvo type="percentile" val="50"/>
        <cfvo type="max"/>
        <color rgb="FFF8696B"/>
        <color rgb="FFFFEB84"/>
        <color rgb="FF63BE7B"/>
      </colorScale>
    </cfRule>
  </conditionalFormatting>
  <conditionalFormatting sqref="F7338:F7339">
    <cfRule type="colorScale" priority="4831">
      <colorScale>
        <cfvo type="min"/>
        <cfvo type="percentile" val="50"/>
        <cfvo type="max"/>
        <color rgb="FFF8696B"/>
        <color rgb="FFFFEB84"/>
        <color rgb="FF63BE7B"/>
      </colorScale>
    </cfRule>
  </conditionalFormatting>
  <conditionalFormatting sqref="F7343:F7344">
    <cfRule type="colorScale" priority="4836">
      <colorScale>
        <cfvo type="min"/>
        <cfvo type="percentile" val="50"/>
        <cfvo type="max"/>
        <color rgb="FFF8696B"/>
        <color rgb="FFFFEB84"/>
        <color rgb="FF63BE7B"/>
      </colorScale>
    </cfRule>
  </conditionalFormatting>
  <conditionalFormatting sqref="F7348:F7349">
    <cfRule type="colorScale" priority="4841">
      <colorScale>
        <cfvo type="min"/>
        <cfvo type="percentile" val="50"/>
        <cfvo type="max"/>
        <color rgb="FFF8696B"/>
        <color rgb="FFFFEB84"/>
        <color rgb="FF63BE7B"/>
      </colorScale>
    </cfRule>
  </conditionalFormatting>
  <conditionalFormatting sqref="F7353">
    <cfRule type="colorScale" priority="4846">
      <colorScale>
        <cfvo type="min"/>
        <cfvo type="percentile" val="50"/>
        <cfvo type="max"/>
        <color rgb="FFF8696B"/>
        <color rgb="FFFFEB84"/>
        <color rgb="FF63BE7B"/>
      </colorScale>
    </cfRule>
  </conditionalFormatting>
  <conditionalFormatting sqref="F7357:F7358">
    <cfRule type="colorScale" priority="4851">
      <colorScale>
        <cfvo type="min"/>
        <cfvo type="percentile" val="50"/>
        <cfvo type="max"/>
        <color rgb="FFF8696B"/>
        <color rgb="FFFFEB84"/>
        <color rgb="FF63BE7B"/>
      </colorScale>
    </cfRule>
  </conditionalFormatting>
  <conditionalFormatting sqref="F7362:F7363">
    <cfRule type="colorScale" priority="4856">
      <colorScale>
        <cfvo type="min"/>
        <cfvo type="percentile" val="50"/>
        <cfvo type="max"/>
        <color rgb="FFF8696B"/>
        <color rgb="FFFFEB84"/>
        <color rgb="FF63BE7B"/>
      </colorScale>
    </cfRule>
  </conditionalFormatting>
  <conditionalFormatting sqref="F7367:F7370">
    <cfRule type="colorScale" priority="4861">
      <colorScale>
        <cfvo type="min"/>
        <cfvo type="percentile" val="50"/>
        <cfvo type="max"/>
        <color rgb="FFF8696B"/>
        <color rgb="FFFFEB84"/>
        <color rgb="FF63BE7B"/>
      </colorScale>
    </cfRule>
  </conditionalFormatting>
  <conditionalFormatting sqref="F7378:F7379">
    <cfRule type="colorScale" priority="4871">
      <colorScale>
        <cfvo type="min"/>
        <cfvo type="percentile" val="50"/>
        <cfvo type="max"/>
        <color rgb="FFF8696B"/>
        <color rgb="FFFFEB84"/>
        <color rgb="FF63BE7B"/>
      </colorScale>
    </cfRule>
  </conditionalFormatting>
  <conditionalFormatting sqref="F7387">
    <cfRule type="colorScale" priority="4881">
      <colorScale>
        <cfvo type="min"/>
        <cfvo type="percentile" val="50"/>
        <cfvo type="max"/>
        <color rgb="FFF8696B"/>
        <color rgb="FFFFEB84"/>
        <color rgb="FF63BE7B"/>
      </colorScale>
    </cfRule>
  </conditionalFormatting>
  <conditionalFormatting sqref="F7391">
    <cfRule type="colorScale" priority="4886">
      <colorScale>
        <cfvo type="min"/>
        <cfvo type="percentile" val="50"/>
        <cfvo type="max"/>
        <color rgb="FFF8696B"/>
        <color rgb="FFFFEB84"/>
        <color rgb="FF63BE7B"/>
      </colorScale>
    </cfRule>
  </conditionalFormatting>
  <conditionalFormatting sqref="F7395">
    <cfRule type="colorScale" priority="4891">
      <colorScale>
        <cfvo type="min"/>
        <cfvo type="percentile" val="50"/>
        <cfvo type="max"/>
        <color rgb="FFF8696B"/>
        <color rgb="FFFFEB84"/>
        <color rgb="FF63BE7B"/>
      </colorScale>
    </cfRule>
  </conditionalFormatting>
  <conditionalFormatting sqref="F7399">
    <cfRule type="colorScale" priority="4896">
      <colorScale>
        <cfvo type="min"/>
        <cfvo type="percentile" val="50"/>
        <cfvo type="max"/>
        <color rgb="FFF8696B"/>
        <color rgb="FFFFEB84"/>
        <color rgb="FF63BE7B"/>
      </colorScale>
    </cfRule>
  </conditionalFormatting>
  <conditionalFormatting sqref="F7403:F7404">
    <cfRule type="colorScale" priority="4901">
      <colorScale>
        <cfvo type="min"/>
        <cfvo type="percentile" val="50"/>
        <cfvo type="max"/>
        <color rgb="FFF8696B"/>
        <color rgb="FFFFEB84"/>
        <color rgb="FF63BE7B"/>
      </colorScale>
    </cfRule>
  </conditionalFormatting>
  <conditionalFormatting sqref="F7408:F7409">
    <cfRule type="colorScale" priority="4906">
      <colorScale>
        <cfvo type="min"/>
        <cfvo type="percentile" val="50"/>
        <cfvo type="max"/>
        <color rgb="FFF8696B"/>
        <color rgb="FFFFEB84"/>
        <color rgb="FF63BE7B"/>
      </colorScale>
    </cfRule>
  </conditionalFormatting>
  <conditionalFormatting sqref="F7413:F7414">
    <cfRule type="colorScale" priority="4911">
      <colorScale>
        <cfvo type="min"/>
        <cfvo type="percentile" val="50"/>
        <cfvo type="max"/>
        <color rgb="FFF8696B"/>
        <color rgb="FFFFEB84"/>
        <color rgb="FF63BE7B"/>
      </colorScale>
    </cfRule>
  </conditionalFormatting>
  <conditionalFormatting sqref="F7418:F7419">
    <cfRule type="colorScale" priority="4916">
      <colorScale>
        <cfvo type="min"/>
        <cfvo type="percentile" val="50"/>
        <cfvo type="max"/>
        <color rgb="FFF8696B"/>
        <color rgb="FFFFEB84"/>
        <color rgb="FF63BE7B"/>
      </colorScale>
    </cfRule>
  </conditionalFormatting>
  <conditionalFormatting sqref="F7423">
    <cfRule type="colorScale" priority="4921">
      <colorScale>
        <cfvo type="min"/>
        <cfvo type="percentile" val="50"/>
        <cfvo type="max"/>
        <color rgb="FFF8696B"/>
        <color rgb="FFFFEB84"/>
        <color rgb="FF63BE7B"/>
      </colorScale>
    </cfRule>
  </conditionalFormatting>
  <conditionalFormatting sqref="F7427:F7428">
    <cfRule type="colorScale" priority="4926">
      <colorScale>
        <cfvo type="min"/>
        <cfvo type="percentile" val="50"/>
        <cfvo type="max"/>
        <color rgb="FFF8696B"/>
        <color rgb="FFFFEB84"/>
        <color rgb="FF63BE7B"/>
      </colorScale>
    </cfRule>
  </conditionalFormatting>
  <conditionalFormatting sqref="F7432:F7433">
    <cfRule type="colorScale" priority="4931">
      <colorScale>
        <cfvo type="min"/>
        <cfvo type="percentile" val="50"/>
        <cfvo type="max"/>
        <color rgb="FFF8696B"/>
        <color rgb="FFFFEB84"/>
        <color rgb="FF63BE7B"/>
      </colorScale>
    </cfRule>
  </conditionalFormatting>
  <conditionalFormatting sqref="F7437:F7440">
    <cfRule type="colorScale" priority="4936">
      <colorScale>
        <cfvo type="min"/>
        <cfvo type="percentile" val="50"/>
        <cfvo type="max"/>
        <color rgb="FFF8696B"/>
        <color rgb="FFFFEB84"/>
        <color rgb="FF63BE7B"/>
      </colorScale>
    </cfRule>
  </conditionalFormatting>
  <conditionalFormatting sqref="F7448:F7449">
    <cfRule type="colorScale" priority="4946">
      <colorScale>
        <cfvo type="min"/>
        <cfvo type="percentile" val="50"/>
        <cfvo type="max"/>
        <color rgb="FFF8696B"/>
        <color rgb="FFFFEB84"/>
        <color rgb="FF63BE7B"/>
      </colorScale>
    </cfRule>
  </conditionalFormatting>
  <conditionalFormatting sqref="F7457:F7458">
    <cfRule type="colorScale" priority="4956">
      <colorScale>
        <cfvo type="min"/>
        <cfvo type="percentile" val="50"/>
        <cfvo type="max"/>
        <color rgb="FFF8696B"/>
        <color rgb="FFFFEB84"/>
        <color rgb="FF63BE7B"/>
      </colorScale>
    </cfRule>
  </conditionalFormatting>
  <conditionalFormatting sqref="F7462">
    <cfRule type="colorScale" priority="4961">
      <colorScale>
        <cfvo type="min"/>
        <cfvo type="percentile" val="50"/>
        <cfvo type="max"/>
        <color rgb="FFF8696B"/>
        <color rgb="FFFFEB84"/>
        <color rgb="FF63BE7B"/>
      </colorScale>
    </cfRule>
  </conditionalFormatting>
  <conditionalFormatting sqref="F7466:F7467">
    <cfRule type="colorScale" priority="4966">
      <colorScale>
        <cfvo type="min"/>
        <cfvo type="percentile" val="50"/>
        <cfvo type="max"/>
        <color rgb="FFF8696B"/>
        <color rgb="FFFFEB84"/>
        <color rgb="FF63BE7B"/>
      </colorScale>
    </cfRule>
  </conditionalFormatting>
  <conditionalFormatting sqref="F7471:F7472">
    <cfRule type="colorScale" priority="4971">
      <colorScale>
        <cfvo type="min"/>
        <cfvo type="percentile" val="50"/>
        <cfvo type="max"/>
        <color rgb="FFF8696B"/>
        <color rgb="FFFFEB84"/>
        <color rgb="FF63BE7B"/>
      </colorScale>
    </cfRule>
  </conditionalFormatting>
  <conditionalFormatting sqref="F7476:F7477">
    <cfRule type="colorScale" priority="4976">
      <colorScale>
        <cfvo type="min"/>
        <cfvo type="percentile" val="50"/>
        <cfvo type="max"/>
        <color rgb="FFF8696B"/>
        <color rgb="FFFFEB84"/>
        <color rgb="FF63BE7B"/>
      </colorScale>
    </cfRule>
  </conditionalFormatting>
  <conditionalFormatting sqref="F7481:F7482">
    <cfRule type="colorScale" priority="4981">
      <colorScale>
        <cfvo type="min"/>
        <cfvo type="percentile" val="50"/>
        <cfvo type="max"/>
        <color rgb="FFF8696B"/>
        <color rgb="FFFFEB84"/>
        <color rgb="FF63BE7B"/>
      </colorScale>
    </cfRule>
  </conditionalFormatting>
  <conditionalFormatting sqref="F7486:F7487">
    <cfRule type="colorScale" priority="4986">
      <colorScale>
        <cfvo type="min"/>
        <cfvo type="percentile" val="50"/>
        <cfvo type="max"/>
        <color rgb="FFF8696B"/>
        <color rgb="FFFFEB84"/>
        <color rgb="FF63BE7B"/>
      </colorScale>
    </cfRule>
  </conditionalFormatting>
  <conditionalFormatting sqref="F7491:F7492">
    <cfRule type="colorScale" priority="4991">
      <colorScale>
        <cfvo type="min"/>
        <cfvo type="percentile" val="50"/>
        <cfvo type="max"/>
        <color rgb="FFF8696B"/>
        <color rgb="FFFFEB84"/>
        <color rgb="FF63BE7B"/>
      </colorScale>
    </cfRule>
  </conditionalFormatting>
  <conditionalFormatting sqref="F7496">
    <cfRule type="colorScale" priority="4996">
      <colorScale>
        <cfvo type="min"/>
        <cfvo type="percentile" val="50"/>
        <cfvo type="max"/>
        <color rgb="FFF8696B"/>
        <color rgb="FFFFEB84"/>
        <color rgb="FF63BE7B"/>
      </colorScale>
    </cfRule>
  </conditionalFormatting>
  <conditionalFormatting sqref="F7500:F7501">
    <cfRule type="colorScale" priority="5001">
      <colorScale>
        <cfvo type="min"/>
        <cfvo type="percentile" val="50"/>
        <cfvo type="max"/>
        <color rgb="FFF8696B"/>
        <color rgb="FFFFEB84"/>
        <color rgb="FF63BE7B"/>
      </colorScale>
    </cfRule>
  </conditionalFormatting>
  <conditionalFormatting sqref="F7505:F7506">
    <cfRule type="colorScale" priority="5006">
      <colorScale>
        <cfvo type="min"/>
        <cfvo type="percentile" val="50"/>
        <cfvo type="max"/>
        <color rgb="FFF8696B"/>
        <color rgb="FFFFEB84"/>
        <color rgb="FF63BE7B"/>
      </colorScale>
    </cfRule>
  </conditionalFormatting>
  <conditionalFormatting sqref="F7510:F7513">
    <cfRule type="colorScale" priority="5011">
      <colorScale>
        <cfvo type="min"/>
        <cfvo type="percentile" val="50"/>
        <cfvo type="max"/>
        <color rgb="FFF8696B"/>
        <color rgb="FFFFEB84"/>
        <color rgb="FF63BE7B"/>
      </colorScale>
    </cfRule>
  </conditionalFormatting>
  <conditionalFormatting sqref="F7521">
    <cfRule type="colorScale" priority="5021">
      <colorScale>
        <cfvo type="min"/>
        <cfvo type="percentile" val="50"/>
        <cfvo type="max"/>
        <color rgb="FFF8696B"/>
        <color rgb="FFFFEB84"/>
        <color rgb="FF63BE7B"/>
      </colorScale>
    </cfRule>
  </conditionalFormatting>
  <conditionalFormatting sqref="F7529:F7530">
    <cfRule type="colorScale" priority="5031">
      <colorScale>
        <cfvo type="min"/>
        <cfvo type="percentile" val="50"/>
        <cfvo type="max"/>
        <color rgb="FFF8696B"/>
        <color rgb="FFFFEB84"/>
        <color rgb="FF63BE7B"/>
      </colorScale>
    </cfRule>
  </conditionalFormatting>
  <conditionalFormatting sqref="F7534">
    <cfRule type="colorScale" priority="5036">
      <colorScale>
        <cfvo type="min"/>
        <cfvo type="percentile" val="50"/>
        <cfvo type="max"/>
        <color rgb="FFF8696B"/>
        <color rgb="FFFFEB84"/>
        <color rgb="FF63BE7B"/>
      </colorScale>
    </cfRule>
  </conditionalFormatting>
  <conditionalFormatting sqref="F7538:F7539">
    <cfRule type="colorScale" priority="5041">
      <colorScale>
        <cfvo type="min"/>
        <cfvo type="percentile" val="50"/>
        <cfvo type="max"/>
        <color rgb="FFF8696B"/>
        <color rgb="FFFFEB84"/>
        <color rgb="FF63BE7B"/>
      </colorScale>
    </cfRule>
  </conditionalFormatting>
  <conditionalFormatting sqref="F7543">
    <cfRule type="colorScale" priority="5046">
      <colorScale>
        <cfvo type="min"/>
        <cfvo type="percentile" val="50"/>
        <cfvo type="max"/>
        <color rgb="FFF8696B"/>
        <color rgb="FFFFEB84"/>
        <color rgb="FF63BE7B"/>
      </colorScale>
    </cfRule>
  </conditionalFormatting>
  <conditionalFormatting sqref="F7547:F7548">
    <cfRule type="colorScale" priority="5051">
      <colorScale>
        <cfvo type="min"/>
        <cfvo type="percentile" val="50"/>
        <cfvo type="max"/>
        <color rgb="FFF8696B"/>
        <color rgb="FFFFEB84"/>
        <color rgb="FF63BE7B"/>
      </colorScale>
    </cfRule>
  </conditionalFormatting>
  <conditionalFormatting sqref="F7552:F7553">
    <cfRule type="colorScale" priority="5056">
      <colorScale>
        <cfvo type="min"/>
        <cfvo type="percentile" val="50"/>
        <cfvo type="max"/>
        <color rgb="FFF8696B"/>
        <color rgb="FFFFEB84"/>
        <color rgb="FF63BE7B"/>
      </colorScale>
    </cfRule>
  </conditionalFormatting>
  <conditionalFormatting sqref="F7557:F7558">
    <cfRule type="colorScale" priority="5061">
      <colorScale>
        <cfvo type="min"/>
        <cfvo type="percentile" val="50"/>
        <cfvo type="max"/>
        <color rgb="FFF8696B"/>
        <color rgb="FFFFEB84"/>
        <color rgb="FF63BE7B"/>
      </colorScale>
    </cfRule>
  </conditionalFormatting>
  <conditionalFormatting sqref="F7562:F7563">
    <cfRule type="colorScale" priority="5066">
      <colorScale>
        <cfvo type="min"/>
        <cfvo type="percentile" val="50"/>
        <cfvo type="max"/>
        <color rgb="FFF8696B"/>
        <color rgb="FFFFEB84"/>
        <color rgb="FF63BE7B"/>
      </colorScale>
    </cfRule>
  </conditionalFormatting>
  <conditionalFormatting sqref="F7567">
    <cfRule type="colorScale" priority="5071">
      <colorScale>
        <cfvo type="min"/>
        <cfvo type="percentile" val="50"/>
        <cfvo type="max"/>
        <color rgb="FFF8696B"/>
        <color rgb="FFFFEB84"/>
        <color rgb="FF63BE7B"/>
      </colorScale>
    </cfRule>
  </conditionalFormatting>
  <conditionalFormatting sqref="F7571:F7572">
    <cfRule type="colorScale" priority="5076">
      <colorScale>
        <cfvo type="min"/>
        <cfvo type="percentile" val="50"/>
        <cfvo type="max"/>
        <color rgb="FFF8696B"/>
        <color rgb="FFFFEB84"/>
        <color rgb="FF63BE7B"/>
      </colorScale>
    </cfRule>
  </conditionalFormatting>
  <conditionalFormatting sqref="F7576:F7577">
    <cfRule type="colorScale" priority="5081">
      <colorScale>
        <cfvo type="min"/>
        <cfvo type="percentile" val="50"/>
        <cfvo type="max"/>
        <color rgb="FFF8696B"/>
        <color rgb="FFFFEB84"/>
        <color rgb="FF63BE7B"/>
      </colorScale>
    </cfRule>
  </conditionalFormatting>
  <conditionalFormatting sqref="F7581:F7584">
    <cfRule type="colorScale" priority="5086">
      <colorScale>
        <cfvo type="min"/>
        <cfvo type="percentile" val="50"/>
        <cfvo type="max"/>
        <color rgb="FFF8696B"/>
        <color rgb="FFFFEB84"/>
        <color rgb="FF63BE7B"/>
      </colorScale>
    </cfRule>
  </conditionalFormatting>
  <conditionalFormatting sqref="F7592">
    <cfRule type="colorScale" priority="5096">
      <colorScale>
        <cfvo type="min"/>
        <cfvo type="percentile" val="50"/>
        <cfvo type="max"/>
        <color rgb="FFF8696B"/>
        <color rgb="FFFFEB84"/>
        <color rgb="FF63BE7B"/>
      </colorScale>
    </cfRule>
  </conditionalFormatting>
  <conditionalFormatting sqref="F7600:F7601">
    <cfRule type="colorScale" priority="5106">
      <colorScale>
        <cfvo type="min"/>
        <cfvo type="percentile" val="50"/>
        <cfvo type="max"/>
        <color rgb="FFF8696B"/>
        <color rgb="FFFFEB84"/>
        <color rgb="FF63BE7B"/>
      </colorScale>
    </cfRule>
  </conditionalFormatting>
  <conditionalFormatting sqref="F7605:F7606">
    <cfRule type="colorScale" priority="5111">
      <colorScale>
        <cfvo type="min"/>
        <cfvo type="percentile" val="50"/>
        <cfvo type="max"/>
        <color rgb="FFF8696B"/>
        <color rgb="FFFFEB84"/>
        <color rgb="FF63BE7B"/>
      </colorScale>
    </cfRule>
  </conditionalFormatting>
  <conditionalFormatting sqref="F7610:F7611">
    <cfRule type="colorScale" priority="5116">
      <colorScale>
        <cfvo type="min"/>
        <cfvo type="percentile" val="50"/>
        <cfvo type="max"/>
        <color rgb="FFF8696B"/>
        <color rgb="FFFFEB84"/>
        <color rgb="FF63BE7B"/>
      </colorScale>
    </cfRule>
  </conditionalFormatting>
  <conditionalFormatting sqref="F7615">
    <cfRule type="colorScale" priority="5121">
      <colorScale>
        <cfvo type="min"/>
        <cfvo type="percentile" val="50"/>
        <cfvo type="max"/>
        <color rgb="FFF8696B"/>
        <color rgb="FFFFEB84"/>
        <color rgb="FF63BE7B"/>
      </colorScale>
    </cfRule>
  </conditionalFormatting>
  <conditionalFormatting sqref="F7619:F7620">
    <cfRule type="colorScale" priority="5126">
      <colorScale>
        <cfvo type="min"/>
        <cfvo type="percentile" val="50"/>
        <cfvo type="max"/>
        <color rgb="FFF8696B"/>
        <color rgb="FFFFEB84"/>
        <color rgb="FF63BE7B"/>
      </colorScale>
    </cfRule>
  </conditionalFormatting>
  <conditionalFormatting sqref="F7624:F7625">
    <cfRule type="colorScale" priority="5131">
      <colorScale>
        <cfvo type="min"/>
        <cfvo type="percentile" val="50"/>
        <cfvo type="max"/>
        <color rgb="FFF8696B"/>
        <color rgb="FFFFEB84"/>
        <color rgb="FF63BE7B"/>
      </colorScale>
    </cfRule>
  </conditionalFormatting>
  <conditionalFormatting sqref="F7629:F7630">
    <cfRule type="colorScale" priority="5136">
      <colorScale>
        <cfvo type="min"/>
        <cfvo type="percentile" val="50"/>
        <cfvo type="max"/>
        <color rgb="FFF8696B"/>
        <color rgb="FFFFEB84"/>
        <color rgb="FF63BE7B"/>
      </colorScale>
    </cfRule>
  </conditionalFormatting>
  <conditionalFormatting sqref="F7634:F7635">
    <cfRule type="colorScale" priority="5141">
      <colorScale>
        <cfvo type="min"/>
        <cfvo type="percentile" val="50"/>
        <cfvo type="max"/>
        <color rgb="FFF8696B"/>
        <color rgb="FFFFEB84"/>
        <color rgb="FF63BE7B"/>
      </colorScale>
    </cfRule>
  </conditionalFormatting>
  <conditionalFormatting sqref="F7639">
    <cfRule type="colorScale" priority="5146">
      <colorScale>
        <cfvo type="min"/>
        <cfvo type="percentile" val="50"/>
        <cfvo type="max"/>
        <color rgb="FFF8696B"/>
        <color rgb="FFFFEB84"/>
        <color rgb="FF63BE7B"/>
      </colorScale>
    </cfRule>
  </conditionalFormatting>
  <conditionalFormatting sqref="F7643:F7644">
    <cfRule type="colorScale" priority="5151">
      <colorScale>
        <cfvo type="min"/>
        <cfvo type="percentile" val="50"/>
        <cfvo type="max"/>
        <color rgb="FFF8696B"/>
        <color rgb="FFFFEB84"/>
        <color rgb="FF63BE7B"/>
      </colorScale>
    </cfRule>
  </conditionalFormatting>
  <conditionalFormatting sqref="F7648:F7649">
    <cfRule type="colorScale" priority="5156">
      <colorScale>
        <cfvo type="min"/>
        <cfvo type="percentile" val="50"/>
        <cfvo type="max"/>
        <color rgb="FFF8696B"/>
        <color rgb="FFFFEB84"/>
        <color rgb="FF63BE7B"/>
      </colorScale>
    </cfRule>
  </conditionalFormatting>
  <conditionalFormatting sqref="F7653:F7656">
    <cfRule type="colorScale" priority="5161">
      <colorScale>
        <cfvo type="min"/>
        <cfvo type="percentile" val="50"/>
        <cfvo type="max"/>
        <color rgb="FFF8696B"/>
        <color rgb="FFFFEB84"/>
        <color rgb="FF63BE7B"/>
      </colorScale>
    </cfRule>
  </conditionalFormatting>
  <conditionalFormatting sqref="F7664:F7665">
    <cfRule type="colorScale" priority="5171">
      <colorScale>
        <cfvo type="min"/>
        <cfvo type="percentile" val="50"/>
        <cfvo type="max"/>
        <color rgb="FFF8696B"/>
        <color rgb="FFFFEB84"/>
        <color rgb="FF63BE7B"/>
      </colorScale>
    </cfRule>
  </conditionalFormatting>
  <conditionalFormatting sqref="F7673:F7674">
    <cfRule type="colorScale" priority="5181">
      <colorScale>
        <cfvo type="min"/>
        <cfvo type="percentile" val="50"/>
        <cfvo type="max"/>
        <color rgb="FFF8696B"/>
        <color rgb="FFFFEB84"/>
        <color rgb="FF63BE7B"/>
      </colorScale>
    </cfRule>
  </conditionalFormatting>
  <conditionalFormatting sqref="F7678:F7679">
    <cfRule type="colorScale" priority="5186">
      <colorScale>
        <cfvo type="min"/>
        <cfvo type="percentile" val="50"/>
        <cfvo type="max"/>
        <color rgb="FFF8696B"/>
        <color rgb="FFFFEB84"/>
        <color rgb="FF63BE7B"/>
      </colorScale>
    </cfRule>
  </conditionalFormatting>
  <conditionalFormatting sqref="F7683:F7684">
    <cfRule type="colorScale" priority="5191">
      <colorScale>
        <cfvo type="min"/>
        <cfvo type="percentile" val="50"/>
        <cfvo type="max"/>
        <color rgb="FFF8696B"/>
        <color rgb="FFFFEB84"/>
        <color rgb="FF63BE7B"/>
      </colorScale>
    </cfRule>
  </conditionalFormatting>
  <conditionalFormatting sqref="F7688:F7689">
    <cfRule type="colorScale" priority="5196">
      <colorScale>
        <cfvo type="min"/>
        <cfvo type="percentile" val="50"/>
        <cfvo type="max"/>
        <color rgb="FFF8696B"/>
        <color rgb="FFFFEB84"/>
        <color rgb="FF63BE7B"/>
      </colorScale>
    </cfRule>
  </conditionalFormatting>
  <conditionalFormatting sqref="F7693:F7694">
    <cfRule type="colorScale" priority="5201">
      <colorScale>
        <cfvo type="min"/>
        <cfvo type="percentile" val="50"/>
        <cfvo type="max"/>
        <color rgb="FFF8696B"/>
        <color rgb="FFFFEB84"/>
        <color rgb="FF63BE7B"/>
      </colorScale>
    </cfRule>
  </conditionalFormatting>
  <conditionalFormatting sqref="F7698:F7699">
    <cfRule type="colorScale" priority="5206">
      <colorScale>
        <cfvo type="min"/>
        <cfvo type="percentile" val="50"/>
        <cfvo type="max"/>
        <color rgb="FFF8696B"/>
        <color rgb="FFFFEB84"/>
        <color rgb="FF63BE7B"/>
      </colorScale>
    </cfRule>
  </conditionalFormatting>
  <conditionalFormatting sqref="F7703:F7704">
    <cfRule type="colorScale" priority="5211">
      <colorScale>
        <cfvo type="min"/>
        <cfvo type="percentile" val="50"/>
        <cfvo type="max"/>
        <color rgb="FFF8696B"/>
        <color rgb="FFFFEB84"/>
        <color rgb="FF63BE7B"/>
      </colorScale>
    </cfRule>
  </conditionalFormatting>
  <conditionalFormatting sqref="F7708:F7709">
    <cfRule type="colorScale" priority="5216">
      <colorScale>
        <cfvo type="min"/>
        <cfvo type="percentile" val="50"/>
        <cfvo type="max"/>
        <color rgb="FFF8696B"/>
        <color rgb="FFFFEB84"/>
        <color rgb="FF63BE7B"/>
      </colorScale>
    </cfRule>
  </conditionalFormatting>
  <conditionalFormatting sqref="F7713">
    <cfRule type="colorScale" priority="5221">
      <colorScale>
        <cfvo type="min"/>
        <cfvo type="percentile" val="50"/>
        <cfvo type="max"/>
        <color rgb="FFF8696B"/>
        <color rgb="FFFFEB84"/>
        <color rgb="FF63BE7B"/>
      </colorScale>
    </cfRule>
  </conditionalFormatting>
  <conditionalFormatting sqref="F7717:F7718">
    <cfRule type="colorScale" priority="5226">
      <colorScale>
        <cfvo type="min"/>
        <cfvo type="percentile" val="50"/>
        <cfvo type="max"/>
        <color rgb="FFF8696B"/>
        <color rgb="FFFFEB84"/>
        <color rgb="FF63BE7B"/>
      </colorScale>
    </cfRule>
  </conditionalFormatting>
  <conditionalFormatting sqref="F7722:F7723">
    <cfRule type="colorScale" priority="5231">
      <colorScale>
        <cfvo type="min"/>
        <cfvo type="percentile" val="50"/>
        <cfvo type="max"/>
        <color rgb="FFF8696B"/>
        <color rgb="FFFFEB84"/>
        <color rgb="FF63BE7B"/>
      </colorScale>
    </cfRule>
  </conditionalFormatting>
  <conditionalFormatting sqref="F7727:F7730">
    <cfRule type="colorScale" priority="5236">
      <colorScale>
        <cfvo type="min"/>
        <cfvo type="percentile" val="50"/>
        <cfvo type="max"/>
        <color rgb="FFF8696B"/>
        <color rgb="FFFFEB84"/>
        <color rgb="FF63BE7B"/>
      </colorScale>
    </cfRule>
  </conditionalFormatting>
  <conditionalFormatting sqref="F7738">
    <cfRule type="colorScale" priority="5246">
      <colorScale>
        <cfvo type="min"/>
        <cfvo type="percentile" val="50"/>
        <cfvo type="max"/>
        <color rgb="FFF8696B"/>
        <color rgb="FFFFEB84"/>
        <color rgb="FF63BE7B"/>
      </colorScale>
    </cfRule>
  </conditionalFormatting>
  <conditionalFormatting sqref="F7746:F7747">
    <cfRule type="colorScale" priority="5256">
      <colorScale>
        <cfvo type="min"/>
        <cfvo type="percentile" val="50"/>
        <cfvo type="max"/>
        <color rgb="FFF8696B"/>
        <color rgb="FFFFEB84"/>
        <color rgb="FF63BE7B"/>
      </colorScale>
    </cfRule>
  </conditionalFormatting>
  <conditionalFormatting sqref="F7751">
    <cfRule type="colorScale" priority="5261">
      <colorScale>
        <cfvo type="min"/>
        <cfvo type="percentile" val="50"/>
        <cfvo type="max"/>
        <color rgb="FFF8696B"/>
        <color rgb="FFFFEB84"/>
        <color rgb="FF63BE7B"/>
      </colorScale>
    </cfRule>
  </conditionalFormatting>
  <conditionalFormatting sqref="F7755:F7756">
    <cfRule type="colorScale" priority="5266">
      <colorScale>
        <cfvo type="min"/>
        <cfvo type="percentile" val="50"/>
        <cfvo type="max"/>
        <color rgb="FFF8696B"/>
        <color rgb="FFFFEB84"/>
        <color rgb="FF63BE7B"/>
      </colorScale>
    </cfRule>
  </conditionalFormatting>
  <conditionalFormatting sqref="F7760">
    <cfRule type="colorScale" priority="5271">
      <colorScale>
        <cfvo type="min"/>
        <cfvo type="percentile" val="50"/>
        <cfvo type="max"/>
        <color rgb="FFF8696B"/>
        <color rgb="FFFFEB84"/>
        <color rgb="FF63BE7B"/>
      </colorScale>
    </cfRule>
  </conditionalFormatting>
  <conditionalFormatting sqref="F7764:F7765">
    <cfRule type="colorScale" priority="5276">
      <colorScale>
        <cfvo type="min"/>
        <cfvo type="percentile" val="50"/>
        <cfvo type="max"/>
        <color rgb="FFF8696B"/>
        <color rgb="FFFFEB84"/>
        <color rgb="FF63BE7B"/>
      </colorScale>
    </cfRule>
  </conditionalFormatting>
  <conditionalFormatting sqref="F7769:F7770">
    <cfRule type="colorScale" priority="5281">
      <colorScale>
        <cfvo type="min"/>
        <cfvo type="percentile" val="50"/>
        <cfvo type="max"/>
        <color rgb="FFF8696B"/>
        <color rgb="FFFFEB84"/>
        <color rgb="FF63BE7B"/>
      </colorScale>
    </cfRule>
  </conditionalFormatting>
  <conditionalFormatting sqref="F7774:F7775">
    <cfRule type="colorScale" priority="5286">
      <colorScale>
        <cfvo type="min"/>
        <cfvo type="percentile" val="50"/>
        <cfvo type="max"/>
        <color rgb="FFF8696B"/>
        <color rgb="FFFFEB84"/>
        <color rgb="FF63BE7B"/>
      </colorScale>
    </cfRule>
  </conditionalFormatting>
  <conditionalFormatting sqref="F7779:F7780">
    <cfRule type="colorScale" priority="5291">
      <colorScale>
        <cfvo type="min"/>
        <cfvo type="percentile" val="50"/>
        <cfvo type="max"/>
        <color rgb="FFF8696B"/>
        <color rgb="FFFFEB84"/>
        <color rgb="FF63BE7B"/>
      </colorScale>
    </cfRule>
  </conditionalFormatting>
  <conditionalFormatting sqref="F7784">
    <cfRule type="colorScale" priority="5296">
      <colorScale>
        <cfvo type="min"/>
        <cfvo type="percentile" val="50"/>
        <cfvo type="max"/>
        <color rgb="FFF8696B"/>
        <color rgb="FFFFEB84"/>
        <color rgb="FF63BE7B"/>
      </colorScale>
    </cfRule>
  </conditionalFormatting>
  <conditionalFormatting sqref="F7788:F7789">
    <cfRule type="colorScale" priority="5301">
      <colorScale>
        <cfvo type="min"/>
        <cfvo type="percentile" val="50"/>
        <cfvo type="max"/>
        <color rgb="FFF8696B"/>
        <color rgb="FFFFEB84"/>
        <color rgb="FF63BE7B"/>
      </colorScale>
    </cfRule>
  </conditionalFormatting>
  <conditionalFormatting sqref="F7793:F7794">
    <cfRule type="colorScale" priority="5306">
      <colorScale>
        <cfvo type="min"/>
        <cfvo type="percentile" val="50"/>
        <cfvo type="max"/>
        <color rgb="FFF8696B"/>
        <color rgb="FFFFEB84"/>
        <color rgb="FF63BE7B"/>
      </colorScale>
    </cfRule>
  </conditionalFormatting>
  <conditionalFormatting sqref="F7798:F7801">
    <cfRule type="colorScale" priority="5311">
      <colorScale>
        <cfvo type="min"/>
        <cfvo type="percentile" val="50"/>
        <cfvo type="max"/>
        <color rgb="FFF8696B"/>
        <color rgb="FFFFEB84"/>
        <color rgb="FF63BE7B"/>
      </colorScale>
    </cfRule>
  </conditionalFormatting>
  <conditionalFormatting sqref="F7809">
    <cfRule type="colorScale" priority="5321">
      <colorScale>
        <cfvo type="min"/>
        <cfvo type="percentile" val="50"/>
        <cfvo type="max"/>
        <color rgb="FFF8696B"/>
        <color rgb="FFFFEB84"/>
        <color rgb="FF63BE7B"/>
      </colorScale>
    </cfRule>
  </conditionalFormatting>
  <conditionalFormatting sqref="F7817:F7818">
    <cfRule type="colorScale" priority="5331">
      <colorScale>
        <cfvo type="min"/>
        <cfvo type="percentile" val="50"/>
        <cfvo type="max"/>
        <color rgb="FFF8696B"/>
        <color rgb="FFFFEB84"/>
        <color rgb="FF63BE7B"/>
      </colorScale>
    </cfRule>
  </conditionalFormatting>
  <conditionalFormatting sqref="F7822">
    <cfRule type="colorScale" priority="5336">
      <colorScale>
        <cfvo type="min"/>
        <cfvo type="percentile" val="50"/>
        <cfvo type="max"/>
        <color rgb="FFF8696B"/>
        <color rgb="FFFFEB84"/>
        <color rgb="FF63BE7B"/>
      </colorScale>
    </cfRule>
  </conditionalFormatting>
  <conditionalFormatting sqref="F7826">
    <cfRule type="colorScale" priority="5341">
      <colorScale>
        <cfvo type="min"/>
        <cfvo type="percentile" val="50"/>
        <cfvo type="max"/>
        <color rgb="FFF8696B"/>
        <color rgb="FFFFEB84"/>
        <color rgb="FF63BE7B"/>
      </colorScale>
    </cfRule>
  </conditionalFormatting>
  <conditionalFormatting sqref="F7830:F7831">
    <cfRule type="colorScale" priority="5346">
      <colorScale>
        <cfvo type="min"/>
        <cfvo type="percentile" val="50"/>
        <cfvo type="max"/>
        <color rgb="FFF8696B"/>
        <color rgb="FFFFEB84"/>
        <color rgb="FF63BE7B"/>
      </colorScale>
    </cfRule>
  </conditionalFormatting>
  <conditionalFormatting sqref="F7835:F7836">
    <cfRule type="colorScale" priority="5351">
      <colorScale>
        <cfvo type="min"/>
        <cfvo type="percentile" val="50"/>
        <cfvo type="max"/>
        <color rgb="FFF8696B"/>
        <color rgb="FFFFEB84"/>
        <color rgb="FF63BE7B"/>
      </colorScale>
    </cfRule>
  </conditionalFormatting>
  <conditionalFormatting sqref="F7840:F7841">
    <cfRule type="colorScale" priority="5356">
      <colorScale>
        <cfvo type="min"/>
        <cfvo type="percentile" val="50"/>
        <cfvo type="max"/>
        <color rgb="FFF8696B"/>
        <color rgb="FFFFEB84"/>
        <color rgb="FF63BE7B"/>
      </colorScale>
    </cfRule>
  </conditionalFormatting>
  <conditionalFormatting sqref="F7845:F7846">
    <cfRule type="colorScale" priority="5361">
      <colorScale>
        <cfvo type="min"/>
        <cfvo type="percentile" val="50"/>
        <cfvo type="max"/>
        <color rgb="FFF8696B"/>
        <color rgb="FFFFEB84"/>
        <color rgb="FF63BE7B"/>
      </colorScale>
    </cfRule>
  </conditionalFormatting>
  <conditionalFormatting sqref="F7850:F7851">
    <cfRule type="colorScale" priority="5366">
      <colorScale>
        <cfvo type="min"/>
        <cfvo type="percentile" val="50"/>
        <cfvo type="max"/>
        <color rgb="FFF8696B"/>
        <color rgb="FFFFEB84"/>
        <color rgb="FF63BE7B"/>
      </colorScale>
    </cfRule>
  </conditionalFormatting>
  <conditionalFormatting sqref="F7855">
    <cfRule type="colorScale" priority="5371">
      <colorScale>
        <cfvo type="min"/>
        <cfvo type="percentile" val="50"/>
        <cfvo type="max"/>
        <color rgb="FFF8696B"/>
        <color rgb="FFFFEB84"/>
        <color rgb="FF63BE7B"/>
      </colorScale>
    </cfRule>
  </conditionalFormatting>
  <conditionalFormatting sqref="F7859:F7860">
    <cfRule type="colorScale" priority="5376">
      <colorScale>
        <cfvo type="min"/>
        <cfvo type="percentile" val="50"/>
        <cfvo type="max"/>
        <color rgb="FFF8696B"/>
        <color rgb="FFFFEB84"/>
        <color rgb="FF63BE7B"/>
      </colorScale>
    </cfRule>
  </conditionalFormatting>
  <conditionalFormatting sqref="F7864">
    <cfRule type="colorScale" priority="5381">
      <colorScale>
        <cfvo type="min"/>
        <cfvo type="percentile" val="50"/>
        <cfvo type="max"/>
        <color rgb="FFF8696B"/>
        <color rgb="FFFFEB84"/>
        <color rgb="FF63BE7B"/>
      </colorScale>
    </cfRule>
  </conditionalFormatting>
  <conditionalFormatting sqref="F7868:F7871">
    <cfRule type="colorScale" priority="5386">
      <colorScale>
        <cfvo type="min"/>
        <cfvo type="percentile" val="50"/>
        <cfvo type="max"/>
        <color rgb="FFF8696B"/>
        <color rgb="FFFFEB84"/>
        <color rgb="FF63BE7B"/>
      </colorScale>
    </cfRule>
  </conditionalFormatting>
  <conditionalFormatting sqref="F7879">
    <cfRule type="colorScale" priority="5396">
      <colorScale>
        <cfvo type="min"/>
        <cfvo type="percentile" val="50"/>
        <cfvo type="max"/>
        <color rgb="FFF8696B"/>
        <color rgb="FFFFEB84"/>
        <color rgb="FF63BE7B"/>
      </colorScale>
    </cfRule>
  </conditionalFormatting>
  <conditionalFormatting sqref="F7887">
    <cfRule type="colorScale" priority="5406">
      <colorScale>
        <cfvo type="min"/>
        <cfvo type="percentile" val="50"/>
        <cfvo type="max"/>
        <color rgb="FFF8696B"/>
        <color rgb="FFFFEB84"/>
        <color rgb="FF63BE7B"/>
      </colorScale>
    </cfRule>
  </conditionalFormatting>
  <conditionalFormatting sqref="F7891">
    <cfRule type="colorScale" priority="5411">
      <colorScale>
        <cfvo type="min"/>
        <cfvo type="percentile" val="50"/>
        <cfvo type="max"/>
        <color rgb="FFF8696B"/>
        <color rgb="FFFFEB84"/>
        <color rgb="FF63BE7B"/>
      </colorScale>
    </cfRule>
  </conditionalFormatting>
  <conditionalFormatting sqref="F7895:F7896">
    <cfRule type="colorScale" priority="5416">
      <colorScale>
        <cfvo type="min"/>
        <cfvo type="percentile" val="50"/>
        <cfvo type="max"/>
        <color rgb="FFF8696B"/>
        <color rgb="FFFFEB84"/>
        <color rgb="FF63BE7B"/>
      </colorScale>
    </cfRule>
  </conditionalFormatting>
  <conditionalFormatting sqref="F7900">
    <cfRule type="colorScale" priority="5421">
      <colorScale>
        <cfvo type="min"/>
        <cfvo type="percentile" val="50"/>
        <cfvo type="max"/>
        <color rgb="FFF8696B"/>
        <color rgb="FFFFEB84"/>
        <color rgb="FF63BE7B"/>
      </colorScale>
    </cfRule>
  </conditionalFormatting>
  <conditionalFormatting sqref="F7904:F7905">
    <cfRule type="colorScale" priority="5426">
      <colorScale>
        <cfvo type="min"/>
        <cfvo type="percentile" val="50"/>
        <cfvo type="max"/>
        <color rgb="FFF8696B"/>
        <color rgb="FFFFEB84"/>
        <color rgb="FF63BE7B"/>
      </colorScale>
    </cfRule>
  </conditionalFormatting>
  <conditionalFormatting sqref="F7909:F7910">
    <cfRule type="colorScale" priority="5431">
      <colorScale>
        <cfvo type="min"/>
        <cfvo type="percentile" val="50"/>
        <cfvo type="max"/>
        <color rgb="FFF8696B"/>
        <color rgb="FFFFEB84"/>
        <color rgb="FF63BE7B"/>
      </colorScale>
    </cfRule>
  </conditionalFormatting>
  <conditionalFormatting sqref="F7914:F7915">
    <cfRule type="colorScale" priority="5436">
      <colorScale>
        <cfvo type="min"/>
        <cfvo type="percentile" val="50"/>
        <cfvo type="max"/>
        <color rgb="FFF8696B"/>
        <color rgb="FFFFEB84"/>
        <color rgb="FF63BE7B"/>
      </colorScale>
    </cfRule>
  </conditionalFormatting>
  <conditionalFormatting sqref="F7919:F7920">
    <cfRule type="colorScale" priority="5441">
      <colorScale>
        <cfvo type="min"/>
        <cfvo type="percentile" val="50"/>
        <cfvo type="max"/>
        <color rgb="FFF8696B"/>
        <color rgb="FFFFEB84"/>
        <color rgb="FF63BE7B"/>
      </colorScale>
    </cfRule>
  </conditionalFormatting>
  <conditionalFormatting sqref="F7924">
    <cfRule type="colorScale" priority="5446">
      <colorScale>
        <cfvo type="min"/>
        <cfvo type="percentile" val="50"/>
        <cfvo type="max"/>
        <color rgb="FFF8696B"/>
        <color rgb="FFFFEB84"/>
        <color rgb="FF63BE7B"/>
      </colorScale>
    </cfRule>
  </conditionalFormatting>
  <conditionalFormatting sqref="F7928:F7929">
    <cfRule type="colorScale" priority="5451">
      <colorScale>
        <cfvo type="min"/>
        <cfvo type="percentile" val="50"/>
        <cfvo type="max"/>
        <color rgb="FFF8696B"/>
        <color rgb="FFFFEB84"/>
        <color rgb="FF63BE7B"/>
      </colorScale>
    </cfRule>
  </conditionalFormatting>
  <conditionalFormatting sqref="F7933:F7934">
    <cfRule type="colorScale" priority="5456">
      <colorScale>
        <cfvo type="min"/>
        <cfvo type="percentile" val="50"/>
        <cfvo type="max"/>
        <color rgb="FFF8696B"/>
        <color rgb="FFFFEB84"/>
        <color rgb="FF63BE7B"/>
      </colorScale>
    </cfRule>
  </conditionalFormatting>
  <conditionalFormatting sqref="F7938:F7941">
    <cfRule type="colorScale" priority="5461">
      <colorScale>
        <cfvo type="min"/>
        <cfvo type="percentile" val="50"/>
        <cfvo type="max"/>
        <color rgb="FFF8696B"/>
        <color rgb="FFFFEB84"/>
        <color rgb="FF63BE7B"/>
      </colorScale>
    </cfRule>
  </conditionalFormatting>
  <conditionalFormatting sqref="F7949:F7950">
    <cfRule type="colorScale" priority="5471">
      <colorScale>
        <cfvo type="min"/>
        <cfvo type="percentile" val="50"/>
        <cfvo type="max"/>
        <color rgb="FFF8696B"/>
        <color rgb="FFFFEB84"/>
        <color rgb="FF63BE7B"/>
      </colorScale>
    </cfRule>
  </conditionalFormatting>
  <conditionalFormatting sqref="F7958:F7959">
    <cfRule type="colorScale" priority="5481">
      <colorScale>
        <cfvo type="min"/>
        <cfvo type="percentile" val="50"/>
        <cfvo type="max"/>
        <color rgb="FFF8696B"/>
        <color rgb="FFFFEB84"/>
        <color rgb="FF63BE7B"/>
      </colorScale>
    </cfRule>
  </conditionalFormatting>
  <conditionalFormatting sqref="F7963:F7964">
    <cfRule type="colorScale" priority="5486">
      <colorScale>
        <cfvo type="min"/>
        <cfvo type="percentile" val="50"/>
        <cfvo type="max"/>
        <color rgb="FFF8696B"/>
        <color rgb="FFFFEB84"/>
        <color rgb="FF63BE7B"/>
      </colorScale>
    </cfRule>
  </conditionalFormatting>
  <conditionalFormatting sqref="F7968:F7969">
    <cfRule type="colorScale" priority="5491">
      <colorScale>
        <cfvo type="min"/>
        <cfvo type="percentile" val="50"/>
        <cfvo type="max"/>
        <color rgb="FFF8696B"/>
        <color rgb="FFFFEB84"/>
        <color rgb="FF63BE7B"/>
      </colorScale>
    </cfRule>
  </conditionalFormatting>
  <conditionalFormatting sqref="F7973">
    <cfRule type="colorScale" priority="5496">
      <colorScale>
        <cfvo type="min"/>
        <cfvo type="percentile" val="50"/>
        <cfvo type="max"/>
        <color rgb="FFF8696B"/>
        <color rgb="FFFFEB84"/>
        <color rgb="FF63BE7B"/>
      </colorScale>
    </cfRule>
  </conditionalFormatting>
  <conditionalFormatting sqref="F7977:F7978">
    <cfRule type="colorScale" priority="5501">
      <colorScale>
        <cfvo type="min"/>
        <cfvo type="percentile" val="50"/>
        <cfvo type="max"/>
        <color rgb="FFF8696B"/>
        <color rgb="FFFFEB84"/>
        <color rgb="FF63BE7B"/>
      </colorScale>
    </cfRule>
  </conditionalFormatting>
  <conditionalFormatting sqref="F7982:F7983">
    <cfRule type="colorScale" priority="5506">
      <colorScale>
        <cfvo type="min"/>
        <cfvo type="percentile" val="50"/>
        <cfvo type="max"/>
        <color rgb="FFF8696B"/>
        <color rgb="FFFFEB84"/>
        <color rgb="FF63BE7B"/>
      </colorScale>
    </cfRule>
  </conditionalFormatting>
  <conditionalFormatting sqref="F7987:F7988">
    <cfRule type="colorScale" priority="5511">
      <colorScale>
        <cfvo type="min"/>
        <cfvo type="percentile" val="50"/>
        <cfvo type="max"/>
        <color rgb="FFF8696B"/>
        <color rgb="FFFFEB84"/>
        <color rgb="FF63BE7B"/>
      </colorScale>
    </cfRule>
  </conditionalFormatting>
  <conditionalFormatting sqref="F7992:F7993">
    <cfRule type="colorScale" priority="5516">
      <colorScale>
        <cfvo type="min"/>
        <cfvo type="percentile" val="50"/>
        <cfvo type="max"/>
        <color rgb="FFF8696B"/>
        <color rgb="FFFFEB84"/>
        <color rgb="FF63BE7B"/>
      </colorScale>
    </cfRule>
  </conditionalFormatting>
  <conditionalFormatting sqref="F7997">
    <cfRule type="colorScale" priority="5521">
      <colorScale>
        <cfvo type="min"/>
        <cfvo type="percentile" val="50"/>
        <cfvo type="max"/>
        <color rgb="FFF8696B"/>
        <color rgb="FFFFEB84"/>
        <color rgb="FF63BE7B"/>
      </colorScale>
    </cfRule>
  </conditionalFormatting>
  <conditionalFormatting sqref="F8001:F8002">
    <cfRule type="colorScale" priority="5526">
      <colorScale>
        <cfvo type="min"/>
        <cfvo type="percentile" val="50"/>
        <cfvo type="max"/>
        <color rgb="FFF8696B"/>
        <color rgb="FFFFEB84"/>
        <color rgb="FF63BE7B"/>
      </colorScale>
    </cfRule>
  </conditionalFormatting>
  <conditionalFormatting sqref="F8006:F8007">
    <cfRule type="colorScale" priority="5531">
      <colorScale>
        <cfvo type="min"/>
        <cfvo type="percentile" val="50"/>
        <cfvo type="max"/>
        <color rgb="FFF8696B"/>
        <color rgb="FFFFEB84"/>
        <color rgb="FF63BE7B"/>
      </colorScale>
    </cfRule>
  </conditionalFormatting>
  <conditionalFormatting sqref="F8011:F8014">
    <cfRule type="colorScale" priority="5536">
      <colorScale>
        <cfvo type="min"/>
        <cfvo type="percentile" val="50"/>
        <cfvo type="max"/>
        <color rgb="FFF8696B"/>
        <color rgb="FFFFEB84"/>
        <color rgb="FF63BE7B"/>
      </colorScale>
    </cfRule>
  </conditionalFormatting>
  <conditionalFormatting sqref="F8022">
    <cfRule type="colorScale" priority="5546">
      <colorScale>
        <cfvo type="min"/>
        <cfvo type="percentile" val="50"/>
        <cfvo type="max"/>
        <color rgb="FFF8696B"/>
        <color rgb="FFFFEB84"/>
        <color rgb="FF63BE7B"/>
      </colorScale>
    </cfRule>
  </conditionalFormatting>
  <conditionalFormatting sqref="F8030">
    <cfRule type="colorScale" priority="5556">
      <colorScale>
        <cfvo type="min"/>
        <cfvo type="percentile" val="50"/>
        <cfvo type="max"/>
        <color rgb="FFF8696B"/>
        <color rgb="FFFFEB84"/>
        <color rgb="FF63BE7B"/>
      </colorScale>
    </cfRule>
  </conditionalFormatting>
  <conditionalFormatting sqref="F8034">
    <cfRule type="colorScale" priority="5561">
      <colorScale>
        <cfvo type="min"/>
        <cfvo type="percentile" val="50"/>
        <cfvo type="max"/>
        <color rgb="FFF8696B"/>
        <color rgb="FFFFEB84"/>
        <color rgb="FF63BE7B"/>
      </colorScale>
    </cfRule>
  </conditionalFormatting>
  <conditionalFormatting sqref="F8038:F8039">
    <cfRule type="colorScale" priority="5566">
      <colorScale>
        <cfvo type="min"/>
        <cfvo type="percentile" val="50"/>
        <cfvo type="max"/>
        <color rgb="FFF8696B"/>
        <color rgb="FFFFEB84"/>
        <color rgb="FF63BE7B"/>
      </colorScale>
    </cfRule>
  </conditionalFormatting>
  <conditionalFormatting sqref="F8043">
    <cfRule type="colorScale" priority="5571">
      <colorScale>
        <cfvo type="min"/>
        <cfvo type="percentile" val="50"/>
        <cfvo type="max"/>
        <color rgb="FFF8696B"/>
        <color rgb="FFFFEB84"/>
        <color rgb="FF63BE7B"/>
      </colorScale>
    </cfRule>
  </conditionalFormatting>
  <conditionalFormatting sqref="F8047:F8048">
    <cfRule type="colorScale" priority="5576">
      <colorScale>
        <cfvo type="min"/>
        <cfvo type="percentile" val="50"/>
        <cfvo type="max"/>
        <color rgb="FFF8696B"/>
        <color rgb="FFFFEB84"/>
        <color rgb="FF63BE7B"/>
      </colorScale>
    </cfRule>
  </conditionalFormatting>
  <conditionalFormatting sqref="F8052:F8053">
    <cfRule type="colorScale" priority="5581">
      <colorScale>
        <cfvo type="min"/>
        <cfvo type="percentile" val="50"/>
        <cfvo type="max"/>
        <color rgb="FFF8696B"/>
        <color rgb="FFFFEB84"/>
        <color rgb="FF63BE7B"/>
      </colorScale>
    </cfRule>
  </conditionalFormatting>
  <conditionalFormatting sqref="F8057:F8058">
    <cfRule type="colorScale" priority="5586">
      <colorScale>
        <cfvo type="min"/>
        <cfvo type="percentile" val="50"/>
        <cfvo type="max"/>
        <color rgb="FFF8696B"/>
        <color rgb="FFFFEB84"/>
        <color rgb="FF63BE7B"/>
      </colorScale>
    </cfRule>
  </conditionalFormatting>
  <conditionalFormatting sqref="F8062">
    <cfRule type="colorScale" priority="5591">
      <colorScale>
        <cfvo type="min"/>
        <cfvo type="percentile" val="50"/>
        <cfvo type="max"/>
        <color rgb="FFF8696B"/>
        <color rgb="FFFFEB84"/>
        <color rgb="FF63BE7B"/>
      </colorScale>
    </cfRule>
  </conditionalFormatting>
  <conditionalFormatting sqref="F8066">
    <cfRule type="colorScale" priority="5596">
      <colorScale>
        <cfvo type="min"/>
        <cfvo type="percentile" val="50"/>
        <cfvo type="max"/>
        <color rgb="FFF8696B"/>
        <color rgb="FFFFEB84"/>
        <color rgb="FF63BE7B"/>
      </colorScale>
    </cfRule>
  </conditionalFormatting>
  <conditionalFormatting sqref="F8070:F8071">
    <cfRule type="colorScale" priority="5601">
      <colorScale>
        <cfvo type="min"/>
        <cfvo type="percentile" val="50"/>
        <cfvo type="max"/>
        <color rgb="FFF8696B"/>
        <color rgb="FFFFEB84"/>
        <color rgb="FF63BE7B"/>
      </colorScale>
    </cfRule>
  </conditionalFormatting>
  <conditionalFormatting sqref="F8075:F8076">
    <cfRule type="colorScale" priority="5606">
      <colorScale>
        <cfvo type="min"/>
        <cfvo type="percentile" val="50"/>
        <cfvo type="max"/>
        <color rgb="FFF8696B"/>
        <color rgb="FFFFEB84"/>
        <color rgb="FF63BE7B"/>
      </colorScale>
    </cfRule>
  </conditionalFormatting>
  <conditionalFormatting sqref="F8080:F8083">
    <cfRule type="colorScale" priority="5611">
      <colorScale>
        <cfvo type="min"/>
        <cfvo type="percentile" val="50"/>
        <cfvo type="max"/>
        <color rgb="FFF8696B"/>
        <color rgb="FFFFEB84"/>
        <color rgb="FF63BE7B"/>
      </colorScale>
    </cfRule>
  </conditionalFormatting>
  <conditionalFormatting sqref="F8091">
    <cfRule type="colorScale" priority="5621">
      <colorScale>
        <cfvo type="min"/>
        <cfvo type="percentile" val="50"/>
        <cfvo type="max"/>
        <color rgb="FFF8696B"/>
        <color rgb="FFFFEB84"/>
        <color rgb="FF63BE7B"/>
      </colorScale>
    </cfRule>
  </conditionalFormatting>
  <conditionalFormatting sqref="F8099:F8100">
    <cfRule type="colorScale" priority="5631">
      <colorScale>
        <cfvo type="min"/>
        <cfvo type="percentile" val="50"/>
        <cfvo type="max"/>
        <color rgb="FFF8696B"/>
        <color rgb="FFFFEB84"/>
        <color rgb="FF63BE7B"/>
      </colorScale>
    </cfRule>
  </conditionalFormatting>
  <conditionalFormatting sqref="F8104">
    <cfRule type="colorScale" priority="5636">
      <colorScale>
        <cfvo type="min"/>
        <cfvo type="percentile" val="50"/>
        <cfvo type="max"/>
        <color rgb="FFF8696B"/>
        <color rgb="FFFFEB84"/>
        <color rgb="FF63BE7B"/>
      </colorScale>
    </cfRule>
  </conditionalFormatting>
  <conditionalFormatting sqref="F8108:F8109">
    <cfRule type="colorScale" priority="5641">
      <colorScale>
        <cfvo type="min"/>
        <cfvo type="percentile" val="50"/>
        <cfvo type="max"/>
        <color rgb="FFF8696B"/>
        <color rgb="FFFFEB84"/>
        <color rgb="FF63BE7B"/>
      </colorScale>
    </cfRule>
  </conditionalFormatting>
  <conditionalFormatting sqref="F8113">
    <cfRule type="colorScale" priority="5646">
      <colorScale>
        <cfvo type="min"/>
        <cfvo type="percentile" val="50"/>
        <cfvo type="max"/>
        <color rgb="FFF8696B"/>
        <color rgb="FFFFEB84"/>
        <color rgb="FF63BE7B"/>
      </colorScale>
    </cfRule>
  </conditionalFormatting>
  <conditionalFormatting sqref="F8117:F8118">
    <cfRule type="colorScale" priority="5651">
      <colorScale>
        <cfvo type="min"/>
        <cfvo type="percentile" val="50"/>
        <cfvo type="max"/>
        <color rgb="FFF8696B"/>
        <color rgb="FFFFEB84"/>
        <color rgb="FF63BE7B"/>
      </colorScale>
    </cfRule>
  </conditionalFormatting>
  <conditionalFormatting sqref="F8122:F8123">
    <cfRule type="colorScale" priority="5656">
      <colorScale>
        <cfvo type="min"/>
        <cfvo type="percentile" val="50"/>
        <cfvo type="max"/>
        <color rgb="FFF8696B"/>
        <color rgb="FFFFEB84"/>
        <color rgb="FF63BE7B"/>
      </colorScale>
    </cfRule>
  </conditionalFormatting>
  <conditionalFormatting sqref="F8127:F8128">
    <cfRule type="colorScale" priority="5661">
      <colorScale>
        <cfvo type="min"/>
        <cfvo type="percentile" val="50"/>
        <cfvo type="max"/>
        <color rgb="FFF8696B"/>
        <color rgb="FFFFEB84"/>
        <color rgb="FF63BE7B"/>
      </colorScale>
    </cfRule>
  </conditionalFormatting>
  <conditionalFormatting sqref="F8132:F8133">
    <cfRule type="colorScale" priority="5666">
      <colorScale>
        <cfvo type="min"/>
        <cfvo type="percentile" val="50"/>
        <cfvo type="max"/>
        <color rgb="FFF8696B"/>
        <color rgb="FFFFEB84"/>
        <color rgb="FF63BE7B"/>
      </colorScale>
    </cfRule>
  </conditionalFormatting>
  <conditionalFormatting sqref="F8137">
    <cfRule type="colorScale" priority="5671">
      <colorScale>
        <cfvo type="min"/>
        <cfvo type="percentile" val="50"/>
        <cfvo type="max"/>
        <color rgb="FFF8696B"/>
        <color rgb="FFFFEB84"/>
        <color rgb="FF63BE7B"/>
      </colorScale>
    </cfRule>
  </conditionalFormatting>
  <conditionalFormatting sqref="F8141:F8142">
    <cfRule type="colorScale" priority="5676">
      <colorScale>
        <cfvo type="min"/>
        <cfvo type="percentile" val="50"/>
        <cfvo type="max"/>
        <color rgb="FFF8696B"/>
        <color rgb="FFFFEB84"/>
        <color rgb="FF63BE7B"/>
      </colorScale>
    </cfRule>
  </conditionalFormatting>
  <conditionalFormatting sqref="F8146:F8147">
    <cfRule type="colorScale" priority="5681">
      <colorScale>
        <cfvo type="min"/>
        <cfvo type="percentile" val="50"/>
        <cfvo type="max"/>
        <color rgb="FFF8696B"/>
        <color rgb="FFFFEB84"/>
        <color rgb="FF63BE7B"/>
      </colorScale>
    </cfRule>
  </conditionalFormatting>
  <conditionalFormatting sqref="F8151:F8154">
    <cfRule type="colorScale" priority="5686">
      <colorScale>
        <cfvo type="min"/>
        <cfvo type="percentile" val="50"/>
        <cfvo type="max"/>
        <color rgb="FFF8696B"/>
        <color rgb="FFFFEB84"/>
        <color rgb="FF63BE7B"/>
      </colorScale>
    </cfRule>
  </conditionalFormatting>
  <conditionalFormatting sqref="F8162">
    <cfRule type="colorScale" priority="5696">
      <colorScale>
        <cfvo type="min"/>
        <cfvo type="percentile" val="50"/>
        <cfvo type="max"/>
        <color rgb="FFF8696B"/>
        <color rgb="FFFFEB84"/>
        <color rgb="FF63BE7B"/>
      </colorScale>
    </cfRule>
  </conditionalFormatting>
  <conditionalFormatting sqref="F8170">
    <cfRule type="colorScale" priority="5706">
      <colorScale>
        <cfvo type="min"/>
        <cfvo type="percentile" val="50"/>
        <cfvo type="max"/>
        <color rgb="FFF8696B"/>
        <color rgb="FFFFEB84"/>
        <color rgb="FF63BE7B"/>
      </colorScale>
    </cfRule>
  </conditionalFormatting>
  <conditionalFormatting sqref="F8174">
    <cfRule type="colorScale" priority="5711">
      <colorScale>
        <cfvo type="min"/>
        <cfvo type="percentile" val="50"/>
        <cfvo type="max"/>
        <color rgb="FFF8696B"/>
        <color rgb="FFFFEB84"/>
        <color rgb="FF63BE7B"/>
      </colorScale>
    </cfRule>
  </conditionalFormatting>
  <conditionalFormatting sqref="F8178">
    <cfRule type="colorScale" priority="5716">
      <colorScale>
        <cfvo type="min"/>
        <cfvo type="percentile" val="50"/>
        <cfvo type="max"/>
        <color rgb="FFF8696B"/>
        <color rgb="FFFFEB84"/>
        <color rgb="FF63BE7B"/>
      </colorScale>
    </cfRule>
  </conditionalFormatting>
  <conditionalFormatting sqref="F8182">
    <cfRule type="colorScale" priority="5721">
      <colorScale>
        <cfvo type="min"/>
        <cfvo type="percentile" val="50"/>
        <cfvo type="max"/>
        <color rgb="FFF8696B"/>
        <color rgb="FFFFEB84"/>
        <color rgb="FF63BE7B"/>
      </colorScale>
    </cfRule>
  </conditionalFormatting>
  <conditionalFormatting sqref="F8186:F8187">
    <cfRule type="colorScale" priority="5726">
      <colorScale>
        <cfvo type="min"/>
        <cfvo type="percentile" val="50"/>
        <cfvo type="max"/>
        <color rgb="FFF8696B"/>
        <color rgb="FFFFEB84"/>
        <color rgb="FF63BE7B"/>
      </colorScale>
    </cfRule>
  </conditionalFormatting>
  <conditionalFormatting sqref="F8191:F8192">
    <cfRule type="colorScale" priority="5731">
      <colorScale>
        <cfvo type="min"/>
        <cfvo type="percentile" val="50"/>
        <cfvo type="max"/>
        <color rgb="FFF8696B"/>
        <color rgb="FFFFEB84"/>
        <color rgb="FF63BE7B"/>
      </colorScale>
    </cfRule>
  </conditionalFormatting>
  <conditionalFormatting sqref="F8196:F8197">
    <cfRule type="colorScale" priority="5736">
      <colorScale>
        <cfvo type="min"/>
        <cfvo type="percentile" val="50"/>
        <cfvo type="max"/>
        <color rgb="FFF8696B"/>
        <color rgb="FFFFEB84"/>
        <color rgb="FF63BE7B"/>
      </colorScale>
    </cfRule>
  </conditionalFormatting>
  <conditionalFormatting sqref="F8201">
    <cfRule type="colorScale" priority="5741">
      <colorScale>
        <cfvo type="min"/>
        <cfvo type="percentile" val="50"/>
        <cfvo type="max"/>
        <color rgb="FFF8696B"/>
        <color rgb="FFFFEB84"/>
        <color rgb="FF63BE7B"/>
      </colorScale>
    </cfRule>
  </conditionalFormatting>
  <conditionalFormatting sqref="F8205">
    <cfRule type="colorScale" priority="5746">
      <colorScale>
        <cfvo type="min"/>
        <cfvo type="percentile" val="50"/>
        <cfvo type="max"/>
        <color rgb="FFF8696B"/>
        <color rgb="FFFFEB84"/>
        <color rgb="FF63BE7B"/>
      </colorScale>
    </cfRule>
  </conditionalFormatting>
  <conditionalFormatting sqref="F8209:F8210">
    <cfRule type="colorScale" priority="5751">
      <colorScale>
        <cfvo type="min"/>
        <cfvo type="percentile" val="50"/>
        <cfvo type="max"/>
        <color rgb="FFF8696B"/>
        <color rgb="FFFFEB84"/>
        <color rgb="FF63BE7B"/>
      </colorScale>
    </cfRule>
  </conditionalFormatting>
  <conditionalFormatting sqref="F8214">
    <cfRule type="colorScale" priority="5756">
      <colorScale>
        <cfvo type="min"/>
        <cfvo type="percentile" val="50"/>
        <cfvo type="max"/>
        <color rgb="FFF8696B"/>
        <color rgb="FFFFEB84"/>
        <color rgb="FF63BE7B"/>
      </colorScale>
    </cfRule>
  </conditionalFormatting>
  <conditionalFormatting sqref="F8218:F8220">
    <cfRule type="colorScale" priority="5761">
      <colorScale>
        <cfvo type="min"/>
        <cfvo type="percentile" val="50"/>
        <cfvo type="max"/>
        <color rgb="FFF8696B"/>
        <color rgb="FFFFEB84"/>
        <color rgb="FF63BE7B"/>
      </colorScale>
    </cfRule>
  </conditionalFormatting>
  <conditionalFormatting sqref="F8228:F8229">
    <cfRule type="colorScale" priority="5771">
      <colorScale>
        <cfvo type="min"/>
        <cfvo type="percentile" val="50"/>
        <cfvo type="max"/>
        <color rgb="FFF8696B"/>
        <color rgb="FFFFEB84"/>
        <color rgb="FF63BE7B"/>
      </colorScale>
    </cfRule>
  </conditionalFormatting>
  <conditionalFormatting sqref="F8237:F8238">
    <cfRule type="colorScale" priority="5781">
      <colorScale>
        <cfvo type="min"/>
        <cfvo type="percentile" val="50"/>
        <cfvo type="max"/>
        <color rgb="FFF8696B"/>
        <color rgb="FFFFEB84"/>
        <color rgb="FF63BE7B"/>
      </colorScale>
    </cfRule>
  </conditionalFormatting>
  <conditionalFormatting sqref="F8242">
    <cfRule type="colorScale" priority="5786">
      <colorScale>
        <cfvo type="min"/>
        <cfvo type="percentile" val="50"/>
        <cfvo type="max"/>
        <color rgb="FFF8696B"/>
        <color rgb="FFFFEB84"/>
        <color rgb="FF63BE7B"/>
      </colorScale>
    </cfRule>
  </conditionalFormatting>
  <conditionalFormatting sqref="F8246:F8247">
    <cfRule type="colorScale" priority="5791">
      <colorScale>
        <cfvo type="min"/>
        <cfvo type="percentile" val="50"/>
        <cfvo type="max"/>
        <color rgb="FFF8696B"/>
        <color rgb="FFFFEB84"/>
        <color rgb="FF63BE7B"/>
      </colorScale>
    </cfRule>
  </conditionalFormatting>
  <conditionalFormatting sqref="F8251">
    <cfRule type="colorScale" priority="5796">
      <colorScale>
        <cfvo type="min"/>
        <cfvo type="percentile" val="50"/>
        <cfvo type="max"/>
        <color rgb="FFF8696B"/>
        <color rgb="FFFFEB84"/>
        <color rgb="FF63BE7B"/>
      </colorScale>
    </cfRule>
  </conditionalFormatting>
  <conditionalFormatting sqref="F8255:F8256">
    <cfRule type="colorScale" priority="5801">
      <colorScale>
        <cfvo type="min"/>
        <cfvo type="percentile" val="50"/>
        <cfvo type="max"/>
        <color rgb="FFF8696B"/>
        <color rgb="FFFFEB84"/>
        <color rgb="FF63BE7B"/>
      </colorScale>
    </cfRule>
  </conditionalFormatting>
  <conditionalFormatting sqref="F8260:F8261">
    <cfRule type="colorScale" priority="5806">
      <colorScale>
        <cfvo type="min"/>
        <cfvo type="percentile" val="50"/>
        <cfvo type="max"/>
        <color rgb="FFF8696B"/>
        <color rgb="FFFFEB84"/>
        <color rgb="FF63BE7B"/>
      </colorScale>
    </cfRule>
  </conditionalFormatting>
  <conditionalFormatting sqref="F8265:F8266">
    <cfRule type="colorScale" priority="5811">
      <colorScale>
        <cfvo type="min"/>
        <cfvo type="percentile" val="50"/>
        <cfvo type="max"/>
        <color rgb="FFF8696B"/>
        <color rgb="FFFFEB84"/>
        <color rgb="FF63BE7B"/>
      </colorScale>
    </cfRule>
  </conditionalFormatting>
  <conditionalFormatting sqref="F8270">
    <cfRule type="colorScale" priority="5816">
      <colorScale>
        <cfvo type="min"/>
        <cfvo type="percentile" val="50"/>
        <cfvo type="max"/>
        <color rgb="FFF8696B"/>
        <color rgb="FFFFEB84"/>
        <color rgb="FF63BE7B"/>
      </colorScale>
    </cfRule>
  </conditionalFormatting>
  <conditionalFormatting sqref="F8274">
    <cfRule type="colorScale" priority="5821">
      <colorScale>
        <cfvo type="min"/>
        <cfvo type="percentile" val="50"/>
        <cfvo type="max"/>
        <color rgb="FFF8696B"/>
        <color rgb="FFFFEB84"/>
        <color rgb="FF63BE7B"/>
      </colorScale>
    </cfRule>
  </conditionalFormatting>
  <conditionalFormatting sqref="F8278:F8279">
    <cfRule type="colorScale" priority="5826">
      <colorScale>
        <cfvo type="min"/>
        <cfvo type="percentile" val="50"/>
        <cfvo type="max"/>
        <color rgb="FFF8696B"/>
        <color rgb="FFFFEB84"/>
        <color rgb="FF63BE7B"/>
      </colorScale>
    </cfRule>
  </conditionalFormatting>
  <conditionalFormatting sqref="F8283:F8284">
    <cfRule type="colorScale" priority="5831">
      <colorScale>
        <cfvo type="min"/>
        <cfvo type="percentile" val="50"/>
        <cfvo type="max"/>
        <color rgb="FFF8696B"/>
        <color rgb="FFFFEB84"/>
        <color rgb="FF63BE7B"/>
      </colorScale>
    </cfRule>
  </conditionalFormatting>
  <conditionalFormatting sqref="F8288:F8291">
    <cfRule type="colorScale" priority="5836">
      <colorScale>
        <cfvo type="min"/>
        <cfvo type="percentile" val="50"/>
        <cfvo type="max"/>
        <color rgb="FFF8696B"/>
        <color rgb="FFFFEB84"/>
        <color rgb="FF63BE7B"/>
      </colorScale>
    </cfRule>
  </conditionalFormatting>
  <conditionalFormatting sqref="F8299:F8300">
    <cfRule type="colorScale" priority="5846">
      <colorScale>
        <cfvo type="min"/>
        <cfvo type="percentile" val="50"/>
        <cfvo type="max"/>
        <color rgb="FFF8696B"/>
        <color rgb="FFFFEB84"/>
        <color rgb="FF63BE7B"/>
      </colorScale>
    </cfRule>
  </conditionalFormatting>
  <conditionalFormatting sqref="F8308:F8309">
    <cfRule type="colorScale" priority="5856">
      <colorScale>
        <cfvo type="min"/>
        <cfvo type="percentile" val="50"/>
        <cfvo type="max"/>
        <color rgb="FFF8696B"/>
        <color rgb="FFFFEB84"/>
        <color rgb="FF63BE7B"/>
      </colorScale>
    </cfRule>
  </conditionalFormatting>
  <conditionalFormatting sqref="F8313">
    <cfRule type="colorScale" priority="5861">
      <colorScale>
        <cfvo type="min"/>
        <cfvo type="percentile" val="50"/>
        <cfvo type="max"/>
        <color rgb="FFF8696B"/>
        <color rgb="FFFFEB84"/>
        <color rgb="FF63BE7B"/>
      </colorScale>
    </cfRule>
  </conditionalFormatting>
  <conditionalFormatting sqref="F8317:F8318">
    <cfRule type="colorScale" priority="5866">
      <colorScale>
        <cfvo type="min"/>
        <cfvo type="percentile" val="50"/>
        <cfvo type="max"/>
        <color rgb="FFF8696B"/>
        <color rgb="FFFFEB84"/>
        <color rgb="FF63BE7B"/>
      </colorScale>
    </cfRule>
  </conditionalFormatting>
  <conditionalFormatting sqref="F8322">
    <cfRule type="colorScale" priority="5871">
      <colorScale>
        <cfvo type="min"/>
        <cfvo type="percentile" val="50"/>
        <cfvo type="max"/>
        <color rgb="FFF8696B"/>
        <color rgb="FFFFEB84"/>
        <color rgb="FF63BE7B"/>
      </colorScale>
    </cfRule>
  </conditionalFormatting>
  <conditionalFormatting sqref="F8326:F8327">
    <cfRule type="colorScale" priority="5876">
      <colorScale>
        <cfvo type="min"/>
        <cfvo type="percentile" val="50"/>
        <cfvo type="max"/>
        <color rgb="FFF8696B"/>
        <color rgb="FFFFEB84"/>
        <color rgb="FF63BE7B"/>
      </colorScale>
    </cfRule>
  </conditionalFormatting>
  <conditionalFormatting sqref="F8331:F8332">
    <cfRule type="colorScale" priority="5881">
      <colorScale>
        <cfvo type="min"/>
        <cfvo type="percentile" val="50"/>
        <cfvo type="max"/>
        <color rgb="FFF8696B"/>
        <color rgb="FFFFEB84"/>
        <color rgb="FF63BE7B"/>
      </colorScale>
    </cfRule>
  </conditionalFormatting>
  <conditionalFormatting sqref="F8336:F8337">
    <cfRule type="colorScale" priority="5886">
      <colorScale>
        <cfvo type="min"/>
        <cfvo type="percentile" val="50"/>
        <cfvo type="max"/>
        <color rgb="FFF8696B"/>
        <color rgb="FFFFEB84"/>
        <color rgb="FF63BE7B"/>
      </colorScale>
    </cfRule>
  </conditionalFormatting>
  <conditionalFormatting sqref="F8341:F8342">
    <cfRule type="colorScale" priority="5891">
      <colorScale>
        <cfvo type="min"/>
        <cfvo type="percentile" val="50"/>
        <cfvo type="max"/>
        <color rgb="FFF8696B"/>
        <color rgb="FFFFEB84"/>
        <color rgb="FF63BE7B"/>
      </colorScale>
    </cfRule>
  </conditionalFormatting>
  <conditionalFormatting sqref="F8346">
    <cfRule type="colorScale" priority="5896">
      <colorScale>
        <cfvo type="min"/>
        <cfvo type="percentile" val="50"/>
        <cfvo type="max"/>
        <color rgb="FFF8696B"/>
        <color rgb="FFFFEB84"/>
        <color rgb="FF63BE7B"/>
      </colorScale>
    </cfRule>
  </conditionalFormatting>
  <conditionalFormatting sqref="F8350:F8351">
    <cfRule type="colorScale" priority="5901">
      <colorScale>
        <cfvo type="min"/>
        <cfvo type="percentile" val="50"/>
        <cfvo type="max"/>
        <color rgb="FFF8696B"/>
        <color rgb="FFFFEB84"/>
        <color rgb="FF63BE7B"/>
      </colorScale>
    </cfRule>
  </conditionalFormatting>
  <conditionalFormatting sqref="F8355:F8356">
    <cfRule type="colorScale" priority="5906">
      <colorScale>
        <cfvo type="min"/>
        <cfvo type="percentile" val="50"/>
        <cfvo type="max"/>
        <color rgb="FFF8696B"/>
        <color rgb="FFFFEB84"/>
        <color rgb="FF63BE7B"/>
      </colorScale>
    </cfRule>
  </conditionalFormatting>
  <conditionalFormatting sqref="F8360:F8363">
    <cfRule type="colorScale" priority="5911">
      <colorScale>
        <cfvo type="min"/>
        <cfvo type="percentile" val="50"/>
        <cfvo type="max"/>
        <color rgb="FFF8696B"/>
        <color rgb="FFFFEB84"/>
        <color rgb="FF63BE7B"/>
      </colorScale>
    </cfRule>
  </conditionalFormatting>
  <conditionalFormatting sqref="F8371:F8372">
    <cfRule type="colorScale" priority="5921">
      <colorScale>
        <cfvo type="min"/>
        <cfvo type="percentile" val="50"/>
        <cfvo type="max"/>
        <color rgb="FFF8696B"/>
        <color rgb="FFFFEB84"/>
        <color rgb="FF63BE7B"/>
      </colorScale>
    </cfRule>
  </conditionalFormatting>
  <conditionalFormatting sqref="F8380:F8381">
    <cfRule type="colorScale" priority="5931">
      <colorScale>
        <cfvo type="min"/>
        <cfvo type="percentile" val="50"/>
        <cfvo type="max"/>
        <color rgb="FFF8696B"/>
        <color rgb="FFFFEB84"/>
        <color rgb="FF63BE7B"/>
      </colorScale>
    </cfRule>
  </conditionalFormatting>
  <conditionalFormatting sqref="F8385:F8386">
    <cfRule type="colorScale" priority="5936">
      <colorScale>
        <cfvo type="min"/>
        <cfvo type="percentile" val="50"/>
        <cfvo type="max"/>
        <color rgb="FFF8696B"/>
        <color rgb="FFFFEB84"/>
        <color rgb="FF63BE7B"/>
      </colorScale>
    </cfRule>
  </conditionalFormatting>
  <conditionalFormatting sqref="F8390:F8391">
    <cfRule type="colorScale" priority="5941">
      <colorScale>
        <cfvo type="min"/>
        <cfvo type="percentile" val="50"/>
        <cfvo type="max"/>
        <color rgb="FFF8696B"/>
        <color rgb="FFFFEB84"/>
        <color rgb="FF63BE7B"/>
      </colorScale>
    </cfRule>
  </conditionalFormatting>
  <conditionalFormatting sqref="F8395:F8396">
    <cfRule type="colorScale" priority="5946">
      <colorScale>
        <cfvo type="min"/>
        <cfvo type="percentile" val="50"/>
        <cfvo type="max"/>
        <color rgb="FFF8696B"/>
        <color rgb="FFFFEB84"/>
        <color rgb="FF63BE7B"/>
      </colorScale>
    </cfRule>
  </conditionalFormatting>
  <conditionalFormatting sqref="F8400:F8401">
    <cfRule type="colorScale" priority="5951">
      <colorScale>
        <cfvo type="min"/>
        <cfvo type="percentile" val="50"/>
        <cfvo type="max"/>
        <color rgb="FFF8696B"/>
        <color rgb="FFFFEB84"/>
        <color rgb="FF63BE7B"/>
      </colorScale>
    </cfRule>
  </conditionalFormatting>
  <conditionalFormatting sqref="F8405:F8406">
    <cfRule type="colorScale" priority="5956">
      <colorScale>
        <cfvo type="min"/>
        <cfvo type="percentile" val="50"/>
        <cfvo type="max"/>
        <color rgb="FFF8696B"/>
        <color rgb="FFFFEB84"/>
        <color rgb="FF63BE7B"/>
      </colorScale>
    </cfRule>
  </conditionalFormatting>
  <conditionalFormatting sqref="F8410:F8411">
    <cfRule type="colorScale" priority="5961">
      <colorScale>
        <cfvo type="min"/>
        <cfvo type="percentile" val="50"/>
        <cfvo type="max"/>
        <color rgb="FFF8696B"/>
        <color rgb="FFFFEB84"/>
        <color rgb="FF63BE7B"/>
      </colorScale>
    </cfRule>
  </conditionalFormatting>
  <conditionalFormatting sqref="F8415:F8416">
    <cfRule type="colorScale" priority="5966">
      <colorScale>
        <cfvo type="min"/>
        <cfvo type="percentile" val="50"/>
        <cfvo type="max"/>
        <color rgb="FFF8696B"/>
        <color rgb="FFFFEB84"/>
        <color rgb="FF63BE7B"/>
      </colorScale>
    </cfRule>
  </conditionalFormatting>
  <conditionalFormatting sqref="F8420">
    <cfRule type="colorScale" priority="5971">
      <colorScale>
        <cfvo type="min"/>
        <cfvo type="percentile" val="50"/>
        <cfvo type="max"/>
        <color rgb="FFF8696B"/>
        <color rgb="FFFFEB84"/>
        <color rgb="FF63BE7B"/>
      </colorScale>
    </cfRule>
  </conditionalFormatting>
  <conditionalFormatting sqref="F8424:F8425">
    <cfRule type="colorScale" priority="5976">
      <colorScale>
        <cfvo type="min"/>
        <cfvo type="percentile" val="50"/>
        <cfvo type="max"/>
        <color rgb="FFF8696B"/>
        <color rgb="FFFFEB84"/>
        <color rgb="FF63BE7B"/>
      </colorScale>
    </cfRule>
  </conditionalFormatting>
  <conditionalFormatting sqref="F8429:F8430">
    <cfRule type="colorScale" priority="5981">
      <colorScale>
        <cfvo type="min"/>
        <cfvo type="percentile" val="50"/>
        <cfvo type="max"/>
        <color rgb="FFF8696B"/>
        <color rgb="FFFFEB84"/>
        <color rgb="FF63BE7B"/>
      </colorScale>
    </cfRule>
  </conditionalFormatting>
  <conditionalFormatting sqref="F8434:F8437">
    <cfRule type="colorScale" priority="5986">
      <colorScale>
        <cfvo type="min"/>
        <cfvo type="percentile" val="50"/>
        <cfvo type="max"/>
        <color rgb="FFF8696B"/>
        <color rgb="FFFFEB84"/>
        <color rgb="FF63BE7B"/>
      </colorScale>
    </cfRule>
  </conditionalFormatting>
  <conditionalFormatting sqref="F8445:F8446">
    <cfRule type="colorScale" priority="5996">
      <colorScale>
        <cfvo type="min"/>
        <cfvo type="percentile" val="50"/>
        <cfvo type="max"/>
        <color rgb="FFF8696B"/>
        <color rgb="FFFFEB84"/>
        <color rgb="FF63BE7B"/>
      </colorScale>
    </cfRule>
  </conditionalFormatting>
  <conditionalFormatting sqref="F8454">
    <cfRule type="colorScale" priority="6006">
      <colorScale>
        <cfvo type="min"/>
        <cfvo type="percentile" val="50"/>
        <cfvo type="max"/>
        <color rgb="FFF8696B"/>
        <color rgb="FFFFEB84"/>
        <color rgb="FF63BE7B"/>
      </colorScale>
    </cfRule>
  </conditionalFormatting>
  <conditionalFormatting sqref="F8458">
    <cfRule type="colorScale" priority="6011">
      <colorScale>
        <cfvo type="min"/>
        <cfvo type="percentile" val="50"/>
        <cfvo type="max"/>
        <color rgb="FFF8696B"/>
        <color rgb="FFFFEB84"/>
        <color rgb="FF63BE7B"/>
      </colorScale>
    </cfRule>
  </conditionalFormatting>
  <conditionalFormatting sqref="F8462:F8463">
    <cfRule type="colorScale" priority="6016">
      <colorScale>
        <cfvo type="min"/>
        <cfvo type="percentile" val="50"/>
        <cfvo type="max"/>
        <color rgb="FFF8696B"/>
        <color rgb="FFFFEB84"/>
        <color rgb="FF63BE7B"/>
      </colorScale>
    </cfRule>
  </conditionalFormatting>
  <conditionalFormatting sqref="F8467">
    <cfRule type="colorScale" priority="6021">
      <colorScale>
        <cfvo type="min"/>
        <cfvo type="percentile" val="50"/>
        <cfvo type="max"/>
        <color rgb="FFF8696B"/>
        <color rgb="FFFFEB84"/>
        <color rgb="FF63BE7B"/>
      </colorScale>
    </cfRule>
  </conditionalFormatting>
  <conditionalFormatting sqref="F8471:F8472">
    <cfRule type="colorScale" priority="6026">
      <colorScale>
        <cfvo type="min"/>
        <cfvo type="percentile" val="50"/>
        <cfvo type="max"/>
        <color rgb="FFF8696B"/>
        <color rgb="FFFFEB84"/>
        <color rgb="FF63BE7B"/>
      </colorScale>
    </cfRule>
  </conditionalFormatting>
  <conditionalFormatting sqref="F8476:F8477">
    <cfRule type="colorScale" priority="6031">
      <colorScale>
        <cfvo type="min"/>
        <cfvo type="percentile" val="50"/>
        <cfvo type="max"/>
        <color rgb="FFF8696B"/>
        <color rgb="FFFFEB84"/>
        <color rgb="FF63BE7B"/>
      </colorScale>
    </cfRule>
  </conditionalFormatting>
  <conditionalFormatting sqref="F8481:F8482">
    <cfRule type="colorScale" priority="6036">
      <colorScale>
        <cfvo type="min"/>
        <cfvo type="percentile" val="50"/>
        <cfvo type="max"/>
        <color rgb="FFF8696B"/>
        <color rgb="FFFFEB84"/>
        <color rgb="FF63BE7B"/>
      </colorScale>
    </cfRule>
  </conditionalFormatting>
  <conditionalFormatting sqref="F8486:F8487">
    <cfRule type="colorScale" priority="6041">
      <colorScale>
        <cfvo type="min"/>
        <cfvo type="percentile" val="50"/>
        <cfvo type="max"/>
        <color rgb="FFF8696B"/>
        <color rgb="FFFFEB84"/>
        <color rgb="FF63BE7B"/>
      </colorScale>
    </cfRule>
  </conditionalFormatting>
  <conditionalFormatting sqref="F8491">
    <cfRule type="colorScale" priority="6046">
      <colorScale>
        <cfvo type="min"/>
        <cfvo type="percentile" val="50"/>
        <cfvo type="max"/>
        <color rgb="FFF8696B"/>
        <color rgb="FFFFEB84"/>
        <color rgb="FF63BE7B"/>
      </colorScale>
    </cfRule>
  </conditionalFormatting>
  <conditionalFormatting sqref="F8495:F8496">
    <cfRule type="colorScale" priority="6051">
      <colorScale>
        <cfvo type="min"/>
        <cfvo type="percentile" val="50"/>
        <cfvo type="max"/>
        <color rgb="FFF8696B"/>
        <color rgb="FFFFEB84"/>
        <color rgb="FF63BE7B"/>
      </colorScale>
    </cfRule>
  </conditionalFormatting>
  <conditionalFormatting sqref="F8500:F8501">
    <cfRule type="colorScale" priority="6056">
      <colorScale>
        <cfvo type="min"/>
        <cfvo type="percentile" val="50"/>
        <cfvo type="max"/>
        <color rgb="FFF8696B"/>
        <color rgb="FFFFEB84"/>
        <color rgb="FF63BE7B"/>
      </colorScale>
    </cfRule>
  </conditionalFormatting>
  <conditionalFormatting sqref="F8505:F8508">
    <cfRule type="colorScale" priority="6061">
      <colorScale>
        <cfvo type="min"/>
        <cfvo type="percentile" val="50"/>
        <cfvo type="max"/>
        <color rgb="FFF8696B"/>
        <color rgb="FFFFEB84"/>
        <color rgb="FF63BE7B"/>
      </colorScale>
    </cfRule>
  </conditionalFormatting>
  <conditionalFormatting sqref="F8516">
    <cfRule type="colorScale" priority="6071">
      <colorScale>
        <cfvo type="min"/>
        <cfvo type="percentile" val="50"/>
        <cfvo type="max"/>
        <color rgb="FFF8696B"/>
        <color rgb="FFFFEB84"/>
        <color rgb="FF63BE7B"/>
      </colorScale>
    </cfRule>
  </conditionalFormatting>
  <conditionalFormatting sqref="F8524">
    <cfRule type="colorScale" priority="6081">
      <colorScale>
        <cfvo type="min"/>
        <cfvo type="percentile" val="50"/>
        <cfvo type="max"/>
        <color rgb="FFF8696B"/>
        <color rgb="FFFFEB84"/>
        <color rgb="FF63BE7B"/>
      </colorScale>
    </cfRule>
  </conditionalFormatting>
  <conditionalFormatting sqref="F8528">
    <cfRule type="colorScale" priority="6086">
      <colorScale>
        <cfvo type="min"/>
        <cfvo type="percentile" val="50"/>
        <cfvo type="max"/>
        <color rgb="FFF8696B"/>
        <color rgb="FFFFEB84"/>
        <color rgb="FF63BE7B"/>
      </colorScale>
    </cfRule>
  </conditionalFormatting>
  <conditionalFormatting sqref="F8532">
    <cfRule type="colorScale" priority="6091">
      <colorScale>
        <cfvo type="min"/>
        <cfvo type="percentile" val="50"/>
        <cfvo type="max"/>
        <color rgb="FFF8696B"/>
        <color rgb="FFFFEB84"/>
        <color rgb="FF63BE7B"/>
      </colorScale>
    </cfRule>
  </conditionalFormatting>
  <conditionalFormatting sqref="F8536">
    <cfRule type="colorScale" priority="6096">
      <colorScale>
        <cfvo type="min"/>
        <cfvo type="percentile" val="50"/>
        <cfvo type="max"/>
        <color rgb="FFF8696B"/>
        <color rgb="FFFFEB84"/>
        <color rgb="FF63BE7B"/>
      </colorScale>
    </cfRule>
  </conditionalFormatting>
  <conditionalFormatting sqref="F8540">
    <cfRule type="colorScale" priority="6101">
      <colorScale>
        <cfvo type="min"/>
        <cfvo type="percentile" val="50"/>
        <cfvo type="max"/>
        <color rgb="FFF8696B"/>
        <color rgb="FFFFEB84"/>
        <color rgb="FF63BE7B"/>
      </colorScale>
    </cfRule>
  </conditionalFormatting>
  <conditionalFormatting sqref="F8544:F8545">
    <cfRule type="colorScale" priority="6106">
      <colorScale>
        <cfvo type="min"/>
        <cfvo type="percentile" val="50"/>
        <cfvo type="max"/>
        <color rgb="FFF8696B"/>
        <color rgb="FFFFEB84"/>
        <color rgb="FF63BE7B"/>
      </colorScale>
    </cfRule>
  </conditionalFormatting>
  <conditionalFormatting sqref="F8549:F8550">
    <cfRule type="colorScale" priority="6111">
      <colorScale>
        <cfvo type="min"/>
        <cfvo type="percentile" val="50"/>
        <cfvo type="max"/>
        <color rgb="FFF8696B"/>
        <color rgb="FFFFEB84"/>
        <color rgb="FF63BE7B"/>
      </colorScale>
    </cfRule>
  </conditionalFormatting>
  <conditionalFormatting sqref="F8554:F8555">
    <cfRule type="colorScale" priority="6116">
      <colorScale>
        <cfvo type="min"/>
        <cfvo type="percentile" val="50"/>
        <cfvo type="max"/>
        <color rgb="FFF8696B"/>
        <color rgb="FFFFEB84"/>
        <color rgb="FF63BE7B"/>
      </colorScale>
    </cfRule>
  </conditionalFormatting>
  <conditionalFormatting sqref="F8559">
    <cfRule type="colorScale" priority="6121">
      <colorScale>
        <cfvo type="min"/>
        <cfvo type="percentile" val="50"/>
        <cfvo type="max"/>
        <color rgb="FFF8696B"/>
        <color rgb="FFFFEB84"/>
        <color rgb="FF63BE7B"/>
      </colorScale>
    </cfRule>
  </conditionalFormatting>
  <conditionalFormatting sqref="F8563:F8564">
    <cfRule type="colorScale" priority="6126">
      <colorScale>
        <cfvo type="min"/>
        <cfvo type="percentile" val="50"/>
        <cfvo type="max"/>
        <color rgb="FFF8696B"/>
        <color rgb="FFFFEB84"/>
        <color rgb="FF63BE7B"/>
      </colorScale>
    </cfRule>
  </conditionalFormatting>
  <conditionalFormatting sqref="F8568">
    <cfRule type="colorScale" priority="6131">
      <colorScale>
        <cfvo type="min"/>
        <cfvo type="percentile" val="50"/>
        <cfvo type="max"/>
        <color rgb="FFF8696B"/>
        <color rgb="FFFFEB84"/>
        <color rgb="FF63BE7B"/>
      </colorScale>
    </cfRule>
  </conditionalFormatting>
  <conditionalFormatting sqref="F8572:F8574">
    <cfRule type="colorScale" priority="6136">
      <colorScale>
        <cfvo type="min"/>
        <cfvo type="percentile" val="50"/>
        <cfvo type="max"/>
        <color rgb="FFF8696B"/>
        <color rgb="FFFFEB84"/>
        <color rgb="FF63BE7B"/>
      </colorScale>
    </cfRule>
  </conditionalFormatting>
  <conditionalFormatting sqref="F8582:F8583">
    <cfRule type="colorScale" priority="6146">
      <colorScale>
        <cfvo type="min"/>
        <cfvo type="percentile" val="50"/>
        <cfvo type="max"/>
        <color rgb="FFF8696B"/>
        <color rgb="FFFFEB84"/>
        <color rgb="FF63BE7B"/>
      </colorScale>
    </cfRule>
  </conditionalFormatting>
  <conditionalFormatting sqref="F8591:F8592">
    <cfRule type="colorScale" priority="6156">
      <colorScale>
        <cfvo type="min"/>
        <cfvo type="percentile" val="50"/>
        <cfvo type="max"/>
        <color rgb="FFF8696B"/>
        <color rgb="FFFFEB84"/>
        <color rgb="FF63BE7B"/>
      </colorScale>
    </cfRule>
  </conditionalFormatting>
  <conditionalFormatting sqref="F8596:F8597">
    <cfRule type="colorScale" priority="6161">
      <colorScale>
        <cfvo type="min"/>
        <cfvo type="percentile" val="50"/>
        <cfvo type="max"/>
        <color rgb="FFF8696B"/>
        <color rgb="FFFFEB84"/>
        <color rgb="FF63BE7B"/>
      </colorScale>
    </cfRule>
  </conditionalFormatting>
  <conditionalFormatting sqref="F8601:F8602">
    <cfRule type="colorScale" priority="6166">
      <colorScale>
        <cfvo type="min"/>
        <cfvo type="percentile" val="50"/>
        <cfvo type="max"/>
        <color rgb="FFF8696B"/>
        <color rgb="FFFFEB84"/>
        <color rgb="FF63BE7B"/>
      </colorScale>
    </cfRule>
  </conditionalFormatting>
  <conditionalFormatting sqref="F8606:F8607">
    <cfRule type="colorScale" priority="6171">
      <colorScale>
        <cfvo type="min"/>
        <cfvo type="percentile" val="50"/>
        <cfvo type="max"/>
        <color rgb="FFF8696B"/>
        <color rgb="FFFFEB84"/>
        <color rgb="FF63BE7B"/>
      </colorScale>
    </cfRule>
  </conditionalFormatting>
  <conditionalFormatting sqref="F8611:F8612">
    <cfRule type="colorScale" priority="6176">
      <colorScale>
        <cfvo type="min"/>
        <cfvo type="percentile" val="50"/>
        <cfvo type="max"/>
        <color rgb="FFF8696B"/>
        <color rgb="FFFFEB84"/>
        <color rgb="FF63BE7B"/>
      </colorScale>
    </cfRule>
  </conditionalFormatting>
  <conditionalFormatting sqref="F8616:F8617">
    <cfRule type="colorScale" priority="6181">
      <colorScale>
        <cfvo type="min"/>
        <cfvo type="percentile" val="50"/>
        <cfvo type="max"/>
        <color rgb="FFF8696B"/>
        <color rgb="FFFFEB84"/>
        <color rgb="FF63BE7B"/>
      </colorScale>
    </cfRule>
  </conditionalFormatting>
  <conditionalFormatting sqref="F8621:F8622">
    <cfRule type="colorScale" priority="6186">
      <colorScale>
        <cfvo type="min"/>
        <cfvo type="percentile" val="50"/>
        <cfvo type="max"/>
        <color rgb="FFF8696B"/>
        <color rgb="FFFFEB84"/>
        <color rgb="FF63BE7B"/>
      </colorScale>
    </cfRule>
  </conditionalFormatting>
  <conditionalFormatting sqref="F8626:F8627">
    <cfRule type="colorScale" priority="6191">
      <colorScale>
        <cfvo type="min"/>
        <cfvo type="percentile" val="50"/>
        <cfvo type="max"/>
        <color rgb="FFF8696B"/>
        <color rgb="FFFFEB84"/>
        <color rgb="FF63BE7B"/>
      </colorScale>
    </cfRule>
  </conditionalFormatting>
  <conditionalFormatting sqref="F8631">
    <cfRule type="colorScale" priority="6196">
      <colorScale>
        <cfvo type="min"/>
        <cfvo type="percentile" val="50"/>
        <cfvo type="max"/>
        <color rgb="FFF8696B"/>
        <color rgb="FFFFEB84"/>
        <color rgb="FF63BE7B"/>
      </colorScale>
    </cfRule>
  </conditionalFormatting>
  <conditionalFormatting sqref="F8635:F8636">
    <cfRule type="colorScale" priority="6201">
      <colorScale>
        <cfvo type="min"/>
        <cfvo type="percentile" val="50"/>
        <cfvo type="max"/>
        <color rgb="FFF8696B"/>
        <color rgb="FFFFEB84"/>
        <color rgb="FF63BE7B"/>
      </colorScale>
    </cfRule>
  </conditionalFormatting>
  <conditionalFormatting sqref="F8640:F8641">
    <cfRule type="colorScale" priority="6206">
      <colorScale>
        <cfvo type="min"/>
        <cfvo type="percentile" val="50"/>
        <cfvo type="max"/>
        <color rgb="FFF8696B"/>
        <color rgb="FFFFEB84"/>
        <color rgb="FF63BE7B"/>
      </colorScale>
    </cfRule>
  </conditionalFormatting>
  <conditionalFormatting sqref="F8645:F8648">
    <cfRule type="colorScale" priority="6211">
      <colorScale>
        <cfvo type="min"/>
        <cfvo type="percentile" val="50"/>
        <cfvo type="max"/>
        <color rgb="FFF8696B"/>
        <color rgb="FFFFEB84"/>
        <color rgb="FF63BE7B"/>
      </colorScale>
    </cfRule>
  </conditionalFormatting>
  <conditionalFormatting sqref="F8656:F8657">
    <cfRule type="colorScale" priority="6221">
      <colorScale>
        <cfvo type="min"/>
        <cfvo type="percentile" val="50"/>
        <cfvo type="max"/>
        <color rgb="FFF8696B"/>
        <color rgb="FFFFEB84"/>
        <color rgb="FF63BE7B"/>
      </colorScale>
    </cfRule>
  </conditionalFormatting>
  <conditionalFormatting sqref="F8665:F8666">
    <cfRule type="colorScale" priority="6231">
      <colorScale>
        <cfvo type="min"/>
        <cfvo type="percentile" val="50"/>
        <cfvo type="max"/>
        <color rgb="FFF8696B"/>
        <color rgb="FFFFEB84"/>
        <color rgb="FF63BE7B"/>
      </colorScale>
    </cfRule>
  </conditionalFormatting>
  <conditionalFormatting sqref="F8670">
    <cfRule type="colorScale" priority="6236">
      <colorScale>
        <cfvo type="min"/>
        <cfvo type="percentile" val="50"/>
        <cfvo type="max"/>
        <color rgb="FFF8696B"/>
        <color rgb="FFFFEB84"/>
        <color rgb="FF63BE7B"/>
      </colorScale>
    </cfRule>
  </conditionalFormatting>
  <conditionalFormatting sqref="F8674:F8675">
    <cfRule type="colorScale" priority="6241">
      <colorScale>
        <cfvo type="min"/>
        <cfvo type="percentile" val="50"/>
        <cfvo type="max"/>
        <color rgb="FFF8696B"/>
        <color rgb="FFFFEB84"/>
        <color rgb="FF63BE7B"/>
      </colorScale>
    </cfRule>
  </conditionalFormatting>
  <conditionalFormatting sqref="F8679:F8680">
    <cfRule type="colorScale" priority="6246">
      <colorScale>
        <cfvo type="min"/>
        <cfvo type="percentile" val="50"/>
        <cfvo type="max"/>
        <color rgb="FFF8696B"/>
        <color rgb="FFFFEB84"/>
        <color rgb="FF63BE7B"/>
      </colorScale>
    </cfRule>
  </conditionalFormatting>
  <conditionalFormatting sqref="F8684:F8685">
    <cfRule type="colorScale" priority="6251">
      <colorScale>
        <cfvo type="min"/>
        <cfvo type="percentile" val="50"/>
        <cfvo type="max"/>
        <color rgb="FFF8696B"/>
        <color rgb="FFFFEB84"/>
        <color rgb="FF63BE7B"/>
      </colorScale>
    </cfRule>
  </conditionalFormatting>
  <conditionalFormatting sqref="F8689:F8690">
    <cfRule type="colorScale" priority="6256">
      <colorScale>
        <cfvo type="min"/>
        <cfvo type="percentile" val="50"/>
        <cfvo type="max"/>
        <color rgb="FFF8696B"/>
        <color rgb="FFFFEB84"/>
        <color rgb="FF63BE7B"/>
      </colorScale>
    </cfRule>
  </conditionalFormatting>
  <conditionalFormatting sqref="F8694:F8695">
    <cfRule type="colorScale" priority="6261">
      <colorScale>
        <cfvo type="min"/>
        <cfvo type="percentile" val="50"/>
        <cfvo type="max"/>
        <color rgb="FFF8696B"/>
        <color rgb="FFFFEB84"/>
        <color rgb="FF63BE7B"/>
      </colorScale>
    </cfRule>
  </conditionalFormatting>
  <conditionalFormatting sqref="F8699:F8700">
    <cfRule type="colorScale" priority="6266">
      <colorScale>
        <cfvo type="min"/>
        <cfvo type="percentile" val="50"/>
        <cfvo type="max"/>
        <color rgb="FFF8696B"/>
        <color rgb="FFFFEB84"/>
        <color rgb="FF63BE7B"/>
      </colorScale>
    </cfRule>
  </conditionalFormatting>
  <conditionalFormatting sqref="F8704">
    <cfRule type="colorScale" priority="6271">
      <colorScale>
        <cfvo type="min"/>
        <cfvo type="percentile" val="50"/>
        <cfvo type="max"/>
        <color rgb="FFF8696B"/>
        <color rgb="FFFFEB84"/>
        <color rgb="FF63BE7B"/>
      </colorScale>
    </cfRule>
  </conditionalFormatting>
  <conditionalFormatting sqref="F8708:F8709">
    <cfRule type="colorScale" priority="6276">
      <colorScale>
        <cfvo type="min"/>
        <cfvo type="percentile" val="50"/>
        <cfvo type="max"/>
        <color rgb="FFF8696B"/>
        <color rgb="FFFFEB84"/>
        <color rgb="FF63BE7B"/>
      </colorScale>
    </cfRule>
  </conditionalFormatting>
  <conditionalFormatting sqref="F8713:F8714">
    <cfRule type="colorScale" priority="6281">
      <colorScale>
        <cfvo type="min"/>
        <cfvo type="percentile" val="50"/>
        <cfvo type="max"/>
        <color rgb="FFF8696B"/>
        <color rgb="FFFFEB84"/>
        <color rgb="FF63BE7B"/>
      </colorScale>
    </cfRule>
  </conditionalFormatting>
  <conditionalFormatting sqref="F8718:F8721">
    <cfRule type="colorScale" priority="6286">
      <colorScale>
        <cfvo type="min"/>
        <cfvo type="percentile" val="50"/>
        <cfvo type="max"/>
        <color rgb="FFF8696B"/>
        <color rgb="FFFFEB84"/>
        <color rgb="FF63BE7B"/>
      </colorScale>
    </cfRule>
  </conditionalFormatting>
  <conditionalFormatting sqref="F8729:F8730">
    <cfRule type="colorScale" priority="6296">
      <colorScale>
        <cfvo type="min"/>
        <cfvo type="percentile" val="50"/>
        <cfvo type="max"/>
        <color rgb="FFF8696B"/>
        <color rgb="FFFFEB84"/>
        <color rgb="FF63BE7B"/>
      </colorScale>
    </cfRule>
  </conditionalFormatting>
  <conditionalFormatting sqref="F8738:F8739">
    <cfRule type="colorScale" priority="6306">
      <colorScale>
        <cfvo type="min"/>
        <cfvo type="percentile" val="50"/>
        <cfvo type="max"/>
        <color rgb="FFF8696B"/>
        <color rgb="FFFFEB84"/>
        <color rgb="FF63BE7B"/>
      </colorScale>
    </cfRule>
  </conditionalFormatting>
  <conditionalFormatting sqref="F8743">
    <cfRule type="colorScale" priority="6311">
      <colorScale>
        <cfvo type="min"/>
        <cfvo type="percentile" val="50"/>
        <cfvo type="max"/>
        <color rgb="FFF8696B"/>
        <color rgb="FFFFEB84"/>
        <color rgb="FF63BE7B"/>
      </colorScale>
    </cfRule>
  </conditionalFormatting>
  <conditionalFormatting sqref="F8747:F8748">
    <cfRule type="colorScale" priority="6316">
      <colorScale>
        <cfvo type="min"/>
        <cfvo type="percentile" val="50"/>
        <cfvo type="max"/>
        <color rgb="FFF8696B"/>
        <color rgb="FFFFEB84"/>
        <color rgb="FF63BE7B"/>
      </colorScale>
    </cfRule>
  </conditionalFormatting>
  <conditionalFormatting sqref="F8752:F8753">
    <cfRule type="colorScale" priority="6321">
      <colorScale>
        <cfvo type="min"/>
        <cfvo type="percentile" val="50"/>
        <cfvo type="max"/>
        <color rgb="FFF8696B"/>
        <color rgb="FFFFEB84"/>
        <color rgb="FF63BE7B"/>
      </colorScale>
    </cfRule>
  </conditionalFormatting>
  <conditionalFormatting sqref="F8757:F8758">
    <cfRule type="colorScale" priority="6326">
      <colorScale>
        <cfvo type="min"/>
        <cfvo type="percentile" val="50"/>
        <cfvo type="max"/>
        <color rgb="FFF8696B"/>
        <color rgb="FFFFEB84"/>
        <color rgb="FF63BE7B"/>
      </colorScale>
    </cfRule>
  </conditionalFormatting>
  <conditionalFormatting sqref="F8762:F8763">
    <cfRule type="colorScale" priority="6331">
      <colorScale>
        <cfvo type="min"/>
        <cfvo type="percentile" val="50"/>
        <cfvo type="max"/>
        <color rgb="FFF8696B"/>
        <color rgb="FFFFEB84"/>
        <color rgb="FF63BE7B"/>
      </colorScale>
    </cfRule>
  </conditionalFormatting>
  <conditionalFormatting sqref="F8767:F8768">
    <cfRule type="colorScale" priority="6336">
      <colorScale>
        <cfvo type="min"/>
        <cfvo type="percentile" val="50"/>
        <cfvo type="max"/>
        <color rgb="FFF8696B"/>
        <color rgb="FFFFEB84"/>
        <color rgb="FF63BE7B"/>
      </colorScale>
    </cfRule>
  </conditionalFormatting>
  <conditionalFormatting sqref="F8772:F8773">
    <cfRule type="colorScale" priority="6341">
      <colorScale>
        <cfvo type="min"/>
        <cfvo type="percentile" val="50"/>
        <cfvo type="max"/>
        <color rgb="FFF8696B"/>
        <color rgb="FFFFEB84"/>
        <color rgb="FF63BE7B"/>
      </colorScale>
    </cfRule>
  </conditionalFormatting>
  <conditionalFormatting sqref="F8777">
    <cfRule type="colorScale" priority="6346">
      <colorScale>
        <cfvo type="min"/>
        <cfvo type="percentile" val="50"/>
        <cfvo type="max"/>
        <color rgb="FFF8696B"/>
        <color rgb="FFFFEB84"/>
        <color rgb="FF63BE7B"/>
      </colorScale>
    </cfRule>
  </conditionalFormatting>
  <conditionalFormatting sqref="F8781:F8782">
    <cfRule type="colorScale" priority="6351">
      <colorScale>
        <cfvo type="min"/>
        <cfvo type="percentile" val="50"/>
        <cfvo type="max"/>
        <color rgb="FFF8696B"/>
        <color rgb="FFFFEB84"/>
        <color rgb="FF63BE7B"/>
      </colorScale>
    </cfRule>
  </conditionalFormatting>
  <conditionalFormatting sqref="F8786:F8787">
    <cfRule type="colorScale" priority="6356">
      <colorScale>
        <cfvo type="min"/>
        <cfvo type="percentile" val="50"/>
        <cfvo type="max"/>
        <color rgb="FFF8696B"/>
        <color rgb="FFFFEB84"/>
        <color rgb="FF63BE7B"/>
      </colorScale>
    </cfRule>
  </conditionalFormatting>
  <conditionalFormatting sqref="F8791:F8794">
    <cfRule type="colorScale" priority="6361">
      <colorScale>
        <cfvo type="min"/>
        <cfvo type="percentile" val="50"/>
        <cfvo type="max"/>
        <color rgb="FFF8696B"/>
        <color rgb="FFFFEB84"/>
        <color rgb="FF63BE7B"/>
      </colorScale>
    </cfRule>
  </conditionalFormatting>
  <conditionalFormatting sqref="F8802:F8803">
    <cfRule type="colorScale" priority="6371">
      <colorScale>
        <cfvo type="min"/>
        <cfvo type="percentile" val="50"/>
        <cfvo type="max"/>
        <color rgb="FFF8696B"/>
        <color rgb="FFFFEB84"/>
        <color rgb="FF63BE7B"/>
      </colorScale>
    </cfRule>
  </conditionalFormatting>
  <conditionalFormatting sqref="F8811:F8812">
    <cfRule type="colorScale" priority="6381">
      <colorScale>
        <cfvo type="min"/>
        <cfvo type="percentile" val="50"/>
        <cfvo type="max"/>
        <color rgb="FFF8696B"/>
        <color rgb="FFFFEB84"/>
        <color rgb="FF63BE7B"/>
      </colorScale>
    </cfRule>
  </conditionalFormatting>
  <conditionalFormatting sqref="F8816">
    <cfRule type="colorScale" priority="6386">
      <colorScale>
        <cfvo type="min"/>
        <cfvo type="percentile" val="50"/>
        <cfvo type="max"/>
        <color rgb="FFF8696B"/>
        <color rgb="FFFFEB84"/>
        <color rgb="FF63BE7B"/>
      </colorScale>
    </cfRule>
  </conditionalFormatting>
  <conditionalFormatting sqref="F8820">
    <cfRule type="colorScale" priority="6391">
      <colorScale>
        <cfvo type="min"/>
        <cfvo type="percentile" val="50"/>
        <cfvo type="max"/>
        <color rgb="FFF8696B"/>
        <color rgb="FFFFEB84"/>
        <color rgb="FF63BE7B"/>
      </colorScale>
    </cfRule>
  </conditionalFormatting>
  <conditionalFormatting sqref="F8824:F8825">
    <cfRule type="colorScale" priority="6396">
      <colorScale>
        <cfvo type="min"/>
        <cfvo type="percentile" val="50"/>
        <cfvo type="max"/>
        <color rgb="FFF8696B"/>
        <color rgb="FFFFEB84"/>
        <color rgb="FF63BE7B"/>
      </colorScale>
    </cfRule>
  </conditionalFormatting>
  <conditionalFormatting sqref="F8829:F8830">
    <cfRule type="colorScale" priority="6401">
      <colorScale>
        <cfvo type="min"/>
        <cfvo type="percentile" val="50"/>
        <cfvo type="max"/>
        <color rgb="FFF8696B"/>
        <color rgb="FFFFEB84"/>
        <color rgb="FF63BE7B"/>
      </colorScale>
    </cfRule>
  </conditionalFormatting>
  <conditionalFormatting sqref="F8834:F8835">
    <cfRule type="colorScale" priority="6406">
      <colorScale>
        <cfvo type="min"/>
        <cfvo type="percentile" val="50"/>
        <cfvo type="max"/>
        <color rgb="FFF8696B"/>
        <color rgb="FFFFEB84"/>
        <color rgb="FF63BE7B"/>
      </colorScale>
    </cfRule>
  </conditionalFormatting>
  <conditionalFormatting sqref="F8839:F8840">
    <cfRule type="colorScale" priority="6411">
      <colorScale>
        <cfvo type="min"/>
        <cfvo type="percentile" val="50"/>
        <cfvo type="max"/>
        <color rgb="FFF8696B"/>
        <color rgb="FFFFEB84"/>
        <color rgb="FF63BE7B"/>
      </colorScale>
    </cfRule>
  </conditionalFormatting>
  <conditionalFormatting sqref="F8844:F8845">
    <cfRule type="colorScale" priority="6416">
      <colorScale>
        <cfvo type="min"/>
        <cfvo type="percentile" val="50"/>
        <cfvo type="max"/>
        <color rgb="FFF8696B"/>
        <color rgb="FFFFEB84"/>
        <color rgb="FF63BE7B"/>
      </colorScale>
    </cfRule>
  </conditionalFormatting>
  <conditionalFormatting sqref="F8849">
    <cfRule type="colorScale" priority="6421">
      <colorScale>
        <cfvo type="min"/>
        <cfvo type="percentile" val="50"/>
        <cfvo type="max"/>
        <color rgb="FFF8696B"/>
        <color rgb="FFFFEB84"/>
        <color rgb="FF63BE7B"/>
      </colorScale>
    </cfRule>
  </conditionalFormatting>
  <conditionalFormatting sqref="F8853:F8854">
    <cfRule type="colorScale" priority="6426">
      <colorScale>
        <cfvo type="min"/>
        <cfvo type="percentile" val="50"/>
        <cfvo type="max"/>
        <color rgb="FFF8696B"/>
        <color rgb="FFFFEB84"/>
        <color rgb="FF63BE7B"/>
      </colorScale>
    </cfRule>
  </conditionalFormatting>
  <conditionalFormatting sqref="F8858:F8859">
    <cfRule type="colorScale" priority="6431">
      <colorScale>
        <cfvo type="min"/>
        <cfvo type="percentile" val="50"/>
        <cfvo type="max"/>
        <color rgb="FFF8696B"/>
        <color rgb="FFFFEB84"/>
        <color rgb="FF63BE7B"/>
      </colorScale>
    </cfRule>
  </conditionalFormatting>
  <conditionalFormatting sqref="F8863:F8866">
    <cfRule type="colorScale" priority="6436">
      <colorScale>
        <cfvo type="min"/>
        <cfvo type="percentile" val="50"/>
        <cfvo type="max"/>
        <color rgb="FFF8696B"/>
        <color rgb="FFFFEB84"/>
        <color rgb="FF63BE7B"/>
      </colorScale>
    </cfRule>
  </conditionalFormatting>
  <conditionalFormatting sqref="F8874:F8875">
    <cfRule type="colorScale" priority="6446">
      <colorScale>
        <cfvo type="min"/>
        <cfvo type="percentile" val="50"/>
        <cfvo type="max"/>
        <color rgb="FFF8696B"/>
        <color rgb="FFFFEB84"/>
        <color rgb="FF63BE7B"/>
      </colorScale>
    </cfRule>
  </conditionalFormatting>
  <conditionalFormatting sqref="F8883:F8884">
    <cfRule type="colorScale" priority="6456">
      <colorScale>
        <cfvo type="min"/>
        <cfvo type="percentile" val="50"/>
        <cfvo type="max"/>
        <color rgb="FFF8696B"/>
        <color rgb="FFFFEB84"/>
        <color rgb="FF63BE7B"/>
      </colorScale>
    </cfRule>
  </conditionalFormatting>
  <conditionalFormatting sqref="F8888">
    <cfRule type="colorScale" priority="6461">
      <colorScale>
        <cfvo type="min"/>
        <cfvo type="percentile" val="50"/>
        <cfvo type="max"/>
        <color rgb="FFF8696B"/>
        <color rgb="FFFFEB84"/>
        <color rgb="FF63BE7B"/>
      </colorScale>
    </cfRule>
  </conditionalFormatting>
  <conditionalFormatting sqref="F8892:F8893">
    <cfRule type="colorScale" priority="6466">
      <colorScale>
        <cfvo type="min"/>
        <cfvo type="percentile" val="50"/>
        <cfvo type="max"/>
        <color rgb="FFF8696B"/>
        <color rgb="FFFFEB84"/>
        <color rgb="FF63BE7B"/>
      </colorScale>
    </cfRule>
  </conditionalFormatting>
  <conditionalFormatting sqref="F8897:F8898">
    <cfRule type="colorScale" priority="6471">
      <colorScale>
        <cfvo type="min"/>
        <cfvo type="percentile" val="50"/>
        <cfvo type="max"/>
        <color rgb="FFF8696B"/>
        <color rgb="FFFFEB84"/>
        <color rgb="FF63BE7B"/>
      </colorScale>
    </cfRule>
  </conditionalFormatting>
  <conditionalFormatting sqref="F8902:F8903">
    <cfRule type="colorScale" priority="6476">
      <colorScale>
        <cfvo type="min"/>
        <cfvo type="percentile" val="50"/>
        <cfvo type="max"/>
        <color rgb="FFF8696B"/>
        <color rgb="FFFFEB84"/>
        <color rgb="FF63BE7B"/>
      </colorScale>
    </cfRule>
  </conditionalFormatting>
  <conditionalFormatting sqref="F8907:F8908">
    <cfRule type="colorScale" priority="6481">
      <colorScale>
        <cfvo type="min"/>
        <cfvo type="percentile" val="50"/>
        <cfvo type="max"/>
        <color rgb="FFF8696B"/>
        <color rgb="FFFFEB84"/>
        <color rgb="FF63BE7B"/>
      </colorScale>
    </cfRule>
  </conditionalFormatting>
  <conditionalFormatting sqref="F8912:F8913">
    <cfRule type="colorScale" priority="6486">
      <colorScale>
        <cfvo type="min"/>
        <cfvo type="percentile" val="50"/>
        <cfvo type="max"/>
        <color rgb="FFF8696B"/>
        <color rgb="FFFFEB84"/>
        <color rgb="FF63BE7B"/>
      </colorScale>
    </cfRule>
  </conditionalFormatting>
  <conditionalFormatting sqref="F8917:F8918">
    <cfRule type="colorScale" priority="6491">
      <colorScale>
        <cfvo type="min"/>
        <cfvo type="percentile" val="50"/>
        <cfvo type="max"/>
        <color rgb="FFF8696B"/>
        <color rgb="FFFFEB84"/>
        <color rgb="FF63BE7B"/>
      </colorScale>
    </cfRule>
  </conditionalFormatting>
  <conditionalFormatting sqref="F8922">
    <cfRule type="colorScale" priority="6496">
      <colorScale>
        <cfvo type="min"/>
        <cfvo type="percentile" val="50"/>
        <cfvo type="max"/>
        <color rgb="FFF8696B"/>
        <color rgb="FFFFEB84"/>
        <color rgb="FF63BE7B"/>
      </colorScale>
    </cfRule>
  </conditionalFormatting>
  <conditionalFormatting sqref="F8926:F8927">
    <cfRule type="colorScale" priority="6501">
      <colorScale>
        <cfvo type="min"/>
        <cfvo type="percentile" val="50"/>
        <cfvo type="max"/>
        <color rgb="FFF8696B"/>
        <color rgb="FFFFEB84"/>
        <color rgb="FF63BE7B"/>
      </colorScale>
    </cfRule>
  </conditionalFormatting>
  <conditionalFormatting sqref="F8931:F8932">
    <cfRule type="colorScale" priority="6506">
      <colorScale>
        <cfvo type="min"/>
        <cfvo type="percentile" val="50"/>
        <cfvo type="max"/>
        <color rgb="FFF8696B"/>
        <color rgb="FFFFEB84"/>
        <color rgb="FF63BE7B"/>
      </colorScale>
    </cfRule>
  </conditionalFormatting>
  <conditionalFormatting sqref="F8936:F8939">
    <cfRule type="colorScale" priority="6511">
      <colorScale>
        <cfvo type="min"/>
        <cfvo type="percentile" val="50"/>
        <cfvo type="max"/>
        <color rgb="FFF8696B"/>
        <color rgb="FFFFEB84"/>
        <color rgb="FF63BE7B"/>
      </colorScale>
    </cfRule>
  </conditionalFormatting>
  <conditionalFormatting sqref="F8947:F8948">
    <cfRule type="colorScale" priority="6521">
      <colorScale>
        <cfvo type="min"/>
        <cfvo type="percentile" val="50"/>
        <cfvo type="max"/>
        <color rgb="FFF8696B"/>
        <color rgb="FFFFEB84"/>
        <color rgb="FF63BE7B"/>
      </colorScale>
    </cfRule>
  </conditionalFormatting>
  <conditionalFormatting sqref="F8956:F8957">
    <cfRule type="colorScale" priority="6531">
      <colorScale>
        <cfvo type="min"/>
        <cfvo type="percentile" val="50"/>
        <cfvo type="max"/>
        <color rgb="FFF8696B"/>
        <color rgb="FFFFEB84"/>
        <color rgb="FF63BE7B"/>
      </colorScale>
    </cfRule>
  </conditionalFormatting>
  <conditionalFormatting sqref="F8961:F8962">
    <cfRule type="colorScale" priority="6536">
      <colorScale>
        <cfvo type="min"/>
        <cfvo type="percentile" val="50"/>
        <cfvo type="max"/>
        <color rgb="FFF8696B"/>
        <color rgb="FFFFEB84"/>
        <color rgb="FF63BE7B"/>
      </colorScale>
    </cfRule>
  </conditionalFormatting>
  <conditionalFormatting sqref="F8966:F8967">
    <cfRule type="colorScale" priority="6541">
      <colorScale>
        <cfvo type="min"/>
        <cfvo type="percentile" val="50"/>
        <cfvo type="max"/>
        <color rgb="FFF8696B"/>
        <color rgb="FFFFEB84"/>
        <color rgb="FF63BE7B"/>
      </colorScale>
    </cfRule>
  </conditionalFormatting>
  <conditionalFormatting sqref="F8971:F8972">
    <cfRule type="colorScale" priority="6546">
      <colorScale>
        <cfvo type="min"/>
        <cfvo type="percentile" val="50"/>
        <cfvo type="max"/>
        <color rgb="FFF8696B"/>
        <color rgb="FFFFEB84"/>
        <color rgb="FF63BE7B"/>
      </colorScale>
    </cfRule>
  </conditionalFormatting>
  <conditionalFormatting sqref="F8976:F8977">
    <cfRule type="colorScale" priority="6551">
      <colorScale>
        <cfvo type="min"/>
        <cfvo type="percentile" val="50"/>
        <cfvo type="max"/>
        <color rgb="FFF8696B"/>
        <color rgb="FFFFEB84"/>
        <color rgb="FF63BE7B"/>
      </colorScale>
    </cfRule>
  </conditionalFormatting>
  <conditionalFormatting sqref="F8981:F8982">
    <cfRule type="colorScale" priority="6556">
      <colorScale>
        <cfvo type="min"/>
        <cfvo type="percentile" val="50"/>
        <cfvo type="max"/>
        <color rgb="FFF8696B"/>
        <color rgb="FFFFEB84"/>
        <color rgb="FF63BE7B"/>
      </colorScale>
    </cfRule>
  </conditionalFormatting>
  <conditionalFormatting sqref="F8986:F8987">
    <cfRule type="colorScale" priority="6561">
      <colorScale>
        <cfvo type="min"/>
        <cfvo type="percentile" val="50"/>
        <cfvo type="max"/>
        <color rgb="FFF8696B"/>
        <color rgb="FFFFEB84"/>
        <color rgb="FF63BE7B"/>
      </colorScale>
    </cfRule>
  </conditionalFormatting>
  <conditionalFormatting sqref="F8991:F8992">
    <cfRule type="colorScale" priority="6566">
      <colorScale>
        <cfvo type="min"/>
        <cfvo type="percentile" val="50"/>
        <cfvo type="max"/>
        <color rgb="FFF8696B"/>
        <color rgb="FFFFEB84"/>
        <color rgb="FF63BE7B"/>
      </colorScale>
    </cfRule>
  </conditionalFormatting>
  <conditionalFormatting sqref="F8996">
    <cfRule type="colorScale" priority="6571">
      <colorScale>
        <cfvo type="min"/>
        <cfvo type="percentile" val="50"/>
        <cfvo type="max"/>
        <color rgb="FFF8696B"/>
        <color rgb="FFFFEB84"/>
        <color rgb="FF63BE7B"/>
      </colorScale>
    </cfRule>
  </conditionalFormatting>
  <conditionalFormatting sqref="F9000:F9001">
    <cfRule type="colorScale" priority="6576">
      <colorScale>
        <cfvo type="min"/>
        <cfvo type="percentile" val="50"/>
        <cfvo type="max"/>
        <color rgb="FFF8696B"/>
        <color rgb="FFFFEB84"/>
        <color rgb="FF63BE7B"/>
      </colorScale>
    </cfRule>
  </conditionalFormatting>
  <conditionalFormatting sqref="F9005:F9006">
    <cfRule type="colorScale" priority="6581">
      <colorScale>
        <cfvo type="min"/>
        <cfvo type="percentile" val="50"/>
        <cfvo type="max"/>
        <color rgb="FFF8696B"/>
        <color rgb="FFFFEB84"/>
        <color rgb="FF63BE7B"/>
      </colorScale>
    </cfRule>
  </conditionalFormatting>
  <conditionalFormatting sqref="F9010:F9013">
    <cfRule type="colorScale" priority="6586">
      <colorScale>
        <cfvo type="min"/>
        <cfvo type="percentile" val="50"/>
        <cfvo type="max"/>
        <color rgb="FFF8696B"/>
        <color rgb="FFFFEB84"/>
        <color rgb="FF63BE7B"/>
      </colorScale>
    </cfRule>
  </conditionalFormatting>
  <conditionalFormatting sqref="F9021:F9022">
    <cfRule type="colorScale" priority="6596">
      <colorScale>
        <cfvo type="min"/>
        <cfvo type="percentile" val="50"/>
        <cfvo type="max"/>
        <color rgb="FFF8696B"/>
        <color rgb="FFFFEB84"/>
        <color rgb="FF63BE7B"/>
      </colorScale>
    </cfRule>
  </conditionalFormatting>
  <conditionalFormatting sqref="F9030:F9031">
    <cfRule type="colorScale" priority="6606">
      <colorScale>
        <cfvo type="min"/>
        <cfvo type="percentile" val="50"/>
        <cfvo type="max"/>
        <color rgb="FFF8696B"/>
        <color rgb="FFFFEB84"/>
        <color rgb="FF63BE7B"/>
      </colorScale>
    </cfRule>
  </conditionalFormatting>
  <conditionalFormatting sqref="F9035">
    <cfRule type="colorScale" priority="6611">
      <colorScale>
        <cfvo type="min"/>
        <cfvo type="percentile" val="50"/>
        <cfvo type="max"/>
        <color rgb="FFF8696B"/>
        <color rgb="FFFFEB84"/>
        <color rgb="FF63BE7B"/>
      </colorScale>
    </cfRule>
  </conditionalFormatting>
  <conditionalFormatting sqref="F9039:F9040">
    <cfRule type="colorScale" priority="6616">
      <colorScale>
        <cfvo type="min"/>
        <cfvo type="percentile" val="50"/>
        <cfvo type="max"/>
        <color rgb="FFF8696B"/>
        <color rgb="FFFFEB84"/>
        <color rgb="FF63BE7B"/>
      </colorScale>
    </cfRule>
  </conditionalFormatting>
  <conditionalFormatting sqref="F9044">
    <cfRule type="colorScale" priority="6621">
      <colorScale>
        <cfvo type="min"/>
        <cfvo type="percentile" val="50"/>
        <cfvo type="max"/>
        <color rgb="FFF8696B"/>
        <color rgb="FFFFEB84"/>
        <color rgb="FF63BE7B"/>
      </colorScale>
    </cfRule>
  </conditionalFormatting>
  <conditionalFormatting sqref="F9048:F9049">
    <cfRule type="colorScale" priority="6626">
      <colorScale>
        <cfvo type="min"/>
        <cfvo type="percentile" val="50"/>
        <cfvo type="max"/>
        <color rgb="FFF8696B"/>
        <color rgb="FFFFEB84"/>
        <color rgb="FF63BE7B"/>
      </colorScale>
    </cfRule>
  </conditionalFormatting>
  <conditionalFormatting sqref="F9053:F9054">
    <cfRule type="colorScale" priority="6631">
      <colorScale>
        <cfvo type="min"/>
        <cfvo type="percentile" val="50"/>
        <cfvo type="max"/>
        <color rgb="FFF8696B"/>
        <color rgb="FFFFEB84"/>
        <color rgb="FF63BE7B"/>
      </colorScale>
    </cfRule>
  </conditionalFormatting>
  <conditionalFormatting sqref="F9058:F9059">
    <cfRule type="colorScale" priority="6636">
      <colorScale>
        <cfvo type="min"/>
        <cfvo type="percentile" val="50"/>
        <cfvo type="max"/>
        <color rgb="FFF8696B"/>
        <color rgb="FFFFEB84"/>
        <color rgb="FF63BE7B"/>
      </colorScale>
    </cfRule>
  </conditionalFormatting>
  <conditionalFormatting sqref="F9063:F9064">
    <cfRule type="colorScale" priority="6641">
      <colorScale>
        <cfvo type="min"/>
        <cfvo type="percentile" val="50"/>
        <cfvo type="max"/>
        <color rgb="FFF8696B"/>
        <color rgb="FFFFEB84"/>
        <color rgb="FF63BE7B"/>
      </colorScale>
    </cfRule>
  </conditionalFormatting>
  <conditionalFormatting sqref="F9068">
    <cfRule type="colorScale" priority="6646">
      <colorScale>
        <cfvo type="min"/>
        <cfvo type="percentile" val="50"/>
        <cfvo type="max"/>
        <color rgb="FFF8696B"/>
        <color rgb="FFFFEB84"/>
        <color rgb="FF63BE7B"/>
      </colorScale>
    </cfRule>
  </conditionalFormatting>
  <conditionalFormatting sqref="F9072:F9073">
    <cfRule type="colorScale" priority="6651">
      <colorScale>
        <cfvo type="min"/>
        <cfvo type="percentile" val="50"/>
        <cfvo type="max"/>
        <color rgb="FFF8696B"/>
        <color rgb="FFFFEB84"/>
        <color rgb="FF63BE7B"/>
      </colorScale>
    </cfRule>
  </conditionalFormatting>
  <conditionalFormatting sqref="F9077:F9078">
    <cfRule type="colorScale" priority="6656">
      <colorScale>
        <cfvo type="min"/>
        <cfvo type="percentile" val="50"/>
        <cfvo type="max"/>
        <color rgb="FFF8696B"/>
        <color rgb="FFFFEB84"/>
        <color rgb="FF63BE7B"/>
      </colorScale>
    </cfRule>
  </conditionalFormatting>
  <conditionalFormatting sqref="F9082:F9085">
    <cfRule type="colorScale" priority="6661">
      <colorScale>
        <cfvo type="min"/>
        <cfvo type="percentile" val="50"/>
        <cfvo type="max"/>
        <color rgb="FFF8696B"/>
        <color rgb="FFFFEB84"/>
        <color rgb="FF63BE7B"/>
      </colorScale>
    </cfRule>
  </conditionalFormatting>
  <conditionalFormatting sqref="F9093:F9094">
    <cfRule type="colorScale" priority="6671">
      <colorScale>
        <cfvo type="min"/>
        <cfvo type="percentile" val="50"/>
        <cfvo type="max"/>
        <color rgb="FFF8696B"/>
        <color rgb="FFFFEB84"/>
        <color rgb="FF63BE7B"/>
      </colorScale>
    </cfRule>
  </conditionalFormatting>
  <conditionalFormatting sqref="F9102:F9103">
    <cfRule type="colorScale" priority="6681">
      <colorScale>
        <cfvo type="min"/>
        <cfvo type="percentile" val="50"/>
        <cfvo type="max"/>
        <color rgb="FFF8696B"/>
        <color rgb="FFFFEB84"/>
        <color rgb="FF63BE7B"/>
      </colorScale>
    </cfRule>
  </conditionalFormatting>
  <conditionalFormatting sqref="F9107:F9108">
    <cfRule type="colorScale" priority="6686">
      <colorScale>
        <cfvo type="min"/>
        <cfvo type="percentile" val="50"/>
        <cfvo type="max"/>
        <color rgb="FFF8696B"/>
        <color rgb="FFFFEB84"/>
        <color rgb="FF63BE7B"/>
      </colorScale>
    </cfRule>
  </conditionalFormatting>
  <conditionalFormatting sqref="F9112:F9113">
    <cfRule type="colorScale" priority="6691">
      <colorScale>
        <cfvo type="min"/>
        <cfvo type="percentile" val="50"/>
        <cfvo type="max"/>
        <color rgb="FFF8696B"/>
        <color rgb="FFFFEB84"/>
        <color rgb="FF63BE7B"/>
      </colorScale>
    </cfRule>
  </conditionalFormatting>
  <conditionalFormatting sqref="F9117:F9118">
    <cfRule type="colorScale" priority="6696">
      <colorScale>
        <cfvo type="min"/>
        <cfvo type="percentile" val="50"/>
        <cfvo type="max"/>
        <color rgb="FFF8696B"/>
        <color rgb="FFFFEB84"/>
        <color rgb="FF63BE7B"/>
      </colorScale>
    </cfRule>
  </conditionalFormatting>
  <conditionalFormatting sqref="F9122:F9123">
    <cfRule type="colorScale" priority="6701">
      <colorScale>
        <cfvo type="min"/>
        <cfvo type="percentile" val="50"/>
        <cfvo type="max"/>
        <color rgb="FFF8696B"/>
        <color rgb="FFFFEB84"/>
        <color rgb="FF63BE7B"/>
      </colorScale>
    </cfRule>
  </conditionalFormatting>
  <conditionalFormatting sqref="F9127:F9128">
    <cfRule type="colorScale" priority="6706">
      <colorScale>
        <cfvo type="min"/>
        <cfvo type="percentile" val="50"/>
        <cfvo type="max"/>
        <color rgb="FFF8696B"/>
        <color rgb="FFFFEB84"/>
        <color rgb="FF63BE7B"/>
      </colorScale>
    </cfRule>
  </conditionalFormatting>
  <conditionalFormatting sqref="F9132:F9133">
    <cfRule type="colorScale" priority="6711">
      <colorScale>
        <cfvo type="min"/>
        <cfvo type="percentile" val="50"/>
        <cfvo type="max"/>
        <color rgb="FFF8696B"/>
        <color rgb="FFFFEB84"/>
        <color rgb="FF63BE7B"/>
      </colorScale>
    </cfRule>
  </conditionalFormatting>
  <conditionalFormatting sqref="F9137:F9138">
    <cfRule type="colorScale" priority="6716">
      <colorScale>
        <cfvo type="min"/>
        <cfvo type="percentile" val="50"/>
        <cfvo type="max"/>
        <color rgb="FFF8696B"/>
        <color rgb="FFFFEB84"/>
        <color rgb="FF63BE7B"/>
      </colorScale>
    </cfRule>
  </conditionalFormatting>
  <conditionalFormatting sqref="F9142">
    <cfRule type="colorScale" priority="6721">
      <colorScale>
        <cfvo type="min"/>
        <cfvo type="percentile" val="50"/>
        <cfvo type="max"/>
        <color rgb="FFF8696B"/>
        <color rgb="FFFFEB84"/>
        <color rgb="FF63BE7B"/>
      </colorScale>
    </cfRule>
  </conditionalFormatting>
  <conditionalFormatting sqref="F9146:F9147">
    <cfRule type="colorScale" priority="6726">
      <colorScale>
        <cfvo type="min"/>
        <cfvo type="percentile" val="50"/>
        <cfvo type="max"/>
        <color rgb="FFF8696B"/>
        <color rgb="FFFFEB84"/>
        <color rgb="FF63BE7B"/>
      </colorScale>
    </cfRule>
  </conditionalFormatting>
  <conditionalFormatting sqref="F9151:F9152">
    <cfRule type="colorScale" priority="6731">
      <colorScale>
        <cfvo type="min"/>
        <cfvo type="percentile" val="50"/>
        <cfvo type="max"/>
        <color rgb="FFF8696B"/>
        <color rgb="FFFFEB84"/>
        <color rgb="FF63BE7B"/>
      </colorScale>
    </cfRule>
  </conditionalFormatting>
  <conditionalFormatting sqref="F9156:F9159">
    <cfRule type="colorScale" priority="6736">
      <colorScale>
        <cfvo type="min"/>
        <cfvo type="percentile" val="50"/>
        <cfvo type="max"/>
        <color rgb="FFF8696B"/>
        <color rgb="FFFFEB84"/>
        <color rgb="FF63BE7B"/>
      </colorScale>
    </cfRule>
  </conditionalFormatting>
  <conditionalFormatting sqref="F9167:F9168">
    <cfRule type="colorScale" priority="6746">
      <colorScale>
        <cfvo type="min"/>
        <cfvo type="percentile" val="50"/>
        <cfvo type="max"/>
        <color rgb="FFF8696B"/>
        <color rgb="FFFFEB84"/>
        <color rgb="FF63BE7B"/>
      </colorScale>
    </cfRule>
  </conditionalFormatting>
  <conditionalFormatting sqref="F9176">
    <cfRule type="colorScale" priority="6756">
      <colorScale>
        <cfvo type="min"/>
        <cfvo type="percentile" val="50"/>
        <cfvo type="max"/>
        <color rgb="FFF8696B"/>
        <color rgb="FFFFEB84"/>
        <color rgb="FF63BE7B"/>
      </colorScale>
    </cfRule>
  </conditionalFormatting>
  <conditionalFormatting sqref="F9180">
    <cfRule type="colorScale" priority="6761">
      <colorScale>
        <cfvo type="min"/>
        <cfvo type="percentile" val="50"/>
        <cfvo type="max"/>
        <color rgb="FFF8696B"/>
        <color rgb="FFFFEB84"/>
        <color rgb="FF63BE7B"/>
      </colorScale>
    </cfRule>
  </conditionalFormatting>
  <conditionalFormatting sqref="F9184:F9185">
    <cfRule type="colorScale" priority="6766">
      <colorScale>
        <cfvo type="min"/>
        <cfvo type="percentile" val="50"/>
        <cfvo type="max"/>
        <color rgb="FFF8696B"/>
        <color rgb="FFFFEB84"/>
        <color rgb="FF63BE7B"/>
      </colorScale>
    </cfRule>
  </conditionalFormatting>
  <conditionalFormatting sqref="F9189">
    <cfRule type="colorScale" priority="6771">
      <colorScale>
        <cfvo type="min"/>
        <cfvo type="percentile" val="50"/>
        <cfvo type="max"/>
        <color rgb="FFF8696B"/>
        <color rgb="FFFFEB84"/>
        <color rgb="FF63BE7B"/>
      </colorScale>
    </cfRule>
  </conditionalFormatting>
  <conditionalFormatting sqref="F9193:F9194">
    <cfRule type="colorScale" priority="6776">
      <colorScale>
        <cfvo type="min"/>
        <cfvo type="percentile" val="50"/>
        <cfvo type="max"/>
        <color rgb="FFF8696B"/>
        <color rgb="FFFFEB84"/>
        <color rgb="FF63BE7B"/>
      </colorScale>
    </cfRule>
  </conditionalFormatting>
  <conditionalFormatting sqref="F9198:F9199">
    <cfRule type="colorScale" priority="6781">
      <colorScale>
        <cfvo type="min"/>
        <cfvo type="percentile" val="50"/>
        <cfvo type="max"/>
        <color rgb="FFF8696B"/>
        <color rgb="FFFFEB84"/>
        <color rgb="FF63BE7B"/>
      </colorScale>
    </cfRule>
  </conditionalFormatting>
  <conditionalFormatting sqref="F9203:F9204">
    <cfRule type="colorScale" priority="6786">
      <colorScale>
        <cfvo type="min"/>
        <cfvo type="percentile" val="50"/>
        <cfvo type="max"/>
        <color rgb="FFF8696B"/>
        <color rgb="FFFFEB84"/>
        <color rgb="FF63BE7B"/>
      </colorScale>
    </cfRule>
  </conditionalFormatting>
  <conditionalFormatting sqref="F9208:F9209">
    <cfRule type="colorScale" priority="6791">
      <colorScale>
        <cfvo type="min"/>
        <cfvo type="percentile" val="50"/>
        <cfvo type="max"/>
        <color rgb="FFF8696B"/>
        <color rgb="FFFFEB84"/>
        <color rgb="FF63BE7B"/>
      </colorScale>
    </cfRule>
  </conditionalFormatting>
  <conditionalFormatting sqref="F9213">
    <cfRule type="colorScale" priority="6796">
      <colorScale>
        <cfvo type="min"/>
        <cfvo type="percentile" val="50"/>
        <cfvo type="max"/>
        <color rgb="FFF8696B"/>
        <color rgb="FFFFEB84"/>
        <color rgb="FF63BE7B"/>
      </colorScale>
    </cfRule>
  </conditionalFormatting>
  <conditionalFormatting sqref="F9217:F9218">
    <cfRule type="colorScale" priority="6801">
      <colorScale>
        <cfvo type="min"/>
        <cfvo type="percentile" val="50"/>
        <cfvo type="max"/>
        <color rgb="FFF8696B"/>
        <color rgb="FFFFEB84"/>
        <color rgb="FF63BE7B"/>
      </colorScale>
    </cfRule>
  </conditionalFormatting>
  <conditionalFormatting sqref="F9222:F9223">
    <cfRule type="colorScale" priority="6806">
      <colorScale>
        <cfvo type="min"/>
        <cfvo type="percentile" val="50"/>
        <cfvo type="max"/>
        <color rgb="FFF8696B"/>
        <color rgb="FFFFEB84"/>
        <color rgb="FF63BE7B"/>
      </colorScale>
    </cfRule>
  </conditionalFormatting>
  <conditionalFormatting sqref="F9227:F9230">
    <cfRule type="colorScale" priority="6811">
      <colorScale>
        <cfvo type="min"/>
        <cfvo type="percentile" val="50"/>
        <cfvo type="max"/>
        <color rgb="FFF8696B"/>
        <color rgb="FFFFEB84"/>
        <color rgb="FF63BE7B"/>
      </colorScale>
    </cfRule>
  </conditionalFormatting>
  <conditionalFormatting sqref="F9238:F9239">
    <cfRule type="colorScale" priority="6821">
      <colorScale>
        <cfvo type="min"/>
        <cfvo type="percentile" val="50"/>
        <cfvo type="max"/>
        <color rgb="FFF8696B"/>
        <color rgb="FFFFEB84"/>
        <color rgb="FF63BE7B"/>
      </colorScale>
    </cfRule>
  </conditionalFormatting>
  <conditionalFormatting sqref="F9247:F9248">
    <cfRule type="colorScale" priority="6831">
      <colorScale>
        <cfvo type="min"/>
        <cfvo type="percentile" val="50"/>
        <cfvo type="max"/>
        <color rgb="FFF8696B"/>
        <color rgb="FFFFEB84"/>
        <color rgb="FF63BE7B"/>
      </colorScale>
    </cfRule>
  </conditionalFormatting>
  <conditionalFormatting sqref="F9252">
    <cfRule type="colorScale" priority="6836">
      <colorScale>
        <cfvo type="min"/>
        <cfvo type="percentile" val="50"/>
        <cfvo type="max"/>
        <color rgb="FFF8696B"/>
        <color rgb="FFFFEB84"/>
        <color rgb="FF63BE7B"/>
      </colorScale>
    </cfRule>
  </conditionalFormatting>
  <conditionalFormatting sqref="F9256">
    <cfRule type="colorScale" priority="6841">
      <colorScale>
        <cfvo type="min"/>
        <cfvo type="percentile" val="50"/>
        <cfvo type="max"/>
        <color rgb="FFF8696B"/>
        <color rgb="FFFFEB84"/>
        <color rgb="FF63BE7B"/>
      </colorScale>
    </cfRule>
  </conditionalFormatting>
  <conditionalFormatting sqref="F9260">
    <cfRule type="colorScale" priority="6846">
      <colorScale>
        <cfvo type="min"/>
        <cfvo type="percentile" val="50"/>
        <cfvo type="max"/>
        <color rgb="FFF8696B"/>
        <color rgb="FFFFEB84"/>
        <color rgb="FF63BE7B"/>
      </colorScale>
    </cfRule>
  </conditionalFormatting>
  <conditionalFormatting sqref="F9264">
    <cfRule type="colorScale" priority="6851">
      <colorScale>
        <cfvo type="min"/>
        <cfvo type="percentile" val="50"/>
        <cfvo type="max"/>
        <color rgb="FFF8696B"/>
        <color rgb="FFFFEB84"/>
        <color rgb="FF63BE7B"/>
      </colorScale>
    </cfRule>
  </conditionalFormatting>
  <conditionalFormatting sqref="F9268:F9269">
    <cfRule type="colorScale" priority="6856">
      <colorScale>
        <cfvo type="min"/>
        <cfvo type="percentile" val="50"/>
        <cfvo type="max"/>
        <color rgb="FFF8696B"/>
        <color rgb="FFFFEB84"/>
        <color rgb="FF63BE7B"/>
      </colorScale>
    </cfRule>
  </conditionalFormatting>
  <conditionalFormatting sqref="F9273">
    <cfRule type="colorScale" priority="6861">
      <colorScale>
        <cfvo type="min"/>
        <cfvo type="percentile" val="50"/>
        <cfvo type="max"/>
        <color rgb="FFF8696B"/>
        <color rgb="FFFFEB84"/>
        <color rgb="FF63BE7B"/>
      </colorScale>
    </cfRule>
  </conditionalFormatting>
  <conditionalFormatting sqref="F9277:F9278">
    <cfRule type="colorScale" priority="6866">
      <colorScale>
        <cfvo type="min"/>
        <cfvo type="percentile" val="50"/>
        <cfvo type="max"/>
        <color rgb="FFF8696B"/>
        <color rgb="FFFFEB84"/>
        <color rgb="FF63BE7B"/>
      </colorScale>
    </cfRule>
  </conditionalFormatting>
  <conditionalFormatting sqref="F9282">
    <cfRule type="colorScale" priority="6871">
      <colorScale>
        <cfvo type="min"/>
        <cfvo type="percentile" val="50"/>
        <cfvo type="max"/>
        <color rgb="FFF8696B"/>
        <color rgb="FFFFEB84"/>
        <color rgb="FF63BE7B"/>
      </colorScale>
    </cfRule>
  </conditionalFormatting>
  <conditionalFormatting sqref="F9286:F9287">
    <cfRule type="colorScale" priority="6876">
      <colorScale>
        <cfvo type="min"/>
        <cfvo type="percentile" val="50"/>
        <cfvo type="max"/>
        <color rgb="FFF8696B"/>
        <color rgb="FFFFEB84"/>
        <color rgb="FF63BE7B"/>
      </colorScale>
    </cfRule>
  </conditionalFormatting>
  <conditionalFormatting sqref="F9291">
    <cfRule type="colorScale" priority="6881">
      <colorScale>
        <cfvo type="min"/>
        <cfvo type="percentile" val="50"/>
        <cfvo type="max"/>
        <color rgb="FFF8696B"/>
        <color rgb="FFFFEB84"/>
        <color rgb="FF63BE7B"/>
      </colorScale>
    </cfRule>
  </conditionalFormatting>
  <conditionalFormatting sqref="F9295:F9297">
    <cfRule type="colorScale" priority="6886">
      <colorScale>
        <cfvo type="min"/>
        <cfvo type="percentile" val="50"/>
        <cfvo type="max"/>
        <color rgb="FFF8696B"/>
        <color rgb="FFFFEB84"/>
        <color rgb="FF63BE7B"/>
      </colorScale>
    </cfRule>
  </conditionalFormatting>
  <conditionalFormatting sqref="F9305">
    <cfRule type="colorScale" priority="6896">
      <colorScale>
        <cfvo type="min"/>
        <cfvo type="percentile" val="50"/>
        <cfvo type="max"/>
        <color rgb="FFF8696B"/>
        <color rgb="FFFFEB84"/>
        <color rgb="FF63BE7B"/>
      </colorScale>
    </cfRule>
  </conditionalFormatting>
  <conditionalFormatting sqref="F9313">
    <cfRule type="colorScale" priority="6906">
      <colorScale>
        <cfvo type="min"/>
        <cfvo type="percentile" val="50"/>
        <cfvo type="max"/>
        <color rgb="FFF8696B"/>
        <color rgb="FFFFEB84"/>
        <color rgb="FF63BE7B"/>
      </colorScale>
    </cfRule>
  </conditionalFormatting>
  <conditionalFormatting sqref="F9317">
    <cfRule type="colorScale" priority="6911">
      <colorScale>
        <cfvo type="min"/>
        <cfvo type="percentile" val="50"/>
        <cfvo type="max"/>
        <color rgb="FFF8696B"/>
        <color rgb="FFFFEB84"/>
        <color rgb="FF63BE7B"/>
      </colorScale>
    </cfRule>
  </conditionalFormatting>
  <conditionalFormatting sqref="F9321">
    <cfRule type="colorScale" priority="6916">
      <colorScale>
        <cfvo type="min"/>
        <cfvo type="percentile" val="50"/>
        <cfvo type="max"/>
        <color rgb="FFF8696B"/>
        <color rgb="FFFFEB84"/>
        <color rgb="FF63BE7B"/>
      </colorScale>
    </cfRule>
  </conditionalFormatting>
  <conditionalFormatting sqref="F9325">
    <cfRule type="colorScale" priority="6921">
      <colorScale>
        <cfvo type="min"/>
        <cfvo type="percentile" val="50"/>
        <cfvo type="max"/>
        <color rgb="FFF8696B"/>
        <color rgb="FFFFEB84"/>
        <color rgb="FF63BE7B"/>
      </colorScale>
    </cfRule>
  </conditionalFormatting>
  <conditionalFormatting sqref="F9329:F9330">
    <cfRule type="colorScale" priority="6926">
      <colorScale>
        <cfvo type="min"/>
        <cfvo type="percentile" val="50"/>
        <cfvo type="max"/>
        <color rgb="FFF8696B"/>
        <color rgb="FFFFEB84"/>
        <color rgb="FF63BE7B"/>
      </colorScale>
    </cfRule>
  </conditionalFormatting>
  <conditionalFormatting sqref="F9334:F9335">
    <cfRule type="colorScale" priority="6931">
      <colorScale>
        <cfvo type="min"/>
        <cfvo type="percentile" val="50"/>
        <cfvo type="max"/>
        <color rgb="FFF8696B"/>
        <color rgb="FFFFEB84"/>
        <color rgb="FF63BE7B"/>
      </colorScale>
    </cfRule>
  </conditionalFormatting>
  <conditionalFormatting sqref="F9339">
    <cfRule type="colorScale" priority="6936">
      <colorScale>
        <cfvo type="min"/>
        <cfvo type="percentile" val="50"/>
        <cfvo type="max"/>
        <color rgb="FFF8696B"/>
        <color rgb="FFFFEB84"/>
        <color rgb="FF63BE7B"/>
      </colorScale>
    </cfRule>
  </conditionalFormatting>
  <conditionalFormatting sqref="F9343:F9344">
    <cfRule type="colorScale" priority="6941">
      <colorScale>
        <cfvo type="min"/>
        <cfvo type="percentile" val="50"/>
        <cfvo type="max"/>
        <color rgb="FFF8696B"/>
        <color rgb="FFFFEB84"/>
        <color rgb="FF63BE7B"/>
      </colorScale>
    </cfRule>
  </conditionalFormatting>
  <conditionalFormatting sqref="F9348">
    <cfRule type="colorScale" priority="6946">
      <colorScale>
        <cfvo type="min"/>
        <cfvo type="percentile" val="50"/>
        <cfvo type="max"/>
        <color rgb="FFF8696B"/>
        <color rgb="FFFFEB84"/>
        <color rgb="FF63BE7B"/>
      </colorScale>
    </cfRule>
  </conditionalFormatting>
  <conditionalFormatting sqref="F9352:F9353">
    <cfRule type="colorScale" priority="6951">
      <colorScale>
        <cfvo type="min"/>
        <cfvo type="percentile" val="50"/>
        <cfvo type="max"/>
        <color rgb="FFF8696B"/>
        <color rgb="FFFFEB84"/>
        <color rgb="FF63BE7B"/>
      </colorScale>
    </cfRule>
  </conditionalFormatting>
  <conditionalFormatting sqref="F9357:F9358">
    <cfRule type="colorScale" priority="6956">
      <colorScale>
        <cfvo type="min"/>
        <cfvo type="percentile" val="50"/>
        <cfvo type="max"/>
        <color rgb="FFF8696B"/>
        <color rgb="FFFFEB84"/>
        <color rgb="FF63BE7B"/>
      </colorScale>
    </cfRule>
  </conditionalFormatting>
  <conditionalFormatting sqref="F9362">
    <cfRule type="colorScale" priority="6961">
      <colorScale>
        <cfvo type="min"/>
        <cfvo type="percentile" val="50"/>
        <cfvo type="max"/>
        <color rgb="FFF8696B"/>
        <color rgb="FFFFEB84"/>
        <color rgb="FF63BE7B"/>
      </colorScale>
    </cfRule>
  </conditionalFormatting>
  <conditionalFormatting sqref="F9370:F9371">
    <cfRule type="colorScale" priority="6971">
      <colorScale>
        <cfvo type="min"/>
        <cfvo type="percentile" val="50"/>
        <cfvo type="max"/>
        <color rgb="FFF8696B"/>
        <color rgb="FFFFEB84"/>
        <color rgb="FF63BE7B"/>
      </colorScale>
    </cfRule>
  </conditionalFormatting>
  <conditionalFormatting sqref="F9379:F9380">
    <cfRule type="colorScale" priority="6981">
      <colorScale>
        <cfvo type="min"/>
        <cfvo type="percentile" val="50"/>
        <cfvo type="max"/>
        <color rgb="FFF8696B"/>
        <color rgb="FFFFEB84"/>
        <color rgb="FF63BE7B"/>
      </colorScale>
    </cfRule>
  </conditionalFormatting>
  <conditionalFormatting sqref="F9384:F9385">
    <cfRule type="colorScale" priority="6986">
      <colorScale>
        <cfvo type="min"/>
        <cfvo type="percentile" val="50"/>
        <cfvo type="max"/>
        <color rgb="FFF8696B"/>
        <color rgb="FFFFEB84"/>
        <color rgb="FF63BE7B"/>
      </colorScale>
    </cfRule>
  </conditionalFormatting>
  <conditionalFormatting sqref="F9389:F9390">
    <cfRule type="colorScale" priority="6991">
      <colorScale>
        <cfvo type="min"/>
        <cfvo type="percentile" val="50"/>
        <cfvo type="max"/>
        <color rgb="FFF8696B"/>
        <color rgb="FFFFEB84"/>
        <color rgb="FF63BE7B"/>
      </colorScale>
    </cfRule>
  </conditionalFormatting>
  <conditionalFormatting sqref="F9394:F9395">
    <cfRule type="colorScale" priority="6996">
      <colorScale>
        <cfvo type="min"/>
        <cfvo type="percentile" val="50"/>
        <cfvo type="max"/>
        <color rgb="FFF8696B"/>
        <color rgb="FFFFEB84"/>
        <color rgb="FF63BE7B"/>
      </colorScale>
    </cfRule>
  </conditionalFormatting>
  <conditionalFormatting sqref="F9399:F9400">
    <cfRule type="colorScale" priority="7001">
      <colorScale>
        <cfvo type="min"/>
        <cfvo type="percentile" val="50"/>
        <cfvo type="max"/>
        <color rgb="FFF8696B"/>
        <color rgb="FFFFEB84"/>
        <color rgb="FF63BE7B"/>
      </colorScale>
    </cfRule>
  </conditionalFormatting>
  <conditionalFormatting sqref="F9404:F9405">
    <cfRule type="colorScale" priority="7006">
      <colorScale>
        <cfvo type="min"/>
        <cfvo type="percentile" val="50"/>
        <cfvo type="max"/>
        <color rgb="FFF8696B"/>
        <color rgb="FFFFEB84"/>
        <color rgb="FF63BE7B"/>
      </colorScale>
    </cfRule>
  </conditionalFormatting>
  <conditionalFormatting sqref="F9409:F9410">
    <cfRule type="colorScale" priority="7011">
      <colorScale>
        <cfvo type="min"/>
        <cfvo type="percentile" val="50"/>
        <cfvo type="max"/>
        <color rgb="FFF8696B"/>
        <color rgb="FFFFEB84"/>
        <color rgb="FF63BE7B"/>
      </colorScale>
    </cfRule>
  </conditionalFormatting>
  <conditionalFormatting sqref="F9414:F9415">
    <cfRule type="colorScale" priority="7016">
      <colorScale>
        <cfvo type="min"/>
        <cfvo type="percentile" val="50"/>
        <cfvo type="max"/>
        <color rgb="FFF8696B"/>
        <color rgb="FFFFEB84"/>
        <color rgb="FF63BE7B"/>
      </colorScale>
    </cfRule>
  </conditionalFormatting>
  <conditionalFormatting sqref="F9419">
    <cfRule type="colorScale" priority="7021">
      <colorScale>
        <cfvo type="min"/>
        <cfvo type="percentile" val="50"/>
        <cfvo type="max"/>
        <color rgb="FFF8696B"/>
        <color rgb="FFFFEB84"/>
        <color rgb="FF63BE7B"/>
      </colorScale>
    </cfRule>
  </conditionalFormatting>
  <conditionalFormatting sqref="F9423:F9424">
    <cfRule type="colorScale" priority="7026">
      <colorScale>
        <cfvo type="min"/>
        <cfvo type="percentile" val="50"/>
        <cfvo type="max"/>
        <color rgb="FFF8696B"/>
        <color rgb="FFFFEB84"/>
        <color rgb="FF63BE7B"/>
      </colorScale>
    </cfRule>
  </conditionalFormatting>
  <conditionalFormatting sqref="F9428:F9429">
    <cfRule type="colorScale" priority="7031">
      <colorScale>
        <cfvo type="min"/>
        <cfvo type="percentile" val="50"/>
        <cfvo type="max"/>
        <color rgb="FFF8696B"/>
        <color rgb="FFFFEB84"/>
        <color rgb="FF63BE7B"/>
      </colorScale>
    </cfRule>
  </conditionalFormatting>
  <conditionalFormatting sqref="F9433:F9436">
    <cfRule type="colorScale" priority="7036">
      <colorScale>
        <cfvo type="min"/>
        <cfvo type="percentile" val="50"/>
        <cfvo type="max"/>
        <color rgb="FFF8696B"/>
        <color rgb="FFFFEB84"/>
        <color rgb="FF63BE7B"/>
      </colorScale>
    </cfRule>
  </conditionalFormatting>
  <conditionalFormatting sqref="F9444">
    <cfRule type="colorScale" priority="7046">
      <colorScale>
        <cfvo type="min"/>
        <cfvo type="percentile" val="50"/>
        <cfvo type="max"/>
        <color rgb="FFF8696B"/>
        <color rgb="FFFFEB84"/>
        <color rgb="FF63BE7B"/>
      </colorScale>
    </cfRule>
  </conditionalFormatting>
  <conditionalFormatting sqref="F9452">
    <cfRule type="colorScale" priority="7056">
      <colorScale>
        <cfvo type="min"/>
        <cfvo type="percentile" val="50"/>
        <cfvo type="max"/>
        <color rgb="FFF8696B"/>
        <color rgb="FFFFEB84"/>
        <color rgb="FF63BE7B"/>
      </colorScale>
    </cfRule>
  </conditionalFormatting>
  <conditionalFormatting sqref="F9456">
    <cfRule type="colorScale" priority="7061">
      <colorScale>
        <cfvo type="min"/>
        <cfvo type="percentile" val="50"/>
        <cfvo type="max"/>
        <color rgb="FFF8696B"/>
        <color rgb="FFFFEB84"/>
        <color rgb="FF63BE7B"/>
      </colorScale>
    </cfRule>
  </conditionalFormatting>
  <conditionalFormatting sqref="F9460">
    <cfRule type="colorScale" priority="7066">
      <colorScale>
        <cfvo type="min"/>
        <cfvo type="percentile" val="50"/>
        <cfvo type="max"/>
        <color rgb="FFF8696B"/>
        <color rgb="FFFFEB84"/>
        <color rgb="FF63BE7B"/>
      </colorScale>
    </cfRule>
  </conditionalFormatting>
  <conditionalFormatting sqref="F9464">
    <cfRule type="colorScale" priority="7071">
      <colorScale>
        <cfvo type="min"/>
        <cfvo type="percentile" val="50"/>
        <cfvo type="max"/>
        <color rgb="FFF8696B"/>
        <color rgb="FFFFEB84"/>
        <color rgb="FF63BE7B"/>
      </colorScale>
    </cfRule>
  </conditionalFormatting>
  <conditionalFormatting sqref="F9468:F9469">
    <cfRule type="colorScale" priority="7076">
      <colorScale>
        <cfvo type="min"/>
        <cfvo type="percentile" val="50"/>
        <cfvo type="max"/>
        <color rgb="FFF8696B"/>
        <color rgb="FFFFEB84"/>
        <color rgb="FF63BE7B"/>
      </colorScale>
    </cfRule>
  </conditionalFormatting>
  <conditionalFormatting sqref="F9473">
    <cfRule type="colorScale" priority="7081">
      <colorScale>
        <cfvo type="min"/>
        <cfvo type="percentile" val="50"/>
        <cfvo type="max"/>
        <color rgb="FFF8696B"/>
        <color rgb="FFFFEB84"/>
        <color rgb="FF63BE7B"/>
      </colorScale>
    </cfRule>
  </conditionalFormatting>
  <conditionalFormatting sqref="F9477:F9478">
    <cfRule type="colorScale" priority="7086">
      <colorScale>
        <cfvo type="min"/>
        <cfvo type="percentile" val="50"/>
        <cfvo type="max"/>
        <color rgb="FFF8696B"/>
        <color rgb="FFFFEB84"/>
        <color rgb="FF63BE7B"/>
      </colorScale>
    </cfRule>
  </conditionalFormatting>
  <conditionalFormatting sqref="F9482">
    <cfRule type="colorScale" priority="7091">
      <colorScale>
        <cfvo type="min"/>
        <cfvo type="percentile" val="50"/>
        <cfvo type="max"/>
        <color rgb="FFF8696B"/>
        <color rgb="FFFFEB84"/>
        <color rgb="FF63BE7B"/>
      </colorScale>
    </cfRule>
  </conditionalFormatting>
  <conditionalFormatting sqref="F9486">
    <cfRule type="colorScale" priority="7096">
      <colorScale>
        <cfvo type="min"/>
        <cfvo type="percentile" val="50"/>
        <cfvo type="max"/>
        <color rgb="FFF8696B"/>
        <color rgb="FFFFEB84"/>
        <color rgb="FF63BE7B"/>
      </colorScale>
    </cfRule>
  </conditionalFormatting>
  <conditionalFormatting sqref="F9490:F9491">
    <cfRule type="colorScale" priority="7101">
      <colorScale>
        <cfvo type="min"/>
        <cfvo type="percentile" val="50"/>
        <cfvo type="max"/>
        <color rgb="FFF8696B"/>
        <color rgb="FFFFEB84"/>
        <color rgb="FF63BE7B"/>
      </colorScale>
    </cfRule>
  </conditionalFormatting>
  <conditionalFormatting sqref="F9495">
    <cfRule type="colorScale" priority="7106">
      <colorScale>
        <cfvo type="min"/>
        <cfvo type="percentile" val="50"/>
        <cfvo type="max"/>
        <color rgb="FFF8696B"/>
        <color rgb="FFFFEB84"/>
        <color rgb="FF63BE7B"/>
      </colorScale>
    </cfRule>
  </conditionalFormatting>
  <conditionalFormatting sqref="F9499:F9501">
    <cfRule type="colorScale" priority="7111">
      <colorScale>
        <cfvo type="min"/>
        <cfvo type="percentile" val="50"/>
        <cfvo type="max"/>
        <color rgb="FFF8696B"/>
        <color rgb="FFFFEB84"/>
        <color rgb="FF63BE7B"/>
      </colorScale>
    </cfRule>
  </conditionalFormatting>
  <conditionalFormatting sqref="F9509">
    <cfRule type="colorScale" priority="7121">
      <colorScale>
        <cfvo type="min"/>
        <cfvo type="percentile" val="50"/>
        <cfvo type="max"/>
        <color rgb="FFF8696B"/>
        <color rgb="FFFFEB84"/>
        <color rgb="FF63BE7B"/>
      </colorScale>
    </cfRule>
  </conditionalFormatting>
  <conditionalFormatting sqref="F9517:F9518">
    <cfRule type="colorScale" priority="7131">
      <colorScale>
        <cfvo type="min"/>
        <cfvo type="percentile" val="50"/>
        <cfvo type="max"/>
        <color rgb="FFF8696B"/>
        <color rgb="FFFFEB84"/>
        <color rgb="FF63BE7B"/>
      </colorScale>
    </cfRule>
  </conditionalFormatting>
  <conditionalFormatting sqref="F9522">
    <cfRule type="colorScale" priority="7136">
      <colorScale>
        <cfvo type="min"/>
        <cfvo type="percentile" val="50"/>
        <cfvo type="max"/>
        <color rgb="FFF8696B"/>
        <color rgb="FFFFEB84"/>
        <color rgb="FF63BE7B"/>
      </colorScale>
    </cfRule>
  </conditionalFormatting>
  <conditionalFormatting sqref="F9526">
    <cfRule type="colorScale" priority="7141">
      <colorScale>
        <cfvo type="min"/>
        <cfvo type="percentile" val="50"/>
        <cfvo type="max"/>
        <color rgb="FFF8696B"/>
        <color rgb="FFFFEB84"/>
        <color rgb="FF63BE7B"/>
      </colorScale>
    </cfRule>
  </conditionalFormatting>
  <conditionalFormatting sqref="F9530">
    <cfRule type="colorScale" priority="7146">
      <colorScale>
        <cfvo type="min"/>
        <cfvo type="percentile" val="50"/>
        <cfvo type="max"/>
        <color rgb="FFF8696B"/>
        <color rgb="FFFFEB84"/>
        <color rgb="FF63BE7B"/>
      </colorScale>
    </cfRule>
  </conditionalFormatting>
  <conditionalFormatting sqref="F9534:F9535">
    <cfRule type="colorScale" priority="7151">
      <colorScale>
        <cfvo type="min"/>
        <cfvo type="percentile" val="50"/>
        <cfvo type="max"/>
        <color rgb="FFF8696B"/>
        <color rgb="FFFFEB84"/>
        <color rgb="FF63BE7B"/>
      </colorScale>
    </cfRule>
  </conditionalFormatting>
  <conditionalFormatting sqref="F9539:F9540">
    <cfRule type="colorScale" priority="7156">
      <colorScale>
        <cfvo type="min"/>
        <cfvo type="percentile" val="50"/>
        <cfvo type="max"/>
        <color rgb="FFF8696B"/>
        <color rgb="FFFFEB84"/>
        <color rgb="FF63BE7B"/>
      </colorScale>
    </cfRule>
  </conditionalFormatting>
  <conditionalFormatting sqref="F9544:F9545">
    <cfRule type="colorScale" priority="7161">
      <colorScale>
        <cfvo type="min"/>
        <cfvo type="percentile" val="50"/>
        <cfvo type="max"/>
        <color rgb="FFF8696B"/>
        <color rgb="FFFFEB84"/>
        <color rgb="FF63BE7B"/>
      </colorScale>
    </cfRule>
  </conditionalFormatting>
  <conditionalFormatting sqref="F9549">
    <cfRule type="colorScale" priority="7166">
      <colorScale>
        <cfvo type="min"/>
        <cfvo type="percentile" val="50"/>
        <cfvo type="max"/>
        <color rgb="FFF8696B"/>
        <color rgb="FFFFEB84"/>
        <color rgb="FF63BE7B"/>
      </colorScale>
    </cfRule>
  </conditionalFormatting>
  <conditionalFormatting sqref="F9553">
    <cfRule type="colorScale" priority="7171">
      <colorScale>
        <cfvo type="min"/>
        <cfvo type="percentile" val="50"/>
        <cfvo type="max"/>
        <color rgb="FFF8696B"/>
        <color rgb="FFFFEB84"/>
        <color rgb="FF63BE7B"/>
      </colorScale>
    </cfRule>
  </conditionalFormatting>
  <conditionalFormatting sqref="F9557:F9558">
    <cfRule type="colorScale" priority="7176">
      <colorScale>
        <cfvo type="min"/>
        <cfvo type="percentile" val="50"/>
        <cfvo type="max"/>
        <color rgb="FFF8696B"/>
        <color rgb="FFFFEB84"/>
        <color rgb="FF63BE7B"/>
      </colorScale>
    </cfRule>
  </conditionalFormatting>
  <conditionalFormatting sqref="F9562:F9563">
    <cfRule type="colorScale" priority="7181">
      <colorScale>
        <cfvo type="min"/>
        <cfvo type="percentile" val="50"/>
        <cfvo type="max"/>
        <color rgb="FFF8696B"/>
        <color rgb="FFFFEB84"/>
        <color rgb="FF63BE7B"/>
      </colorScale>
    </cfRule>
  </conditionalFormatting>
  <conditionalFormatting sqref="F9567:F9570">
    <cfRule type="colorScale" priority="7186">
      <colorScale>
        <cfvo type="min"/>
        <cfvo type="percentile" val="50"/>
        <cfvo type="max"/>
        <color rgb="FFF8696B"/>
        <color rgb="FFFFEB84"/>
        <color rgb="FF63BE7B"/>
      </colorScale>
    </cfRule>
  </conditionalFormatting>
  <conditionalFormatting sqref="F9578:F9579">
    <cfRule type="colorScale" priority="7196">
      <colorScale>
        <cfvo type="min"/>
        <cfvo type="percentile" val="50"/>
        <cfvo type="max"/>
        <color rgb="FFF8696B"/>
        <color rgb="FFFFEB84"/>
        <color rgb="FF63BE7B"/>
      </colorScale>
    </cfRule>
  </conditionalFormatting>
  <conditionalFormatting sqref="F9587">
    <cfRule type="colorScale" priority="7206">
      <colorScale>
        <cfvo type="min"/>
        <cfvo type="percentile" val="50"/>
        <cfvo type="max"/>
        <color rgb="FFF8696B"/>
        <color rgb="FFFFEB84"/>
        <color rgb="FF63BE7B"/>
      </colorScale>
    </cfRule>
  </conditionalFormatting>
  <conditionalFormatting sqref="F9591">
    <cfRule type="colorScale" priority="7211">
      <colorScale>
        <cfvo type="min"/>
        <cfvo type="percentile" val="50"/>
        <cfvo type="max"/>
        <color rgb="FFF8696B"/>
        <color rgb="FFFFEB84"/>
        <color rgb="FF63BE7B"/>
      </colorScale>
    </cfRule>
  </conditionalFormatting>
  <conditionalFormatting sqref="F9595">
    <cfRule type="colorScale" priority="7216">
      <colorScale>
        <cfvo type="min"/>
        <cfvo type="percentile" val="50"/>
        <cfvo type="max"/>
        <color rgb="FFF8696B"/>
        <color rgb="FFFFEB84"/>
        <color rgb="FF63BE7B"/>
      </colorScale>
    </cfRule>
  </conditionalFormatting>
  <conditionalFormatting sqref="F9599:F9600">
    <cfRule type="colorScale" priority="7221">
      <colorScale>
        <cfvo type="min"/>
        <cfvo type="percentile" val="50"/>
        <cfvo type="max"/>
        <color rgb="FFF8696B"/>
        <color rgb="FFFFEB84"/>
        <color rgb="FF63BE7B"/>
      </colorScale>
    </cfRule>
  </conditionalFormatting>
  <conditionalFormatting sqref="F9604">
    <cfRule type="colorScale" priority="7226">
      <colorScale>
        <cfvo type="min"/>
        <cfvo type="percentile" val="50"/>
        <cfvo type="max"/>
        <color rgb="FFF8696B"/>
        <color rgb="FFFFEB84"/>
        <color rgb="FF63BE7B"/>
      </colorScale>
    </cfRule>
  </conditionalFormatting>
  <conditionalFormatting sqref="F9608:F9609">
    <cfRule type="colorScale" priority="7231">
      <colorScale>
        <cfvo type="min"/>
        <cfvo type="percentile" val="50"/>
        <cfvo type="max"/>
        <color rgb="FFF8696B"/>
        <color rgb="FFFFEB84"/>
        <color rgb="FF63BE7B"/>
      </colorScale>
    </cfRule>
  </conditionalFormatting>
  <conditionalFormatting sqref="F9613:F9614">
    <cfRule type="colorScale" priority="7236">
      <colorScale>
        <cfvo type="min"/>
        <cfvo type="percentile" val="50"/>
        <cfvo type="max"/>
        <color rgb="FFF8696B"/>
        <color rgb="FFFFEB84"/>
        <color rgb="FF63BE7B"/>
      </colorScale>
    </cfRule>
  </conditionalFormatting>
  <conditionalFormatting sqref="F9618">
    <cfRule type="colorScale" priority="7241">
      <colorScale>
        <cfvo type="min"/>
        <cfvo type="percentile" val="50"/>
        <cfvo type="max"/>
        <color rgb="FFF8696B"/>
        <color rgb="FFFFEB84"/>
        <color rgb="FF63BE7B"/>
      </colorScale>
    </cfRule>
  </conditionalFormatting>
  <conditionalFormatting sqref="F9622">
    <cfRule type="colorScale" priority="7246">
      <colorScale>
        <cfvo type="min"/>
        <cfvo type="percentile" val="50"/>
        <cfvo type="max"/>
        <color rgb="FFF8696B"/>
        <color rgb="FFFFEB84"/>
        <color rgb="FF63BE7B"/>
      </colorScale>
    </cfRule>
  </conditionalFormatting>
  <conditionalFormatting sqref="F9626:F9627">
    <cfRule type="colorScale" priority="7251">
      <colorScale>
        <cfvo type="min"/>
        <cfvo type="percentile" val="50"/>
        <cfvo type="max"/>
        <color rgb="FFF8696B"/>
        <color rgb="FFFFEB84"/>
        <color rgb="FF63BE7B"/>
      </colorScale>
    </cfRule>
  </conditionalFormatting>
  <conditionalFormatting sqref="F9631">
    <cfRule type="colorScale" priority="7256">
      <colorScale>
        <cfvo type="min"/>
        <cfvo type="percentile" val="50"/>
        <cfvo type="max"/>
        <color rgb="FFF8696B"/>
        <color rgb="FFFFEB84"/>
        <color rgb="FF63BE7B"/>
      </colorScale>
    </cfRule>
  </conditionalFormatting>
  <conditionalFormatting sqref="F9635:F9636">
    <cfRule type="colorScale" priority="7261">
      <colorScale>
        <cfvo type="min"/>
        <cfvo type="percentile" val="50"/>
        <cfvo type="max"/>
        <color rgb="FFF8696B"/>
        <color rgb="FFFFEB84"/>
        <color rgb="FF63BE7B"/>
      </colorScale>
    </cfRule>
  </conditionalFormatting>
  <conditionalFormatting sqref="F9644">
    <cfRule type="colorScale" priority="7271">
      <colorScale>
        <cfvo type="min"/>
        <cfvo type="percentile" val="50"/>
        <cfvo type="max"/>
        <color rgb="FFF8696B"/>
        <color rgb="FFFFEB84"/>
        <color rgb="FF63BE7B"/>
      </colorScale>
    </cfRule>
  </conditionalFormatting>
  <conditionalFormatting sqref="F9652">
    <cfRule type="colorScale" priority="7281">
      <colorScale>
        <cfvo type="min"/>
        <cfvo type="percentile" val="50"/>
        <cfvo type="max"/>
        <color rgb="FFF8696B"/>
        <color rgb="FFFFEB84"/>
        <color rgb="FF63BE7B"/>
      </colorScale>
    </cfRule>
  </conditionalFormatting>
  <conditionalFormatting sqref="F9656">
    <cfRule type="colorScale" priority="7286">
      <colorScale>
        <cfvo type="min"/>
        <cfvo type="percentile" val="50"/>
        <cfvo type="max"/>
        <color rgb="FFF8696B"/>
        <color rgb="FFFFEB84"/>
        <color rgb="FF63BE7B"/>
      </colorScale>
    </cfRule>
  </conditionalFormatting>
  <conditionalFormatting sqref="F9660">
    <cfRule type="colorScale" priority="7291">
      <colorScale>
        <cfvo type="min"/>
        <cfvo type="percentile" val="50"/>
        <cfvo type="max"/>
        <color rgb="FFF8696B"/>
        <color rgb="FFFFEB84"/>
        <color rgb="FF63BE7B"/>
      </colorScale>
    </cfRule>
  </conditionalFormatting>
  <conditionalFormatting sqref="F9664">
    <cfRule type="colorScale" priority="7296">
      <colorScale>
        <cfvo type="min"/>
        <cfvo type="percentile" val="50"/>
        <cfvo type="max"/>
        <color rgb="FFF8696B"/>
        <color rgb="FFFFEB84"/>
        <color rgb="FF63BE7B"/>
      </colorScale>
    </cfRule>
  </conditionalFormatting>
  <conditionalFormatting sqref="F9668">
    <cfRule type="colorScale" priority="7301">
      <colorScale>
        <cfvo type="min"/>
        <cfvo type="percentile" val="50"/>
        <cfvo type="max"/>
        <color rgb="FFF8696B"/>
        <color rgb="FFFFEB84"/>
        <color rgb="FF63BE7B"/>
      </colorScale>
    </cfRule>
  </conditionalFormatting>
  <conditionalFormatting sqref="F9672">
    <cfRule type="colorScale" priority="7306">
      <colorScale>
        <cfvo type="min"/>
        <cfvo type="percentile" val="50"/>
        <cfvo type="max"/>
        <color rgb="FFF8696B"/>
        <color rgb="FFFFEB84"/>
        <color rgb="FF63BE7B"/>
      </colorScale>
    </cfRule>
  </conditionalFormatting>
  <conditionalFormatting sqref="F9676:F9677">
    <cfRule type="colorScale" priority="7311">
      <colorScale>
        <cfvo type="min"/>
        <cfvo type="percentile" val="50"/>
        <cfvo type="max"/>
        <color rgb="FFF8696B"/>
        <color rgb="FFFFEB84"/>
        <color rgb="FF63BE7B"/>
      </colorScale>
    </cfRule>
  </conditionalFormatting>
  <conditionalFormatting sqref="F9681:F9682">
    <cfRule type="colorScale" priority="7316">
      <colorScale>
        <cfvo type="min"/>
        <cfvo type="percentile" val="50"/>
        <cfvo type="max"/>
        <color rgb="FFF8696B"/>
        <color rgb="FFFFEB84"/>
        <color rgb="FF63BE7B"/>
      </colorScale>
    </cfRule>
  </conditionalFormatting>
  <conditionalFormatting sqref="F9686">
    <cfRule type="colorScale" priority="7321">
      <colorScale>
        <cfvo type="min"/>
        <cfvo type="percentile" val="50"/>
        <cfvo type="max"/>
        <color rgb="FFF8696B"/>
        <color rgb="FFFFEB84"/>
        <color rgb="FF63BE7B"/>
      </colorScale>
    </cfRule>
  </conditionalFormatting>
  <conditionalFormatting sqref="F9690">
    <cfRule type="colorScale" priority="7326">
      <colorScale>
        <cfvo type="min"/>
        <cfvo type="percentile" val="50"/>
        <cfvo type="max"/>
        <color rgb="FFF8696B"/>
        <color rgb="FFFFEB84"/>
        <color rgb="FF63BE7B"/>
      </colorScale>
    </cfRule>
  </conditionalFormatting>
  <conditionalFormatting sqref="F9694">
    <cfRule type="colorScale" priority="7331">
      <colorScale>
        <cfvo type="min"/>
        <cfvo type="percentile" val="50"/>
        <cfvo type="max"/>
        <color rgb="FFF8696B"/>
        <color rgb="FFFFEB84"/>
        <color rgb="FF63BE7B"/>
      </colorScale>
    </cfRule>
  </conditionalFormatting>
  <conditionalFormatting sqref="F9698:F9699">
    <cfRule type="colorScale" priority="7336">
      <colorScale>
        <cfvo type="min"/>
        <cfvo type="percentile" val="50"/>
        <cfvo type="max"/>
        <color rgb="FFF8696B"/>
        <color rgb="FFFFEB84"/>
        <color rgb="FF63BE7B"/>
      </colorScale>
    </cfRule>
  </conditionalFormatting>
  <conditionalFormatting sqref="F9707:F9708">
    <cfRule type="colorScale" priority="7346">
      <colorScale>
        <cfvo type="min"/>
        <cfvo type="percentile" val="50"/>
        <cfvo type="max"/>
        <color rgb="FFF8696B"/>
        <color rgb="FFFFEB84"/>
        <color rgb="FF63BE7B"/>
      </colorScale>
    </cfRule>
  </conditionalFormatting>
  <conditionalFormatting sqref="F9716:F9717">
    <cfRule type="colorScale" priority="7356">
      <colorScale>
        <cfvo type="min"/>
        <cfvo type="percentile" val="50"/>
        <cfvo type="max"/>
        <color rgb="FFF8696B"/>
        <color rgb="FFFFEB84"/>
        <color rgb="FF63BE7B"/>
      </colorScale>
    </cfRule>
  </conditionalFormatting>
  <conditionalFormatting sqref="F9721">
    <cfRule type="colorScale" priority="7361">
      <colorScale>
        <cfvo type="min"/>
        <cfvo type="percentile" val="50"/>
        <cfvo type="max"/>
        <color rgb="FFF8696B"/>
        <color rgb="FFFFEB84"/>
        <color rgb="FF63BE7B"/>
      </colorScale>
    </cfRule>
  </conditionalFormatting>
  <conditionalFormatting sqref="F9725:F9726">
    <cfRule type="colorScale" priority="7366">
      <colorScale>
        <cfvo type="min"/>
        <cfvo type="percentile" val="50"/>
        <cfvo type="max"/>
        <color rgb="FFF8696B"/>
        <color rgb="FFFFEB84"/>
        <color rgb="FF63BE7B"/>
      </colorScale>
    </cfRule>
  </conditionalFormatting>
  <conditionalFormatting sqref="F9730">
    <cfRule type="colorScale" priority="7371">
      <colorScale>
        <cfvo type="min"/>
        <cfvo type="percentile" val="50"/>
        <cfvo type="max"/>
        <color rgb="FFF8696B"/>
        <color rgb="FFFFEB84"/>
        <color rgb="FF63BE7B"/>
      </colorScale>
    </cfRule>
  </conditionalFormatting>
  <conditionalFormatting sqref="F9734:F9735">
    <cfRule type="colorScale" priority="7376">
      <colorScale>
        <cfvo type="min"/>
        <cfvo type="percentile" val="50"/>
        <cfvo type="max"/>
        <color rgb="FFF8696B"/>
        <color rgb="FFFFEB84"/>
        <color rgb="FF63BE7B"/>
      </colorScale>
    </cfRule>
  </conditionalFormatting>
  <conditionalFormatting sqref="F9739:F9740">
    <cfRule type="colorScale" priority="7381">
      <colorScale>
        <cfvo type="min"/>
        <cfvo type="percentile" val="50"/>
        <cfvo type="max"/>
        <color rgb="FFF8696B"/>
        <color rgb="FFFFEB84"/>
        <color rgb="FF63BE7B"/>
      </colorScale>
    </cfRule>
  </conditionalFormatting>
  <conditionalFormatting sqref="F9744:F9745">
    <cfRule type="colorScale" priority="7386">
      <colorScale>
        <cfvo type="min"/>
        <cfvo type="percentile" val="50"/>
        <cfvo type="max"/>
        <color rgb="FFF8696B"/>
        <color rgb="FFFFEB84"/>
        <color rgb="FF63BE7B"/>
      </colorScale>
    </cfRule>
  </conditionalFormatting>
  <conditionalFormatting sqref="F9749">
    <cfRule type="colorScale" priority="7391">
      <colorScale>
        <cfvo type="min"/>
        <cfvo type="percentile" val="50"/>
        <cfvo type="max"/>
        <color rgb="FFF8696B"/>
        <color rgb="FFFFEB84"/>
        <color rgb="FF63BE7B"/>
      </colorScale>
    </cfRule>
  </conditionalFormatting>
  <conditionalFormatting sqref="F9753">
    <cfRule type="colorScale" priority="7396">
      <colorScale>
        <cfvo type="min"/>
        <cfvo type="percentile" val="50"/>
        <cfvo type="max"/>
        <color rgb="FFF8696B"/>
        <color rgb="FFFFEB84"/>
        <color rgb="FF63BE7B"/>
      </colorScale>
    </cfRule>
  </conditionalFormatting>
  <conditionalFormatting sqref="F9757:F9758">
    <cfRule type="colorScale" priority="7401">
      <colorScale>
        <cfvo type="min"/>
        <cfvo type="percentile" val="50"/>
        <cfvo type="max"/>
        <color rgb="FFF8696B"/>
        <color rgb="FFFFEB84"/>
        <color rgb="FF63BE7B"/>
      </colorScale>
    </cfRule>
  </conditionalFormatting>
  <conditionalFormatting sqref="F9762">
    <cfRule type="colorScale" priority="7406">
      <colorScale>
        <cfvo type="min"/>
        <cfvo type="percentile" val="50"/>
        <cfvo type="max"/>
        <color rgb="FFF8696B"/>
        <color rgb="FFFFEB84"/>
        <color rgb="FF63BE7B"/>
      </colorScale>
    </cfRule>
  </conditionalFormatting>
  <conditionalFormatting sqref="F9766:F9769">
    <cfRule type="colorScale" priority="7411">
      <colorScale>
        <cfvo type="min"/>
        <cfvo type="percentile" val="50"/>
        <cfvo type="max"/>
        <color rgb="FFF8696B"/>
        <color rgb="FFFFEB84"/>
        <color rgb="FF63BE7B"/>
      </colorScale>
    </cfRule>
  </conditionalFormatting>
  <conditionalFormatting sqref="F9777:F9778">
    <cfRule type="colorScale" priority="7421">
      <colorScale>
        <cfvo type="min"/>
        <cfvo type="percentile" val="50"/>
        <cfvo type="max"/>
        <color rgb="FFF8696B"/>
        <color rgb="FFFFEB84"/>
        <color rgb="FF63BE7B"/>
      </colorScale>
    </cfRule>
  </conditionalFormatting>
  <conditionalFormatting sqref="F9786:F9787">
    <cfRule type="colorScale" priority="7431">
      <colorScale>
        <cfvo type="min"/>
        <cfvo type="percentile" val="50"/>
        <cfvo type="max"/>
        <color rgb="FFF8696B"/>
        <color rgb="FFFFEB84"/>
        <color rgb="FF63BE7B"/>
      </colorScale>
    </cfRule>
  </conditionalFormatting>
  <conditionalFormatting sqref="F9791:F9792">
    <cfRule type="colorScale" priority="7436">
      <colorScale>
        <cfvo type="min"/>
        <cfvo type="percentile" val="50"/>
        <cfvo type="max"/>
        <color rgb="FFF8696B"/>
        <color rgb="FFFFEB84"/>
        <color rgb="FF63BE7B"/>
      </colorScale>
    </cfRule>
  </conditionalFormatting>
  <conditionalFormatting sqref="F9796:F9797">
    <cfRule type="colorScale" priority="7441">
      <colorScale>
        <cfvo type="min"/>
        <cfvo type="percentile" val="50"/>
        <cfvo type="max"/>
        <color rgb="FFF8696B"/>
        <color rgb="FFFFEB84"/>
        <color rgb="FF63BE7B"/>
      </colorScale>
    </cfRule>
  </conditionalFormatting>
  <conditionalFormatting sqref="F9801:F9802">
    <cfRule type="colorScale" priority="7446">
      <colorScale>
        <cfvo type="min"/>
        <cfvo type="percentile" val="50"/>
        <cfvo type="max"/>
        <color rgb="FFF8696B"/>
        <color rgb="FFFFEB84"/>
        <color rgb="FF63BE7B"/>
      </colorScale>
    </cfRule>
  </conditionalFormatting>
  <conditionalFormatting sqref="F9806:F9807">
    <cfRule type="colorScale" priority="7451">
      <colorScale>
        <cfvo type="min"/>
        <cfvo type="percentile" val="50"/>
        <cfvo type="max"/>
        <color rgb="FFF8696B"/>
        <color rgb="FFFFEB84"/>
        <color rgb="FF63BE7B"/>
      </colorScale>
    </cfRule>
  </conditionalFormatting>
  <conditionalFormatting sqref="F9811:F9812">
    <cfRule type="colorScale" priority="7456">
      <colorScale>
        <cfvo type="min"/>
        <cfvo type="percentile" val="50"/>
        <cfvo type="max"/>
        <color rgb="FFF8696B"/>
        <color rgb="FFFFEB84"/>
        <color rgb="FF63BE7B"/>
      </colorScale>
    </cfRule>
  </conditionalFormatting>
  <conditionalFormatting sqref="F9816:F9817">
    <cfRule type="colorScale" priority="7461">
      <colorScale>
        <cfvo type="min"/>
        <cfvo type="percentile" val="50"/>
        <cfvo type="max"/>
        <color rgb="FFF8696B"/>
        <color rgb="FFFFEB84"/>
        <color rgb="FF63BE7B"/>
      </colorScale>
    </cfRule>
  </conditionalFormatting>
  <conditionalFormatting sqref="F9821:F9822">
    <cfRule type="colorScale" priority="7466">
      <colorScale>
        <cfvo type="min"/>
        <cfvo type="percentile" val="50"/>
        <cfvo type="max"/>
        <color rgb="FFF8696B"/>
        <color rgb="FFFFEB84"/>
        <color rgb="FF63BE7B"/>
      </colorScale>
    </cfRule>
  </conditionalFormatting>
  <conditionalFormatting sqref="F9826">
    <cfRule type="colorScale" priority="7471">
      <colorScale>
        <cfvo type="min"/>
        <cfvo type="percentile" val="50"/>
        <cfvo type="max"/>
        <color rgb="FFF8696B"/>
        <color rgb="FFFFEB84"/>
        <color rgb="FF63BE7B"/>
      </colorScale>
    </cfRule>
  </conditionalFormatting>
  <conditionalFormatting sqref="F9830:F9831">
    <cfRule type="colorScale" priority="7476">
      <colorScale>
        <cfvo type="min"/>
        <cfvo type="percentile" val="50"/>
        <cfvo type="max"/>
        <color rgb="FFF8696B"/>
        <color rgb="FFFFEB84"/>
        <color rgb="FF63BE7B"/>
      </colorScale>
    </cfRule>
  </conditionalFormatting>
  <conditionalFormatting sqref="F9835:F9836">
    <cfRule type="colorScale" priority="7481">
      <colorScale>
        <cfvo type="min"/>
        <cfvo type="percentile" val="50"/>
        <cfvo type="max"/>
        <color rgb="FFF8696B"/>
        <color rgb="FFFFEB84"/>
        <color rgb="FF63BE7B"/>
      </colorScale>
    </cfRule>
  </conditionalFormatting>
  <conditionalFormatting sqref="F9840:F9843">
    <cfRule type="colorScale" priority="7486">
      <colorScale>
        <cfvo type="min"/>
        <cfvo type="percentile" val="50"/>
        <cfvo type="max"/>
        <color rgb="FFF8696B"/>
        <color rgb="FFFFEB84"/>
        <color rgb="FF63BE7B"/>
      </colorScale>
    </cfRule>
  </conditionalFormatting>
  <conditionalFormatting sqref="F9851:F9852">
    <cfRule type="colorScale" priority="7496">
      <colorScale>
        <cfvo type="min"/>
        <cfvo type="percentile" val="50"/>
        <cfvo type="max"/>
        <color rgb="FFF8696B"/>
        <color rgb="FFFFEB84"/>
        <color rgb="FF63BE7B"/>
      </colorScale>
    </cfRule>
  </conditionalFormatting>
  <conditionalFormatting sqref="F9860:F9861">
    <cfRule type="colorScale" priority="7506">
      <colorScale>
        <cfvo type="min"/>
        <cfvo type="percentile" val="50"/>
        <cfvo type="max"/>
        <color rgb="FFF8696B"/>
        <color rgb="FFFFEB84"/>
        <color rgb="FF63BE7B"/>
      </colorScale>
    </cfRule>
  </conditionalFormatting>
  <conditionalFormatting sqref="F9865">
    <cfRule type="colorScale" priority="7511">
      <colorScale>
        <cfvo type="min"/>
        <cfvo type="percentile" val="50"/>
        <cfvo type="max"/>
        <color rgb="FFF8696B"/>
        <color rgb="FFFFEB84"/>
        <color rgb="FF63BE7B"/>
      </colorScale>
    </cfRule>
  </conditionalFormatting>
  <conditionalFormatting sqref="F9869:F9870">
    <cfRule type="colorScale" priority="7516">
      <colorScale>
        <cfvo type="min"/>
        <cfvo type="percentile" val="50"/>
        <cfvo type="max"/>
        <color rgb="FFF8696B"/>
        <color rgb="FFFFEB84"/>
        <color rgb="FF63BE7B"/>
      </colorScale>
    </cfRule>
  </conditionalFormatting>
  <conditionalFormatting sqref="F9874">
    <cfRule type="colorScale" priority="7521">
      <colorScale>
        <cfvo type="min"/>
        <cfvo type="percentile" val="50"/>
        <cfvo type="max"/>
        <color rgb="FFF8696B"/>
        <color rgb="FFFFEB84"/>
        <color rgb="FF63BE7B"/>
      </colorScale>
    </cfRule>
  </conditionalFormatting>
  <conditionalFormatting sqref="F9878">
    <cfRule type="colorScale" priority="7526">
      <colorScale>
        <cfvo type="min"/>
        <cfvo type="percentile" val="50"/>
        <cfvo type="max"/>
        <color rgb="FFF8696B"/>
        <color rgb="FFFFEB84"/>
        <color rgb="FF63BE7B"/>
      </colorScale>
    </cfRule>
  </conditionalFormatting>
  <conditionalFormatting sqref="F9882:F9883">
    <cfRule type="colorScale" priority="7531">
      <colorScale>
        <cfvo type="min"/>
        <cfvo type="percentile" val="50"/>
        <cfvo type="max"/>
        <color rgb="FFF8696B"/>
        <color rgb="FFFFEB84"/>
        <color rgb="FF63BE7B"/>
      </colorScale>
    </cfRule>
  </conditionalFormatting>
  <conditionalFormatting sqref="F9887:F9888">
    <cfRule type="colorScale" priority="7536">
      <colorScale>
        <cfvo type="min"/>
        <cfvo type="percentile" val="50"/>
        <cfvo type="max"/>
        <color rgb="FFF8696B"/>
        <color rgb="FFFFEB84"/>
        <color rgb="FF63BE7B"/>
      </colorScale>
    </cfRule>
  </conditionalFormatting>
  <conditionalFormatting sqref="F9892:F9893">
    <cfRule type="colorScale" priority="7541">
      <colorScale>
        <cfvo type="min"/>
        <cfvo type="percentile" val="50"/>
        <cfvo type="max"/>
        <color rgb="FFF8696B"/>
        <color rgb="FFFFEB84"/>
        <color rgb="FF63BE7B"/>
      </colorScale>
    </cfRule>
  </conditionalFormatting>
  <conditionalFormatting sqref="F9897">
    <cfRule type="colorScale" priority="7546">
      <colorScale>
        <cfvo type="min"/>
        <cfvo type="percentile" val="50"/>
        <cfvo type="max"/>
        <color rgb="FFF8696B"/>
        <color rgb="FFFFEB84"/>
        <color rgb="FF63BE7B"/>
      </colorScale>
    </cfRule>
  </conditionalFormatting>
  <conditionalFormatting sqref="F9901:F9902">
    <cfRule type="colorScale" priority="7551">
      <colorScale>
        <cfvo type="min"/>
        <cfvo type="percentile" val="50"/>
        <cfvo type="max"/>
        <color rgb="FFF8696B"/>
        <color rgb="FFFFEB84"/>
        <color rgb="FF63BE7B"/>
      </colorScale>
    </cfRule>
  </conditionalFormatting>
  <conditionalFormatting sqref="F9906:F9907">
    <cfRule type="colorScale" priority="7556">
      <colorScale>
        <cfvo type="min"/>
        <cfvo type="percentile" val="50"/>
        <cfvo type="max"/>
        <color rgb="FFF8696B"/>
        <color rgb="FFFFEB84"/>
        <color rgb="FF63BE7B"/>
      </colorScale>
    </cfRule>
  </conditionalFormatting>
  <conditionalFormatting sqref="F9911:F9914">
    <cfRule type="colorScale" priority="7561">
      <colorScale>
        <cfvo type="min"/>
        <cfvo type="percentile" val="50"/>
        <cfvo type="max"/>
        <color rgb="FFF8696B"/>
        <color rgb="FFFFEB84"/>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6" ma:contentTypeDescription="Create a new document." ma:contentTypeScope="" ma:versionID="274e929161f1a5c179a55e6d124728d6">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e6a171f39aaf6818fb608e999eb35d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Props1.xml><?xml version="1.0" encoding="utf-8"?>
<ds:datastoreItem xmlns:ds="http://schemas.openxmlformats.org/officeDocument/2006/customXml" ds:itemID="{9964C892-F1BB-40E4-A2EA-F635F4DA4111}">
  <ds:schemaRefs>
    <ds:schemaRef ds:uri="http://schemas.microsoft.com/sharepoint/v3/contenttype/forms"/>
  </ds:schemaRefs>
</ds:datastoreItem>
</file>

<file path=customXml/itemProps2.xml><?xml version="1.0" encoding="utf-8"?>
<ds:datastoreItem xmlns:ds="http://schemas.openxmlformats.org/officeDocument/2006/customXml" ds:itemID="{F8AB230E-5459-47A0-A1C3-C254CDA19900}"/>
</file>

<file path=customXml/itemProps3.xml><?xml version="1.0" encoding="utf-8"?>
<ds:datastoreItem xmlns:ds="http://schemas.openxmlformats.org/officeDocument/2006/customXml" ds:itemID="{3748B837-F930-41C7-845B-5EB6E1BFF84A}">
  <ds:schemaRefs>
    <ds:schemaRef ds:uri="http://schemas.openxmlformats.org/package/2006/metadata/core-properties"/>
    <ds:schemaRef ds:uri="http://purl.org/dc/elements/1.1/"/>
    <ds:schemaRef ds:uri="http://schemas.microsoft.com/office/2006/documentManagement/types"/>
    <ds:schemaRef ds:uri="http://www.w3.org/XML/1998/namespace"/>
    <ds:schemaRef ds:uri="c228d1bd-650e-48eb-9f39-f684bd7bd257"/>
    <ds:schemaRef ds:uri="http://purl.org/dc/dcmitype/"/>
    <ds:schemaRef ds:uri="http://schemas.microsoft.com/office/2006/metadata/properties"/>
    <ds:schemaRef ds:uri="http://schemas.microsoft.com/office/infopath/2007/PartnerControls"/>
    <ds:schemaRef ds:uri="fa0b5fe5-391f-41b6-811a-90e0518c7af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READ_ME</vt:lpstr>
      <vt:lpstr>Table of Contents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carla.curreli</dc:creator>
  <cp:keywords/>
  <dc:description/>
  <cp:lastModifiedBy>Ievgen VOLKOVSKYI</cp:lastModifiedBy>
  <cp:revision/>
  <dcterms:created xsi:type="dcterms:W3CDTF">2025-02-17T08:51:05Z</dcterms:created>
  <dcterms:modified xsi:type="dcterms:W3CDTF">2025-04-25T05:52:12Z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